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65506" windowWidth="8835" windowHeight="8235" firstSheet="1" activeTab="3"/>
  </bookViews>
  <sheets>
    <sheet name="Rate Design - Residential" sheetId="1" r:id="rId1"/>
    <sheet name="Rate Design - Comm &amp; Indu" sheetId="2" r:id="rId2"/>
    <sheet name="Rate Design - Int &amp; Trans" sheetId="3" r:id="rId3"/>
    <sheet name="Rate Design - Rental" sheetId="4" r:id="rId4"/>
  </sheets>
  <externalReferences>
    <externalReference r:id="rId7"/>
  </externalReferences>
  <definedNames>
    <definedName name="_11">#REF!</definedName>
    <definedName name="_31">#REF!</definedName>
    <definedName name="_36">#REF!</definedName>
    <definedName name="_41">#REF!</definedName>
    <definedName name="_43">#REF!</definedName>
    <definedName name="_50">#REF!</definedName>
    <definedName name="_51">#REF!</definedName>
    <definedName name="_57">#REF!</definedName>
    <definedName name="_85">#REF!</definedName>
    <definedName name="_85_86">#REF!</definedName>
    <definedName name="_86">#REF!</definedName>
    <definedName name="_87">#REF!</definedName>
    <definedName name="_ALL_RATES">#REF!</definedName>
    <definedName name="_Order1" hidden="1">0</definedName>
    <definedName name="_Order2" hidden="1">0</definedName>
    <definedName name="_P_RD">#REF!</definedName>
    <definedName name="_PRINT_23_36">#REF!</definedName>
    <definedName name="_PRINT_85_58">#REF!</definedName>
    <definedName name="_RATE_DESIGN">#REF!</definedName>
    <definedName name="_RES">#REF!</definedName>
    <definedName name="_xlnm.Print_Area" localSheetId="1">'Rate Design - Comm &amp; Indu'!$A$1:$L$72</definedName>
    <definedName name="_xlnm.Print_Area" localSheetId="2">'Rate Design - Int &amp; Trans'!$A$1:$L$77</definedName>
    <definedName name="_xlnm.Print_Area" localSheetId="3">'Rate Design - Rental'!$A$1:$I$25</definedName>
    <definedName name="_xlnm.Print_Area" localSheetId="0">'Rate Design - Residential'!$A$1:$L$26</definedName>
    <definedName name="SPREAD">#REF!</definedName>
  </definedNames>
  <calcPr fullCalcOnLoad="1"/>
</workbook>
</file>

<file path=xl/comments3.xml><?xml version="1.0" encoding="utf-8"?>
<comments xmlns="http://schemas.openxmlformats.org/spreadsheetml/2006/main">
  <authors>
    <author>mcass</author>
  </authors>
  <commentList>
    <comment ref="F43" authorId="0">
      <text>
        <r>
          <rPr>
            <b/>
            <sz val="8"/>
            <rFont val="Tahoma"/>
            <family val="0"/>
          </rPr>
          <t>UG040640NWIGUSCHOENBECKDirect.doc
Page 3 Line16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<sst xmlns="http://schemas.openxmlformats.org/spreadsheetml/2006/main" count="286" uniqueCount="118">
  <si>
    <t xml:space="preserve">Billing </t>
  </si>
  <si>
    <t xml:space="preserve">Present </t>
  </si>
  <si>
    <t>Proposed</t>
  </si>
  <si>
    <t xml:space="preserve">Difference </t>
  </si>
  <si>
    <t>Description</t>
  </si>
  <si>
    <t>Determinants</t>
  </si>
  <si>
    <t>Rates</t>
  </si>
  <si>
    <t>Units</t>
  </si>
  <si>
    <t>$</t>
  </si>
  <si>
    <t>%</t>
  </si>
  <si>
    <t>TARGET</t>
  </si>
  <si>
    <t>BILLS</t>
  </si>
  <si>
    <t>All Therms</t>
  </si>
  <si>
    <t>DIFFERENCE</t>
  </si>
  <si>
    <t>Calculated Total</t>
  </si>
  <si>
    <t>Schedule 101 Gas Costs
(a)</t>
  </si>
  <si>
    <t>RAF
(b)</t>
  </si>
  <si>
    <t>RATE 16</t>
  </si>
  <si>
    <t>Mantles</t>
  </si>
  <si>
    <t>First 4 Mantles (each)</t>
  </si>
  <si>
    <t>5 through 9 Mantles (each)</t>
  </si>
  <si>
    <t>All over (each)</t>
  </si>
  <si>
    <t>Therms</t>
  </si>
  <si>
    <t>RATE 36</t>
  </si>
  <si>
    <t>RATE 51</t>
  </si>
  <si>
    <t>RATE 41</t>
  </si>
  <si>
    <t>Minimum Bill</t>
  </si>
  <si>
    <t>Demand Units</t>
  </si>
  <si>
    <t>First 500 Therms</t>
  </si>
  <si>
    <t>Next 4,500 therms</t>
  </si>
  <si>
    <t>All over 5,000 therms</t>
  </si>
  <si>
    <t>RATE 50</t>
  </si>
  <si>
    <t xml:space="preserve">RATE 85  </t>
  </si>
  <si>
    <t>First 25,000 Therms</t>
  </si>
  <si>
    <t>Next 25,000 Therms</t>
  </si>
  <si>
    <t>All over 50,000 Therms</t>
  </si>
  <si>
    <t>RATE 86</t>
  </si>
  <si>
    <t>First 1,000 therms</t>
  </si>
  <si>
    <t>All over 1,000 therms</t>
  </si>
  <si>
    <t>RATE 87</t>
  </si>
  <si>
    <t>Next 50,000 Therms</t>
  </si>
  <si>
    <t>Next 100,000 therms</t>
  </si>
  <si>
    <t>Next 300,000 therms</t>
  </si>
  <si>
    <t>TARGET 87</t>
  </si>
  <si>
    <t>All over 500,000 therms</t>
  </si>
  <si>
    <t>TARGET 57</t>
  </si>
  <si>
    <t>RATE 57</t>
  </si>
  <si>
    <t>Next 100,000 Therms</t>
  </si>
  <si>
    <t>Next 300,000 Therms</t>
  </si>
  <si>
    <t>TOTAL DIFFERENCE</t>
  </si>
  <si>
    <t>All over 500,000 Therms</t>
  </si>
  <si>
    <t>RATE 31</t>
  </si>
  <si>
    <t>(a)</t>
  </si>
  <si>
    <t>(b)</t>
  </si>
  <si>
    <t>(d)</t>
  </si>
  <si>
    <t>(e)</t>
  </si>
  <si>
    <t>(f)</t>
  </si>
  <si>
    <t>(g)</t>
  </si>
  <si>
    <t>Schedule</t>
  </si>
  <si>
    <t>RATE 23/53</t>
  </si>
  <si>
    <t>Line No.</t>
  </si>
  <si>
    <t>Facility Charge</t>
  </si>
  <si>
    <t>Proposed Gas Costs
(c = a * b)</t>
  </si>
  <si>
    <t>Gas Costs</t>
  </si>
  <si>
    <t>Gas Costs for Demand Charge Rate</t>
  </si>
  <si>
    <t>Total Revenues</t>
  </si>
  <si>
    <t>Revenues</t>
  </si>
  <si>
    <t>Balancing Service Charge for JP</t>
  </si>
  <si>
    <t>Proposed Rate</t>
  </si>
  <si>
    <t>Current Rate</t>
  </si>
  <si>
    <t>w/o $7.5</t>
  </si>
  <si>
    <t>Price Schedule</t>
  </si>
  <si>
    <t>Calculated Rate</t>
  </si>
  <si>
    <t>% Increase</t>
  </si>
  <si>
    <t>71</t>
  </si>
  <si>
    <t>71G-A</t>
  </si>
  <si>
    <t xml:space="preserve">Standard Models </t>
  </si>
  <si>
    <t>71G-B</t>
  </si>
  <si>
    <t xml:space="preserve">Conservation Models </t>
  </si>
  <si>
    <t>71G-C</t>
  </si>
  <si>
    <t xml:space="preserve">Direct Vent Models </t>
  </si>
  <si>
    <t>71G-D</t>
  </si>
  <si>
    <t xml:space="preserve">High Recovery Models </t>
  </si>
  <si>
    <t>71G-E</t>
  </si>
  <si>
    <t xml:space="preserve">High Efficiency Standard (Energy Factor ≥.60)  </t>
  </si>
  <si>
    <t>71G-F</t>
  </si>
  <si>
    <t xml:space="preserve">High Efficiency Direct Vent (Energy Factor ≥.60) </t>
  </si>
  <si>
    <t>72</t>
  </si>
  <si>
    <t>72G-F</t>
  </si>
  <si>
    <t xml:space="preserve">25 - 40 gallon storage 30,000 to 50,000 </t>
  </si>
  <si>
    <t>72G-G</t>
  </si>
  <si>
    <t xml:space="preserve">45 - 55 gallon storage 70,000 to 79,000 </t>
  </si>
  <si>
    <t>72G-H</t>
  </si>
  <si>
    <t xml:space="preserve">45 - 55 gallon storage 51,000 to 75,000 </t>
  </si>
  <si>
    <t>72G-I</t>
  </si>
  <si>
    <t xml:space="preserve">50 - 65 gallon storage 60,000 to 69,000 </t>
  </si>
  <si>
    <t>72G-J</t>
  </si>
  <si>
    <t xml:space="preserve">60 - 84 gallon storage 70,000 to 129,000 </t>
  </si>
  <si>
    <t>72G-K</t>
  </si>
  <si>
    <t xml:space="preserve">75 - 90 gallon storage 130,000 to 169,000 </t>
  </si>
  <si>
    <t>72G-L</t>
  </si>
  <si>
    <t xml:space="preserve">75 - 100 gallon storage 170,000 to 200,000 </t>
  </si>
  <si>
    <t>72G-M</t>
  </si>
  <si>
    <t xml:space="preserve">68 - 79 gallon storage 201,000 to 369,000 </t>
  </si>
  <si>
    <t>74</t>
  </si>
  <si>
    <t>74G-A</t>
  </si>
  <si>
    <t xml:space="preserve">45,000 to 400,000 Standard Models </t>
  </si>
  <si>
    <t>74G-B</t>
  </si>
  <si>
    <t xml:space="preserve">401,000 to 700,000 Standard Models </t>
  </si>
  <si>
    <t>74G-C</t>
  </si>
  <si>
    <t xml:space="preserve">701,000 to 1,300,000 Standard Models </t>
  </si>
  <si>
    <t>74G-D</t>
  </si>
  <si>
    <t xml:space="preserve">45,000 to 400,000 Conservation Models </t>
  </si>
  <si>
    <t>Procurement Charge</t>
  </si>
  <si>
    <t>TOTAL TARGET 87 &amp; 57</t>
  </si>
  <si>
    <t>Average Increase %</t>
  </si>
  <si>
    <t>Margin Increase</t>
  </si>
  <si>
    <t xml:space="preserve">(c)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</si>
</sst>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  <numFmt numFmtId="166" formatCode="#,##0.00000"/>
    <numFmt numFmtId="167" formatCode="&quot;$&quot;#,##0.00000"/>
    <numFmt numFmtId="168" formatCode="0.000%"/>
    <numFmt numFmtId="169" formatCode="_(&quot;$&quot;* #,##0.0000_);_(&quot;$&quot;* \(#,##0.0000\);_(&quot;$&quot;* &quot;-&quot;????_);_(@_)"/>
    <numFmt numFmtId="170" formatCode="&quot;$&quot;#,##0.00000\ ;\(&quot;$&quot;#,##0.00000\)"/>
    <numFmt numFmtId="171" formatCode="&quot;$&quot;#,##0.00\ ;\(&quot;$&quot;#,##0.00\)"/>
    <numFmt numFmtId="172" formatCode="#,##0.0"/>
    <numFmt numFmtId="173" formatCode="&quot;$&quot;#,##0\ ;\(&quot;$&quot;#,##0\)"/>
    <numFmt numFmtId="174" formatCode="#,##0.000000"/>
    <numFmt numFmtId="175" formatCode="&quot;$&quot;#,##0.0000\ ;\(&quot;$&quot;#,##0.0000\)"/>
    <numFmt numFmtId="176" formatCode="0.000000"/>
  </numFmts>
  <fonts count="21">
    <font>
      <sz val="10"/>
      <name val="Arial"/>
      <family val="0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0"/>
    </font>
    <font>
      <b/>
      <sz val="8"/>
      <name val="Tahoma"/>
      <family val="0"/>
    </font>
    <font>
      <sz val="12"/>
      <name val="Helv"/>
      <family val="0"/>
    </font>
    <font>
      <b/>
      <sz val="10"/>
      <name val="Helv"/>
      <family val="0"/>
    </font>
    <font>
      <b/>
      <sz val="12"/>
      <color indexed="60"/>
      <name val="Arial"/>
      <family val="2"/>
    </font>
    <font>
      <b/>
      <sz val="18"/>
      <name val="Arial"/>
      <family val="0"/>
    </font>
    <font>
      <b/>
      <i/>
      <sz val="10"/>
      <name val="Helv"/>
      <family val="0"/>
    </font>
    <font>
      <i/>
      <sz val="10"/>
      <name val="Helv"/>
      <family val="0"/>
    </font>
    <font>
      <sz val="10"/>
      <color indexed="9"/>
      <name val="Arial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4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2" fontId="0" fillId="2" borderId="0">
      <alignment/>
      <protection/>
    </xf>
    <xf numFmtId="0" fontId="8" fillId="3" borderId="0">
      <alignment/>
      <protection/>
    </xf>
    <xf numFmtId="0" fontId="9" fillId="3" borderId="1">
      <alignment/>
      <protection/>
    </xf>
    <xf numFmtId="0" fontId="12" fillId="4" borderId="2">
      <alignment/>
      <protection/>
    </xf>
    <xf numFmtId="0" fontId="13" fillId="3" borderId="3">
      <alignment/>
      <protection/>
    </xf>
    <xf numFmtId="42" fontId="2" fillId="5" borderId="4">
      <alignment vertical="center"/>
      <protection/>
    </xf>
    <xf numFmtId="0" fontId="3" fillId="2" borderId="5" applyNumberFormat="0">
      <alignment horizontal="center" vertical="center" wrapText="1"/>
      <protection/>
    </xf>
    <xf numFmtId="169" fontId="0" fillId="2" borderId="0">
      <alignment/>
      <protection/>
    </xf>
    <xf numFmtId="42" fontId="4" fillId="2" borderId="6">
      <alignment horizontal="left"/>
      <protection/>
    </xf>
    <xf numFmtId="0" fontId="8" fillId="0" borderId="0">
      <alignment/>
      <protection/>
    </xf>
    <xf numFmtId="0" fontId="9" fillId="3" borderId="0">
      <alignment/>
      <protection/>
    </xf>
    <xf numFmtId="165" fontId="10" fillId="0" borderId="0">
      <alignment horizontal="left" vertical="center"/>
      <protection/>
    </xf>
    <xf numFmtId="0" fontId="3" fillId="2" borderId="0">
      <alignment horizontal="left" wrapText="1"/>
      <protection/>
    </xf>
    <xf numFmtId="0" fontId="5" fillId="0" borderId="0">
      <alignment horizontal="left" vertical="center"/>
      <protection/>
    </xf>
    <xf numFmtId="0" fontId="0" fillId="0" borderId="7" applyNumberFormat="0" applyFont="0" applyFill="0" applyAlignment="0" applyProtection="0"/>
  </cellStyleXfs>
  <cellXfs count="235">
    <xf numFmtId="0" fontId="0" fillId="0" borderId="0" xfId="0" applyAlignment="1">
      <alignment/>
    </xf>
    <xf numFmtId="0" fontId="0" fillId="0" borderId="6" xfId="0" applyFont="1" applyBorder="1" applyAlignment="1">
      <alignment/>
    </xf>
    <xf numFmtId="171" fontId="0" fillId="0" borderId="6" xfId="0" applyNumberFormat="1" applyFont="1" applyBorder="1" applyAlignment="1">
      <alignment/>
    </xf>
    <xf numFmtId="171" fontId="0" fillId="0" borderId="6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171" fontId="0" fillId="0" borderId="5" xfId="0" applyNumberFormat="1" applyFont="1" applyBorder="1" applyAlignment="1">
      <alignment horizontal="center"/>
    </xf>
    <xf numFmtId="171" fontId="0" fillId="0" borderId="5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3" fontId="0" fillId="0" borderId="11" xfId="0" applyNumberFormat="1" applyFont="1" applyBorder="1" applyAlignment="1">
      <alignment horizontal="right"/>
    </xf>
    <xf numFmtId="0" fontId="3" fillId="0" borderId="9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 horizontal="center"/>
    </xf>
    <xf numFmtId="0" fontId="0" fillId="0" borderId="8" xfId="0" applyFont="1" applyBorder="1" applyAlignment="1" applyProtection="1">
      <alignment/>
      <protection locked="0"/>
    </xf>
    <xf numFmtId="173" fontId="0" fillId="0" borderId="11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0" fontId="0" fillId="0" borderId="11" xfId="0" applyFont="1" applyBorder="1" applyAlignment="1">
      <alignment/>
    </xf>
    <xf numFmtId="173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170" fontId="0" fillId="0" borderId="0" xfId="0" applyNumberFormat="1" applyFont="1" applyAlignment="1">
      <alignment horizontal="center"/>
    </xf>
    <xf numFmtId="166" fontId="0" fillId="0" borderId="0" xfId="0" applyNumberFormat="1" applyFont="1" applyBorder="1" applyAlignment="1">
      <alignment/>
    </xf>
    <xf numFmtId="171" fontId="0" fillId="0" borderId="13" xfId="0" applyNumberFormat="1" applyFont="1" applyBorder="1" applyAlignment="1">
      <alignment/>
    </xf>
    <xf numFmtId="171" fontId="0" fillId="0" borderId="0" xfId="22" applyNumberFormat="1" applyFont="1" applyBorder="1" applyAlignment="1">
      <alignment/>
    </xf>
    <xf numFmtId="168" fontId="0" fillId="0" borderId="11" xfId="33" applyNumberFormat="1" applyFont="1" applyBorder="1" applyAlignment="1">
      <alignment/>
    </xf>
    <xf numFmtId="170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171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applyProtection="1">
      <alignment horizontal="center"/>
      <protection locked="0"/>
    </xf>
    <xf numFmtId="174" fontId="0" fillId="0" borderId="0" xfId="0" applyNumberFormat="1" applyFont="1" applyBorder="1" applyAlignment="1">
      <alignment/>
    </xf>
    <xf numFmtId="173" fontId="0" fillId="0" borderId="11" xfId="0" applyNumberFormat="1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171" fontId="0" fillId="0" borderId="5" xfId="0" applyNumberFormat="1" applyFont="1" applyBorder="1" applyAlignment="1">
      <alignment/>
    </xf>
    <xf numFmtId="173" fontId="0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173" fontId="0" fillId="0" borderId="0" xfId="0" applyNumberFormat="1" applyFont="1" applyAlignment="1">
      <alignment horizontal="right"/>
    </xf>
    <xf numFmtId="0" fontId="0" fillId="0" borderId="6" xfId="0" applyBorder="1" applyAlignment="1">
      <alignment horizontal="centerContinuous"/>
    </xf>
    <xf numFmtId="171" fontId="0" fillId="0" borderId="6" xfId="0" applyNumberFormat="1" applyBorder="1" applyAlignment="1">
      <alignment horizontal="centerContinuous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68" fontId="0" fillId="0" borderId="11" xfId="0" applyNumberFormat="1" applyBorder="1" applyAlignment="1">
      <alignment horizontal="right"/>
    </xf>
    <xf numFmtId="168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71" fontId="0" fillId="0" borderId="5" xfId="0" applyNumberForma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0" xfId="0" applyFont="1" applyBorder="1" applyAlignment="1">
      <alignment/>
    </xf>
    <xf numFmtId="171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9" xfId="0" applyFont="1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8" xfId="0" applyBorder="1" applyAlignment="1" applyProtection="1">
      <alignment/>
      <protection locked="0"/>
    </xf>
    <xf numFmtId="173" fontId="0" fillId="0" borderId="11" xfId="0" applyNumberFormat="1" applyBorder="1" applyAlignment="1">
      <alignment horizontal="center"/>
    </xf>
    <xf numFmtId="0" fontId="0" fillId="0" borderId="8" xfId="0" applyBorder="1" applyAlignment="1">
      <alignment/>
    </xf>
    <xf numFmtId="175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73" fontId="0" fillId="0" borderId="10" xfId="0" applyNumberFormat="1" applyBorder="1" applyAlignment="1">
      <alignment horizontal="center"/>
    </xf>
    <xf numFmtId="168" fontId="0" fillId="0" borderId="11" xfId="0" applyNumberFormat="1" applyBorder="1" applyAlignment="1">
      <alignment/>
    </xf>
    <xf numFmtId="3" fontId="0" fillId="0" borderId="8" xfId="0" applyNumberFormat="1" applyBorder="1" applyAlignment="1">
      <alignment/>
    </xf>
    <xf numFmtId="172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33" applyFont="1" applyBorder="1" applyAlignment="1">
      <alignment/>
    </xf>
    <xf numFmtId="171" fontId="0" fillId="0" borderId="13" xfId="0" applyNumberFormat="1" applyBorder="1" applyAlignment="1">
      <alignment/>
    </xf>
    <xf numFmtId="171" fontId="0" fillId="0" borderId="0" xfId="22" applyNumberFormat="1" applyFont="1" applyBorder="1" applyAlignment="1">
      <alignment/>
    </xf>
    <xf numFmtId="168" fontId="0" fillId="0" borderId="11" xfId="33" applyNumberFormat="1" applyFont="1" applyBorder="1" applyAlignment="1">
      <alignment/>
    </xf>
    <xf numFmtId="9" fontId="0" fillId="0" borderId="0" xfId="33" applyFont="1" applyBorder="1" applyAlignment="1">
      <alignment/>
    </xf>
    <xf numFmtId="3" fontId="0" fillId="0" borderId="0" xfId="0" applyNumberFormat="1" applyBorder="1" applyAlignment="1" applyProtection="1">
      <alignment/>
      <protection locked="0"/>
    </xf>
    <xf numFmtId="168" fontId="6" fillId="0" borderId="11" xfId="0" applyNumberFormat="1" applyFon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0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171" fontId="0" fillId="0" borderId="0" xfId="0" applyNumberFormat="1" applyBorder="1" applyAlignment="1">
      <alignment horizontal="right"/>
    </xf>
    <xf numFmtId="171" fontId="0" fillId="0" borderId="13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168" fontId="0" fillId="0" borderId="11" xfId="33" applyNumberFormat="1" applyFont="1" applyBorder="1" applyAlignment="1">
      <alignment/>
    </xf>
    <xf numFmtId="171" fontId="0" fillId="0" borderId="0" xfId="33" applyNumberFormat="1" applyFont="1" applyBorder="1" applyAlignment="1">
      <alignment/>
    </xf>
    <xf numFmtId="171" fontId="0" fillId="0" borderId="0" xfId="0" applyNumberFormat="1" applyBorder="1" applyAlignment="1">
      <alignment horizontal="center"/>
    </xf>
    <xf numFmtId="0" fontId="0" fillId="0" borderId="9" xfId="0" applyBorder="1" applyAlignment="1">
      <alignment/>
    </xf>
    <xf numFmtId="171" fontId="0" fillId="0" borderId="5" xfId="0" applyNumberForma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/>
    </xf>
    <xf numFmtId="168" fontId="0" fillId="0" borderId="0" xfId="0" applyNumberFormat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171" fontId="6" fillId="0" borderId="0" xfId="0" applyNumberFormat="1" applyFont="1" applyAlignment="1">
      <alignment/>
    </xf>
    <xf numFmtId="170" fontId="0" fillId="0" borderId="6" xfId="0" applyNumberFormat="1" applyBorder="1" applyAlignment="1">
      <alignment horizontal="centerContinuous"/>
    </xf>
    <xf numFmtId="170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68" fontId="0" fillId="0" borderId="11" xfId="0" applyNumberFormat="1" applyBorder="1" applyAlignment="1">
      <alignment horizontal="right"/>
    </xf>
    <xf numFmtId="171" fontId="0" fillId="0" borderId="11" xfId="0" applyNumberFormat="1" applyBorder="1" applyAlignment="1">
      <alignment horizontal="center"/>
    </xf>
    <xf numFmtId="170" fontId="0" fillId="0" borderId="0" xfId="0" applyNumberFormat="1" applyAlignment="1">
      <alignment/>
    </xf>
    <xf numFmtId="0" fontId="6" fillId="0" borderId="0" xfId="0" applyFont="1" applyAlignment="1" applyProtection="1">
      <alignment/>
      <protection locked="0"/>
    </xf>
    <xf numFmtId="3" fontId="0" fillId="0" borderId="5" xfId="0" applyNumberFormat="1" applyBorder="1" applyAlignment="1">
      <alignment/>
    </xf>
    <xf numFmtId="171" fontId="0" fillId="0" borderId="5" xfId="0" applyNumberFormat="1" applyBorder="1" applyAlignment="1">
      <alignment horizontal="right"/>
    </xf>
    <xf numFmtId="16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5" xfId="0" applyNumberFormat="1" applyBorder="1" applyAlignment="1">
      <alignment horizontal="right"/>
    </xf>
    <xf numFmtId="168" fontId="0" fillId="0" borderId="11" xfId="0" applyNumberFormat="1" applyBorder="1" applyAlignment="1">
      <alignment horizontal="center"/>
    </xf>
    <xf numFmtId="0" fontId="6" fillId="0" borderId="9" xfId="0" applyFon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8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171" fontId="0" fillId="0" borderId="14" xfId="0" applyNumberFormat="1" applyFont="1" applyBorder="1" applyAlignment="1">
      <alignment horizontal="center"/>
    </xf>
    <xf numFmtId="171" fontId="0" fillId="0" borderId="15" xfId="0" applyNumberFormat="1" applyFont="1" applyBorder="1" applyAlignment="1">
      <alignment horizontal="center"/>
    </xf>
    <xf numFmtId="171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" xfId="0" applyBorder="1" applyAlignment="1">
      <alignment horizontal="center"/>
    </xf>
    <xf numFmtId="168" fontId="0" fillId="0" borderId="12" xfId="0" applyNumberFormat="1" applyBorder="1" applyAlignment="1">
      <alignment horizontal="centerContinuous"/>
    </xf>
    <xf numFmtId="167" fontId="0" fillId="0" borderId="0" xfId="0" applyNumberFormat="1" applyAlignment="1">
      <alignment/>
    </xf>
    <xf numFmtId="167" fontId="0" fillId="0" borderId="0" xfId="0" applyNumberFormat="1" applyFont="1" applyAlignment="1">
      <alignment horizontal="center" wrapText="1"/>
    </xf>
    <xf numFmtId="167" fontId="0" fillId="0" borderId="0" xfId="0" applyNumberFormat="1" applyFont="1" applyAlignment="1">
      <alignment horizontal="center"/>
    </xf>
    <xf numFmtId="167" fontId="0" fillId="0" borderId="0" xfId="0" applyNumberFormat="1" applyAlignment="1">
      <alignment wrapText="1"/>
    </xf>
    <xf numFmtId="167" fontId="0" fillId="0" borderId="0" xfId="0" applyNumberFormat="1" applyFont="1" applyAlignment="1">
      <alignment/>
    </xf>
    <xf numFmtId="3" fontId="0" fillId="0" borderId="6" xfId="0" applyNumberFormat="1" applyBorder="1" applyAlignment="1">
      <alignment horizontal="center"/>
    </xf>
    <xf numFmtId="171" fontId="0" fillId="0" borderId="6" xfId="0" applyNumberFormat="1" applyBorder="1" applyAlignment="1">
      <alignment horizontal="right"/>
    </xf>
    <xf numFmtId="0" fontId="0" fillId="0" borderId="0" xfId="0" applyFill="1" applyAlignment="1">
      <alignment/>
    </xf>
    <xf numFmtId="171" fontId="0" fillId="0" borderId="0" xfId="0" applyNumberFormat="1" applyFont="1" applyAlignment="1">
      <alignment horizontal="center"/>
    </xf>
    <xf numFmtId="10" fontId="0" fillId="0" borderId="18" xfId="33" applyNumberFormat="1" applyBorder="1" applyAlignment="1">
      <alignment horizontal="center"/>
    </xf>
    <xf numFmtId="173" fontId="0" fillId="0" borderId="0" xfId="0" applyNumberFormat="1" applyFont="1" applyBorder="1" applyAlignment="1">
      <alignment/>
    </xf>
    <xf numFmtId="0" fontId="14" fillId="0" borderId="5" xfId="0" applyFont="1" applyBorder="1" applyAlignment="1">
      <alignment/>
    </xf>
    <xf numFmtId="167" fontId="14" fillId="0" borderId="0" xfId="0" applyNumberFormat="1" applyFont="1" applyAlignment="1">
      <alignment/>
    </xf>
    <xf numFmtId="167" fontId="14" fillId="0" borderId="0" xfId="0" applyNumberFormat="1" applyFont="1" applyBorder="1" applyAlignment="1">
      <alignment horizontal="center"/>
    </xf>
    <xf numFmtId="3" fontId="14" fillId="0" borderId="5" xfId="0" applyNumberFormat="1" applyFont="1" applyBorder="1" applyAlignment="1">
      <alignment/>
    </xf>
    <xf numFmtId="170" fontId="14" fillId="0" borderId="5" xfId="0" applyNumberFormat="1" applyFont="1" applyBorder="1" applyAlignment="1">
      <alignment horizontal="right"/>
    </xf>
    <xf numFmtId="165" fontId="14" fillId="0" borderId="5" xfId="0" applyNumberFormat="1" applyFont="1" applyBorder="1" applyAlignment="1">
      <alignment/>
    </xf>
    <xf numFmtId="165" fontId="14" fillId="2" borderId="0" xfId="0" applyNumberFormat="1" applyFont="1" applyFill="1" applyBorder="1" applyAlignment="1">
      <alignment/>
    </xf>
    <xf numFmtId="0" fontId="14" fillId="0" borderId="0" xfId="0" applyFont="1" applyBorder="1" applyAlignment="1">
      <alignment/>
    </xf>
    <xf numFmtId="171" fontId="14" fillId="0" borderId="0" xfId="0" applyNumberFormat="1" applyFont="1" applyBorder="1" applyAlignment="1">
      <alignment/>
    </xf>
    <xf numFmtId="171" fontId="14" fillId="0" borderId="0" xfId="0" applyNumberFormat="1" applyFont="1" applyBorder="1" applyAlignment="1">
      <alignment horizontal="center"/>
    </xf>
    <xf numFmtId="171" fontId="14" fillId="0" borderId="5" xfId="0" applyNumberFormat="1" applyFont="1" applyBorder="1" applyAlignment="1">
      <alignment/>
    </xf>
    <xf numFmtId="0" fontId="3" fillId="0" borderId="5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44" fontId="0" fillId="0" borderId="0" xfId="22" applyFill="1" applyAlignment="1">
      <alignment/>
    </xf>
    <xf numFmtId="10" fontId="0" fillId="0" borderId="0" xfId="33" applyNumberFormat="1" applyFill="1" applyAlignment="1">
      <alignment/>
    </xf>
    <xf numFmtId="44" fontId="0" fillId="0" borderId="0" xfId="0" applyNumberFormat="1" applyFill="1" applyAlignment="1">
      <alignment/>
    </xf>
    <xf numFmtId="164" fontId="0" fillId="0" borderId="0" xfId="22" applyNumberFormat="1" applyFill="1" applyAlignment="1">
      <alignment/>
    </xf>
    <xf numFmtId="164" fontId="0" fillId="0" borderId="0" xfId="22" applyNumberFormat="1" applyFill="1" applyBorder="1" applyAlignment="1">
      <alignment/>
    </xf>
    <xf numFmtId="0" fontId="0" fillId="0" borderId="0" xfId="0" applyFill="1" applyBorder="1" applyAlignment="1">
      <alignment/>
    </xf>
    <xf numFmtId="3" fontId="14" fillId="0" borderId="0" xfId="0" applyNumberFormat="1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165" fontId="14" fillId="0" borderId="0" xfId="0" applyNumberFormat="1" applyFont="1" applyBorder="1" applyAlignment="1">
      <alignment/>
    </xf>
    <xf numFmtId="10" fontId="0" fillId="0" borderId="19" xfId="33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71" fontId="0" fillId="0" borderId="5" xfId="22" applyNumberFormat="1" applyFont="1" applyBorder="1" applyAlignment="1">
      <alignment/>
    </xf>
    <xf numFmtId="44" fontId="0" fillId="0" borderId="0" xfId="22" applyNumberFormat="1" applyFill="1" applyAlignment="1">
      <alignment/>
    </xf>
    <xf numFmtId="9" fontId="0" fillId="0" borderId="0" xfId="33" applyBorder="1" applyAlignment="1">
      <alignment/>
    </xf>
    <xf numFmtId="176" fontId="0" fillId="0" borderId="0" xfId="0" applyNumberFormat="1" applyFont="1" applyBorder="1" applyAlignment="1">
      <alignment/>
    </xf>
    <xf numFmtId="175" fontId="0" fillId="0" borderId="11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0" fontId="0" fillId="0" borderId="5" xfId="0" applyBorder="1" applyAlignment="1">
      <alignment/>
    </xf>
    <xf numFmtId="172" fontId="0" fillId="0" borderId="5" xfId="0" applyNumberFormat="1" applyBorder="1" applyAlignment="1">
      <alignment/>
    </xf>
    <xf numFmtId="9" fontId="0" fillId="0" borderId="5" xfId="33" applyFont="1" applyBorder="1" applyAlignment="1">
      <alignment/>
    </xf>
    <xf numFmtId="168" fontId="0" fillId="0" borderId="10" xfId="33" applyNumberFormat="1" applyFont="1" applyBorder="1" applyAlignment="1">
      <alignment/>
    </xf>
    <xf numFmtId="168" fontId="0" fillId="0" borderId="0" xfId="0" applyNumberFormat="1" applyBorder="1" applyAlignment="1">
      <alignment horizontal="right"/>
    </xf>
    <xf numFmtId="3" fontId="0" fillId="0" borderId="14" xfId="0" applyNumberFormat="1" applyBorder="1" applyAlignment="1">
      <alignment horizontal="center"/>
    </xf>
    <xf numFmtId="173" fontId="0" fillId="0" borderId="15" xfId="0" applyNumberFormat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1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171" fontId="0" fillId="0" borderId="6" xfId="0" applyNumberFormat="1" applyBorder="1" applyAlignment="1">
      <alignment/>
    </xf>
    <xf numFmtId="168" fontId="0" fillId="0" borderId="12" xfId="0" applyNumberFormat="1" applyBorder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171" fontId="6" fillId="0" borderId="5" xfId="0" applyNumberFormat="1" applyFont="1" applyBorder="1" applyAlignment="1">
      <alignment/>
    </xf>
    <xf numFmtId="0" fontId="0" fillId="0" borderId="5" xfId="0" applyBorder="1" applyAlignment="1">
      <alignment/>
    </xf>
    <xf numFmtId="171" fontId="0" fillId="0" borderId="5" xfId="0" applyNumberFormat="1" applyBorder="1" applyAlignment="1">
      <alignment/>
    </xf>
    <xf numFmtId="168" fontId="0" fillId="0" borderId="10" xfId="0" applyNumberFormat="1" applyBorder="1" applyAlignment="1">
      <alignment/>
    </xf>
    <xf numFmtId="168" fontId="0" fillId="0" borderId="11" xfId="22" applyNumberFormat="1" applyFont="1" applyBorder="1" applyAlignment="1">
      <alignment/>
    </xf>
    <xf numFmtId="171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8" fontId="0" fillId="0" borderId="0" xfId="0" applyNumberFormat="1" applyFill="1" applyBorder="1" applyAlignment="1">
      <alignment/>
    </xf>
    <xf numFmtId="171" fontId="18" fillId="0" borderId="0" xfId="0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44" fontId="0" fillId="0" borderId="0" xfId="22" applyFill="1" applyBorder="1" applyAlignment="1">
      <alignment/>
    </xf>
    <xf numFmtId="0" fontId="0" fillId="0" borderId="0" xfId="0" applyFill="1" applyBorder="1" applyAlignment="1">
      <alignment horizontal="right"/>
    </xf>
    <xf numFmtId="168" fontId="0" fillId="0" borderId="0" xfId="0" applyNumberFormat="1" applyFill="1" applyBorder="1" applyAlignment="1">
      <alignment horizontal="right"/>
    </xf>
    <xf numFmtId="10" fontId="0" fillId="0" borderId="0" xfId="33" applyNumberFormat="1" applyFill="1" applyBorder="1" applyAlignment="1">
      <alignment/>
    </xf>
    <xf numFmtId="10" fontId="0" fillId="0" borderId="12" xfId="33" applyNumberFormat="1" applyFill="1" applyBorder="1" applyAlignment="1">
      <alignment/>
    </xf>
    <xf numFmtId="164" fontId="0" fillId="0" borderId="10" xfId="22" applyNumberFormat="1" applyFill="1" applyBorder="1" applyAlignment="1">
      <alignment/>
    </xf>
    <xf numFmtId="167" fontId="0" fillId="0" borderId="0" xfId="0" applyNumberFormat="1" applyFont="1" applyAlignment="1">
      <alignment horizontal="center" wrapText="1"/>
    </xf>
    <xf numFmtId="167" fontId="0" fillId="0" borderId="0" xfId="0" applyNumberFormat="1" applyAlignment="1">
      <alignment wrapText="1"/>
    </xf>
    <xf numFmtId="0" fontId="0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171" fontId="0" fillId="0" borderId="6" xfId="0" applyNumberFormat="1" applyFont="1" applyBorder="1" applyAlignment="1">
      <alignment horizontal="center"/>
    </xf>
    <xf numFmtId="171" fontId="0" fillId="0" borderId="12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171" fontId="0" fillId="0" borderId="8" xfId="0" applyNumberFormat="1" applyBorder="1" applyAlignment="1">
      <alignment horizontal="center"/>
    </xf>
    <xf numFmtId="171" fontId="0" fillId="0" borderId="0" xfId="0" applyNumberFormat="1" applyAlignment="1">
      <alignment horizontal="center"/>
    </xf>
    <xf numFmtId="170" fontId="14" fillId="2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35">
    <cellStyle name="Normal" xfId="0"/>
    <cellStyle name="Calculation" xfId="15"/>
    <cellStyle name="Comma" xfId="16"/>
    <cellStyle name="Comma [0]" xfId="17"/>
    <cellStyle name="Comma0" xfId="18"/>
    <cellStyle name="Comma0 - Style4" xfId="19"/>
    <cellStyle name="Comma1 - Style1" xfId="20"/>
    <cellStyle name="Curren - Style2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ing 1" xfId="28"/>
    <cellStyle name="Heading 2" xfId="29"/>
    <cellStyle name="Hyperlink" xfId="30"/>
    <cellStyle name="Percen - Style2" xfId="31"/>
    <cellStyle name="Percen - Style3" xfId="32"/>
    <cellStyle name="Percent" xfId="33"/>
    <cellStyle name="Report" xfId="34"/>
    <cellStyle name="Report - Style5" xfId="35"/>
    <cellStyle name="Report - Style6" xfId="36"/>
    <cellStyle name="Report - Style7" xfId="37"/>
    <cellStyle name="Report - Style8" xfId="38"/>
    <cellStyle name="Report Bar" xfId="39"/>
    <cellStyle name="Report Heading" xfId="40"/>
    <cellStyle name="Report Unit Cost" xfId="41"/>
    <cellStyle name="Reports Total" xfId="42"/>
    <cellStyle name="Title: - Style3" xfId="43"/>
    <cellStyle name="Title: - Style4" xfId="44"/>
    <cellStyle name="Title: Major" xfId="45"/>
    <cellStyle name="Title: Minor" xfId="46"/>
    <cellStyle name="Title: Worksheet" xfId="47"/>
    <cellStyle name="Total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ates\Public\BASIS\GRC-Cond_%2009_2003rorRAF\RateSpre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EQUAL PERCENT"/>
      <sheetName val="UNIFORM"/>
      <sheetName val="PARITY"/>
      <sheetName val="Comparison of Gas Cost Recovery"/>
      <sheetName val="RAF in Margin"/>
      <sheetName val="Schedule_RAF in Margi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26"/>
  <sheetViews>
    <sheetView workbookViewId="0" topLeftCell="A1">
      <selection activeCell="A22" sqref="A22"/>
    </sheetView>
  </sheetViews>
  <sheetFormatPr defaultColWidth="9.140625" defaultRowHeight="12.75"/>
  <cols>
    <col min="1" max="1" width="23.28125" style="46" bestFit="1" customWidth="1"/>
    <col min="2" max="2" width="12.00390625" style="48" bestFit="1" customWidth="1"/>
    <col min="3" max="3" width="12.57421875" style="48" customWidth="1"/>
    <col min="4" max="4" width="16.00390625" style="48" bestFit="1" customWidth="1"/>
    <col min="5" max="5" width="11.140625" style="47" bestFit="1" customWidth="1"/>
    <col min="6" max="6" width="9.28125" style="5" customWidth="1"/>
    <col min="7" max="7" width="18.140625" style="36" customWidth="1"/>
    <col min="8" max="8" width="16.57421875" style="5" customWidth="1"/>
    <col min="9" max="9" width="10.00390625" style="49" customWidth="1"/>
    <col min="10" max="10" width="14.00390625" style="5" customWidth="1"/>
    <col min="11" max="11" width="9.140625" style="5" customWidth="1"/>
    <col min="12" max="12" width="16.140625" style="147" customWidth="1"/>
    <col min="13" max="16384" width="9.140625" style="5" customWidth="1"/>
  </cols>
  <sheetData>
    <row r="1" spans="1:10" ht="15" customHeight="1">
      <c r="A1" s="138"/>
      <c r="B1" s="139" t="s">
        <v>0</v>
      </c>
      <c r="C1" s="1" t="s">
        <v>1</v>
      </c>
      <c r="D1" s="2"/>
      <c r="E1" s="139"/>
      <c r="F1" s="1" t="s">
        <v>2</v>
      </c>
      <c r="G1" s="3"/>
      <c r="H1" s="224" t="s">
        <v>3</v>
      </c>
      <c r="I1" s="225"/>
      <c r="J1" s="9"/>
    </row>
    <row r="2" spans="1:10" ht="12.75">
      <c r="A2" s="10" t="s">
        <v>4</v>
      </c>
      <c r="B2" s="11" t="s">
        <v>5</v>
      </c>
      <c r="C2" s="11" t="s">
        <v>6</v>
      </c>
      <c r="D2" s="12" t="s">
        <v>66</v>
      </c>
      <c r="E2" s="11" t="s">
        <v>7</v>
      </c>
      <c r="F2" s="11" t="s">
        <v>6</v>
      </c>
      <c r="G2" s="13" t="s">
        <v>66</v>
      </c>
      <c r="H2" s="13" t="s">
        <v>8</v>
      </c>
      <c r="I2" s="14" t="s">
        <v>9</v>
      </c>
      <c r="J2" s="9"/>
    </row>
    <row r="3" spans="1:9" ht="12.75">
      <c r="A3" s="15"/>
      <c r="B3" s="16"/>
      <c r="C3" s="7"/>
      <c r="D3" s="7"/>
      <c r="E3" s="17"/>
      <c r="F3" s="16"/>
      <c r="G3" s="8"/>
      <c r="H3" s="16"/>
      <c r="I3" s="18"/>
    </row>
    <row r="4" spans="1:10" ht="12.75">
      <c r="A4" s="19" t="s">
        <v>59</v>
      </c>
      <c r="B4" s="7"/>
      <c r="C4" s="7"/>
      <c r="D4" s="7"/>
      <c r="E4" s="20"/>
      <c r="F4" s="16"/>
      <c r="G4" s="8"/>
      <c r="H4" s="16"/>
      <c r="I4" s="18"/>
      <c r="J4" s="21" t="s">
        <v>10</v>
      </c>
    </row>
    <row r="5" spans="1:10" ht="12.75">
      <c r="A5" s="22" t="s">
        <v>11</v>
      </c>
      <c r="B5" s="17">
        <v>6945588</v>
      </c>
      <c r="C5" s="8">
        <v>5.5</v>
      </c>
      <c r="D5" s="8">
        <f>SUM(+B5*C5)</f>
        <v>38200734</v>
      </c>
      <c r="E5" s="17">
        <f>+B5</f>
        <v>6945588</v>
      </c>
      <c r="F5" s="8">
        <v>6.5</v>
      </c>
      <c r="G5" s="8">
        <f>SUM(+E5*F5)</f>
        <v>45146322</v>
      </c>
      <c r="H5" s="16"/>
      <c r="I5" s="18"/>
      <c r="J5" s="23">
        <v>32413037.8295086</v>
      </c>
    </row>
    <row r="6" spans="1:12" ht="12.75">
      <c r="A6" s="22" t="s">
        <v>61</v>
      </c>
      <c r="B6" s="17">
        <v>6945588</v>
      </c>
      <c r="C6" s="8">
        <v>0</v>
      </c>
      <c r="D6" s="8">
        <f>SUM(+B6*C6)</f>
        <v>0</v>
      </c>
      <c r="E6" s="17">
        <f>+B6</f>
        <v>6945588</v>
      </c>
      <c r="F6" s="8">
        <v>7.5</v>
      </c>
      <c r="G6" s="8">
        <f>SUM(+E6*F6)</f>
        <v>52091910</v>
      </c>
      <c r="H6" s="16"/>
      <c r="I6" s="18"/>
      <c r="J6" s="23" t="s">
        <v>13</v>
      </c>
      <c r="L6" s="155" t="s">
        <v>70</v>
      </c>
    </row>
    <row r="7" spans="1:12" ht="12.75">
      <c r="A7" s="15" t="s">
        <v>12</v>
      </c>
      <c r="B7" s="17">
        <v>498267928</v>
      </c>
      <c r="C7" s="24">
        <v>0.26113</v>
      </c>
      <c r="D7" s="8">
        <f>ROUND(B7*C7,2)</f>
        <v>130112704.04</v>
      </c>
      <c r="E7" s="17">
        <f>+B7</f>
        <v>498267928</v>
      </c>
      <c r="F7" s="24">
        <f>+ROUND((J5+D9-G5-G6)/E7,5)</f>
        <v>0.2077</v>
      </c>
      <c r="G7" s="8">
        <f>ROUND(E7*F7,2)</f>
        <v>103490248.65</v>
      </c>
      <c r="H7" s="24"/>
      <c r="I7" s="25"/>
      <c r="J7" s="26">
        <f>+J5-H9</f>
        <v>-2004.780491385609</v>
      </c>
      <c r="L7" s="156">
        <f>ROUND(+(J5+D9-G5)/E7,5)</f>
        <v>0.31224</v>
      </c>
    </row>
    <row r="8" spans="1:12" ht="12.75">
      <c r="A8" s="15"/>
      <c r="B8" s="17"/>
      <c r="C8" s="24"/>
      <c r="D8" s="8"/>
      <c r="E8" s="17"/>
      <c r="F8" s="24"/>
      <c r="G8" s="8"/>
      <c r="H8" s="24"/>
      <c r="I8" s="25"/>
      <c r="J8" s="27"/>
      <c r="L8" s="155"/>
    </row>
    <row r="9" spans="1:12" ht="12.75">
      <c r="A9" s="22" t="s">
        <v>14</v>
      </c>
      <c r="B9" s="17">
        <f>SUM(B7)</f>
        <v>498267928</v>
      </c>
      <c r="C9" s="7"/>
      <c r="D9" s="8">
        <f>SUM(D5:D7)</f>
        <v>168313438.04000002</v>
      </c>
      <c r="E9" s="17">
        <f>SUM(E7)</f>
        <v>498267928</v>
      </c>
      <c r="F9" s="16"/>
      <c r="G9" s="8">
        <f>SUM(G5:G7)</f>
        <v>200728480.65</v>
      </c>
      <c r="H9" s="32">
        <f>G9-D9</f>
        <v>32415042.609999985</v>
      </c>
      <c r="I9" s="33">
        <f>ROUND(H9/D9,5)</f>
        <v>0.19259</v>
      </c>
      <c r="J9" s="220" t="s">
        <v>15</v>
      </c>
      <c r="K9" s="222" t="s">
        <v>16</v>
      </c>
      <c r="L9" s="218" t="s">
        <v>62</v>
      </c>
    </row>
    <row r="10" spans="1:12" ht="26.25" customHeight="1">
      <c r="A10" s="15"/>
      <c r="B10" s="7"/>
      <c r="C10" s="7"/>
      <c r="D10" s="7"/>
      <c r="E10" s="17"/>
      <c r="F10" s="16"/>
      <c r="G10" s="8"/>
      <c r="H10" s="16"/>
      <c r="I10" s="18"/>
      <c r="J10" s="221"/>
      <c r="K10" s="223"/>
      <c r="L10" s="219"/>
    </row>
    <row r="11" spans="1:12" ht="12.75">
      <c r="A11" s="15" t="s">
        <v>63</v>
      </c>
      <c r="B11" s="7"/>
      <c r="C11" s="24">
        <v>0.5544</v>
      </c>
      <c r="D11" s="8">
        <f>C11*B9</f>
        <v>276239739.2832</v>
      </c>
      <c r="E11" s="16"/>
      <c r="F11" s="24">
        <f>+L11</f>
        <v>0.55509</v>
      </c>
      <c r="G11" s="8">
        <f>F11*E9</f>
        <v>276583544.15352</v>
      </c>
      <c r="H11" s="32">
        <f>G11-D11</f>
        <v>343804.8703199625</v>
      </c>
      <c r="I11" s="33">
        <f>ROUND(H11/D11,5)</f>
        <v>0.00124</v>
      </c>
      <c r="J11" s="29">
        <v>0.53076</v>
      </c>
      <c r="K11" s="27">
        <v>1.04584</v>
      </c>
      <c r="L11" s="145">
        <f>ROUND(J11*K11,5)</f>
        <v>0.55509</v>
      </c>
    </row>
    <row r="12" spans="1:9" ht="14.25" customHeight="1">
      <c r="A12" s="15"/>
      <c r="B12" s="7"/>
      <c r="C12" s="7"/>
      <c r="D12" s="7"/>
      <c r="E12" s="17"/>
      <c r="F12" s="30"/>
      <c r="G12" s="8"/>
      <c r="H12" s="16"/>
      <c r="I12" s="25"/>
    </row>
    <row r="13" spans="1:10" ht="13.5" thickBot="1">
      <c r="A13" s="22" t="s">
        <v>65</v>
      </c>
      <c r="B13" s="7"/>
      <c r="C13" s="7"/>
      <c r="D13" s="31">
        <f>D9+D11</f>
        <v>444553177.32320005</v>
      </c>
      <c r="E13" s="17"/>
      <c r="F13" s="16"/>
      <c r="G13" s="31">
        <f>G9+G11</f>
        <v>477312024.80351996</v>
      </c>
      <c r="H13" s="32">
        <f>G13-D13</f>
        <v>32758847.480319917</v>
      </c>
      <c r="I13" s="33">
        <f>ROUND(H13/D13,5)</f>
        <v>0.07369</v>
      </c>
      <c r="J13" s="34"/>
    </row>
    <row r="14" spans="1:9" ht="13.5" thickTop="1">
      <c r="A14" s="15"/>
      <c r="B14" s="7"/>
      <c r="C14" s="161"/>
      <c r="D14" s="162"/>
      <c r="E14" s="17"/>
      <c r="F14" s="16"/>
      <c r="G14" s="8"/>
      <c r="H14" s="16"/>
      <c r="I14" s="25"/>
    </row>
    <row r="15" spans="1:10" ht="12.75">
      <c r="A15" s="19" t="s">
        <v>17</v>
      </c>
      <c r="B15" s="38" t="s">
        <v>18</v>
      </c>
      <c r="C15" s="16"/>
      <c r="D15" s="8"/>
      <c r="E15" s="38" t="s">
        <v>18</v>
      </c>
      <c r="F15" s="16"/>
      <c r="G15" s="8"/>
      <c r="H15" s="153"/>
      <c r="I15" s="18"/>
      <c r="J15" s="135">
        <v>1373.17049140497</v>
      </c>
    </row>
    <row r="16" spans="1:10" ht="12.75">
      <c r="A16" s="22" t="s">
        <v>19</v>
      </c>
      <c r="B16" s="17">
        <v>1003</v>
      </c>
      <c r="C16" s="8">
        <v>11.78</v>
      </c>
      <c r="D16" s="8">
        <f>ROUND(B16*C16,2)</f>
        <v>11815.34</v>
      </c>
      <c r="E16" s="17">
        <f>+B16</f>
        <v>1003</v>
      </c>
      <c r="F16" s="8">
        <v>13.02</v>
      </c>
      <c r="G16" s="8">
        <f>ROUND(E16*F16,2)</f>
        <v>13059.06</v>
      </c>
      <c r="H16" s="183"/>
      <c r="I16" s="184"/>
      <c r="J16" s="136" t="s">
        <v>13</v>
      </c>
    </row>
    <row r="17" spans="1:10" ht="12.75">
      <c r="A17" s="15" t="s">
        <v>20</v>
      </c>
      <c r="B17" s="17">
        <v>84</v>
      </c>
      <c r="C17" s="8">
        <v>10.78</v>
      </c>
      <c r="D17" s="8">
        <f>ROUND(B17*C17,2)</f>
        <v>905.52</v>
      </c>
      <c r="E17" s="17">
        <f>+B17</f>
        <v>84</v>
      </c>
      <c r="F17" s="8">
        <f>F16-1</f>
        <v>12.02</v>
      </c>
      <c r="G17" s="8">
        <f>ROUND(E17*F17,2)</f>
        <v>1009.68</v>
      </c>
      <c r="H17" s="183"/>
      <c r="I17" s="184"/>
      <c r="J17" s="137">
        <f>J15-H21</f>
        <v>-4.4695085950293105</v>
      </c>
    </row>
    <row r="18" spans="1:9" ht="12.75">
      <c r="A18" s="15" t="s">
        <v>21</v>
      </c>
      <c r="B18" s="17">
        <v>24</v>
      </c>
      <c r="C18" s="8">
        <v>9.78</v>
      </c>
      <c r="D18" s="8">
        <f>ROUND(B18*C18,2)</f>
        <v>234.72</v>
      </c>
      <c r="E18" s="17">
        <f>+B18</f>
        <v>24</v>
      </c>
      <c r="F18" s="8">
        <f>F17-1</f>
        <v>11.02</v>
      </c>
      <c r="G18" s="8">
        <f>ROUND(E18*F18,2)</f>
        <v>264.48</v>
      </c>
      <c r="H18" s="183"/>
      <c r="I18" s="184"/>
    </row>
    <row r="19" spans="1:9" ht="12.75">
      <c r="A19" s="15"/>
      <c r="B19" s="17">
        <f>SUM(B16:B18)</f>
        <v>1111</v>
      </c>
      <c r="C19" s="16"/>
      <c r="D19" s="8"/>
      <c r="E19" s="17">
        <f>+B19</f>
        <v>1111</v>
      </c>
      <c r="F19" s="16"/>
      <c r="G19" s="8"/>
      <c r="H19" s="39"/>
      <c r="I19" s="25"/>
    </row>
    <row r="20" spans="1:9" ht="12.75">
      <c r="A20" s="15"/>
      <c r="B20" s="16"/>
      <c r="C20" s="16"/>
      <c r="D20" s="16"/>
      <c r="E20" s="16"/>
      <c r="F20" s="16"/>
      <c r="G20" s="16"/>
      <c r="H20" s="16"/>
      <c r="I20" s="25"/>
    </row>
    <row r="21" spans="1:9" ht="12.75">
      <c r="A21" s="22" t="s">
        <v>14</v>
      </c>
      <c r="B21" s="17">
        <f>+B19*19</f>
        <v>21109</v>
      </c>
      <c r="C21" s="17" t="s">
        <v>22</v>
      </c>
      <c r="D21" s="8">
        <f>SUM(D16:D18)</f>
        <v>12955.58</v>
      </c>
      <c r="E21" s="17">
        <f>+B21</f>
        <v>21109</v>
      </c>
      <c r="F21" s="17" t="s">
        <v>22</v>
      </c>
      <c r="G21" s="8">
        <f>SUM(G16:G18)</f>
        <v>14333.22</v>
      </c>
      <c r="H21" s="32">
        <f>G21-D21</f>
        <v>1377.6399999999994</v>
      </c>
      <c r="I21" s="33">
        <f>ROUND(H21/D21,5)</f>
        <v>0.10634</v>
      </c>
    </row>
    <row r="22" spans="1:12" ht="38.25">
      <c r="A22" s="15"/>
      <c r="B22" s="7"/>
      <c r="C22" s="7"/>
      <c r="D22" s="7"/>
      <c r="E22" s="17"/>
      <c r="F22" s="16"/>
      <c r="G22" s="8"/>
      <c r="H22" s="16"/>
      <c r="I22" s="18"/>
      <c r="J22" s="28" t="s">
        <v>15</v>
      </c>
      <c r="K22" s="28" t="s">
        <v>16</v>
      </c>
      <c r="L22" s="144" t="s">
        <v>62</v>
      </c>
    </row>
    <row r="23" spans="1:12" ht="12.75">
      <c r="A23" s="22" t="s">
        <v>63</v>
      </c>
      <c r="B23" s="7"/>
      <c r="C23" s="24">
        <v>0.52158</v>
      </c>
      <c r="D23" s="8">
        <f>B21*C23</f>
        <v>11010.032220000001</v>
      </c>
      <c r="E23" s="37"/>
      <c r="F23" s="24">
        <f>+L23</f>
        <v>0.52223</v>
      </c>
      <c r="G23" s="8">
        <f>E21*F23</f>
        <v>11023.753069999999</v>
      </c>
      <c r="H23" s="32">
        <f>G23-D23</f>
        <v>13.720849999997881</v>
      </c>
      <c r="I23" s="33">
        <f>ROUND(H23/D23,5)</f>
        <v>0.00125</v>
      </c>
      <c r="J23" s="29">
        <v>0.49934</v>
      </c>
      <c r="K23" s="27">
        <v>1.04584</v>
      </c>
      <c r="L23" s="145">
        <f>ROUND(J23*K23,5)</f>
        <v>0.52223</v>
      </c>
    </row>
    <row r="24" spans="1:10" ht="24.75" customHeight="1">
      <c r="A24" s="6"/>
      <c r="B24" s="7"/>
      <c r="C24" s="7"/>
      <c r="D24" s="7"/>
      <c r="E24" s="35"/>
      <c r="F24" s="7"/>
      <c r="G24" s="8"/>
      <c r="H24" s="7"/>
      <c r="I24" s="40"/>
      <c r="J24" s="4"/>
    </row>
    <row r="25" spans="1:10" ht="16.5" customHeight="1" thickBot="1">
      <c r="A25" s="15" t="s">
        <v>65</v>
      </c>
      <c r="B25" s="7"/>
      <c r="C25" s="7"/>
      <c r="D25" s="31">
        <f>D21+D23</f>
        <v>23965.612220000003</v>
      </c>
      <c r="E25" s="17"/>
      <c r="F25" s="16"/>
      <c r="G25" s="31">
        <f>G21+G23</f>
        <v>25356.97307</v>
      </c>
      <c r="H25" s="32">
        <f>G25-D25</f>
        <v>1391.3608499999973</v>
      </c>
      <c r="I25" s="33">
        <f>ROUND(H25/D25,5)</f>
        <v>0.05806</v>
      </c>
      <c r="J25" s="4"/>
    </row>
    <row r="26" spans="1:9" ht="13.5" thickTop="1">
      <c r="A26" s="41"/>
      <c r="B26" s="42"/>
      <c r="C26" s="154"/>
      <c r="D26" s="164"/>
      <c r="E26" s="43"/>
      <c r="F26" s="42"/>
      <c r="G26" s="44"/>
      <c r="H26" s="42"/>
      <c r="I26" s="45"/>
    </row>
  </sheetData>
  <mergeCells count="4">
    <mergeCell ref="L9:L10"/>
    <mergeCell ref="J9:J10"/>
    <mergeCell ref="K9:K10"/>
    <mergeCell ref="H1:I1"/>
  </mergeCells>
  <printOptions/>
  <pageMargins left="0.51" right="0.67" top="1.94" bottom="0.85" header="1.5" footer="0.5"/>
  <pageSetup fitToHeight="1" fitToWidth="1" horizontalDpi="600" verticalDpi="600" orientation="landscape" scale="76" r:id="rId1"/>
  <headerFooter alignWithMargins="0">
    <oddHeader>&amp;C&amp;"Arial,Bold"PUGET SOUND ENERGY - GAS 
REVISED NATURAL GAS RATE DESIGN&amp;"Arial,Regular"
TWELVE MONTHS ENDED SEPTEMBER 30, 2003&amp;RExhibit No. ___(JAH-25)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L72"/>
  <sheetViews>
    <sheetView workbookViewId="0" topLeftCell="A1">
      <selection activeCell="A22" sqref="A22"/>
    </sheetView>
  </sheetViews>
  <sheetFormatPr defaultColWidth="9.140625" defaultRowHeight="12.75"/>
  <cols>
    <col min="1" max="1" width="23.421875" style="106" customWidth="1"/>
    <col min="2" max="2" width="12.7109375" style="107" bestFit="1" customWidth="1"/>
    <col min="3" max="3" width="14.28125" style="107" bestFit="1" customWidth="1"/>
    <col min="4" max="4" width="15.28125" style="113" bestFit="1" customWidth="1"/>
    <col min="5" max="5" width="16.00390625" style="109" bestFit="1" customWidth="1"/>
    <col min="6" max="6" width="12.57421875" style="0" customWidth="1"/>
    <col min="7" max="7" width="15.28125" style="108" bestFit="1" customWidth="1"/>
    <col min="8" max="8" width="15.140625" style="111" customWidth="1"/>
    <col min="9" max="9" width="8.28125" style="110" bestFit="1" customWidth="1"/>
    <col min="10" max="10" width="13.7109375" style="0" customWidth="1"/>
    <col min="11" max="11" width="8.421875" style="0" customWidth="1"/>
    <col min="12" max="12" width="14.8515625" style="143" customWidth="1"/>
  </cols>
  <sheetData>
    <row r="1" spans="1:10" ht="12" customHeight="1">
      <c r="A1" s="140"/>
      <c r="B1" s="141" t="s">
        <v>0</v>
      </c>
      <c r="C1" s="50" t="s">
        <v>1</v>
      </c>
      <c r="D1" s="51"/>
      <c r="E1" s="141"/>
      <c r="F1" s="50" t="s">
        <v>2</v>
      </c>
      <c r="G1" s="51"/>
      <c r="H1" s="51" t="s">
        <v>3</v>
      </c>
      <c r="I1" s="142"/>
      <c r="J1" s="59"/>
    </row>
    <row r="2" spans="1:10" ht="12.75">
      <c r="A2" s="60" t="s">
        <v>4</v>
      </c>
      <c r="B2" s="61" t="s">
        <v>5</v>
      </c>
      <c r="C2" s="61" t="s">
        <v>6</v>
      </c>
      <c r="D2" s="62" t="s">
        <v>66</v>
      </c>
      <c r="E2" s="61" t="s">
        <v>7</v>
      </c>
      <c r="F2" s="61" t="s">
        <v>6</v>
      </c>
      <c r="G2" s="62" t="s">
        <v>66</v>
      </c>
      <c r="H2" s="63" t="s">
        <v>8</v>
      </c>
      <c r="I2" s="64" t="s">
        <v>9</v>
      </c>
      <c r="J2" s="59"/>
    </row>
    <row r="3" spans="1:9" ht="15.75">
      <c r="A3" s="65"/>
      <c r="B3" s="66"/>
      <c r="C3" s="66"/>
      <c r="D3" s="67"/>
      <c r="E3" s="68"/>
      <c r="F3" s="69"/>
      <c r="G3" s="56"/>
      <c r="H3" s="55"/>
      <c r="I3" s="58"/>
    </row>
    <row r="4" spans="1:10" ht="15.75">
      <c r="A4" s="70" t="s">
        <v>51</v>
      </c>
      <c r="B4" s="68"/>
      <c r="C4" s="69"/>
      <c r="D4" s="56"/>
      <c r="E4" s="68"/>
      <c r="F4" s="69"/>
      <c r="G4" s="56"/>
      <c r="H4" s="55"/>
      <c r="I4" s="58"/>
      <c r="J4" s="71" t="s">
        <v>10</v>
      </c>
    </row>
    <row r="5" spans="1:10" ht="12.75">
      <c r="A5" s="72" t="s">
        <v>11</v>
      </c>
      <c r="B5" s="68">
        <v>511992</v>
      </c>
      <c r="C5" s="8">
        <v>10</v>
      </c>
      <c r="D5" s="56">
        <f>ROUND(B5*C5,2)</f>
        <v>5119920</v>
      </c>
      <c r="E5" s="68">
        <f>+B5</f>
        <v>511992</v>
      </c>
      <c r="F5" s="56">
        <v>30</v>
      </c>
      <c r="G5" s="56">
        <f>ROUND(E5*F5,2)</f>
        <v>15359760</v>
      </c>
      <c r="H5" s="55"/>
      <c r="I5" s="58"/>
      <c r="J5" s="23">
        <v>6555963</v>
      </c>
    </row>
    <row r="6" spans="1:10" ht="12.75">
      <c r="A6" s="74" t="s">
        <v>12</v>
      </c>
      <c r="B6" s="68">
        <v>152705401</v>
      </c>
      <c r="C6" s="24">
        <v>0.23741999999999996</v>
      </c>
      <c r="D6" s="56">
        <f>ROUND(B6*C6,2)</f>
        <v>36255316.31</v>
      </c>
      <c r="E6" s="68">
        <f>+B6</f>
        <v>152705401</v>
      </c>
      <c r="F6" s="76">
        <f>ROUND(+C6*$J$8,5)</f>
        <v>0.21466</v>
      </c>
      <c r="G6" s="56">
        <f>ROUND(E6*F6,2)</f>
        <v>32779741.38</v>
      </c>
      <c r="H6" s="55"/>
      <c r="I6" s="58"/>
      <c r="J6" s="73" t="s">
        <v>13</v>
      </c>
    </row>
    <row r="7" spans="1:12" ht="15.75">
      <c r="A7" s="74"/>
      <c r="B7" s="68"/>
      <c r="C7" s="66"/>
      <c r="D7" s="56"/>
      <c r="E7" s="68"/>
      <c r="F7" s="76"/>
      <c r="G7" s="56"/>
      <c r="H7" s="55"/>
      <c r="I7" s="58"/>
      <c r="J7" s="77">
        <f>J5-H8-H21-H36</f>
        <v>-777.7299999947136</v>
      </c>
      <c r="K7" s="228"/>
      <c r="L7" s="229"/>
    </row>
    <row r="8" spans="1:10" ht="12.75">
      <c r="A8" s="72" t="s">
        <v>14</v>
      </c>
      <c r="B8" s="68">
        <f>B6+B7</f>
        <v>152705401</v>
      </c>
      <c r="C8" s="54"/>
      <c r="D8" s="56">
        <f>SUM(D5:D7)</f>
        <v>41375236.31</v>
      </c>
      <c r="E8" s="68">
        <f>E6+E7</f>
        <v>152705401</v>
      </c>
      <c r="F8" s="68"/>
      <c r="G8" s="56">
        <f>SUM(G5:G7)</f>
        <v>48139501.379999995</v>
      </c>
      <c r="H8" s="84">
        <f>G8-D8</f>
        <v>6764265.069999993</v>
      </c>
      <c r="I8" s="85">
        <f>ROUND(H8/D8,5)</f>
        <v>0.16349</v>
      </c>
      <c r="J8" s="178">
        <v>0.90415</v>
      </c>
    </row>
    <row r="9" spans="1:12" ht="36.75" customHeight="1">
      <c r="A9" s="72"/>
      <c r="B9" s="69"/>
      <c r="C9" s="69"/>
      <c r="D9" s="56"/>
      <c r="E9" s="68"/>
      <c r="F9" s="68"/>
      <c r="G9" s="56"/>
      <c r="H9" s="56"/>
      <c r="I9" s="78"/>
      <c r="J9" s="28" t="s">
        <v>15</v>
      </c>
      <c r="K9" s="28" t="s">
        <v>16</v>
      </c>
      <c r="L9" s="144" t="s">
        <v>62</v>
      </c>
    </row>
    <row r="10" spans="1:12" ht="12.75">
      <c r="A10" s="79" t="s">
        <v>63</v>
      </c>
      <c r="B10" s="54"/>
      <c r="C10" s="76">
        <v>0.54323</v>
      </c>
      <c r="D10" s="56">
        <f>C10*B8</f>
        <v>82954154.98523</v>
      </c>
      <c r="E10" s="69"/>
      <c r="F10" s="76">
        <f>+L10</f>
        <v>0.54391</v>
      </c>
      <c r="G10" s="56">
        <f>F10*E8</f>
        <v>83057994.65791</v>
      </c>
      <c r="H10" s="84">
        <f>G10-D10</f>
        <v>103839.67268000543</v>
      </c>
      <c r="I10" s="85">
        <f>ROUND(H10/D10,5)</f>
        <v>0.00125</v>
      </c>
      <c r="J10" s="29">
        <v>0.52007</v>
      </c>
      <c r="K10" s="27">
        <v>1.04584</v>
      </c>
      <c r="L10" s="145">
        <f>ROUND(J10*K10,5)</f>
        <v>0.54391</v>
      </c>
    </row>
    <row r="11" spans="1:9" ht="12.75">
      <c r="A11" s="74"/>
      <c r="B11" s="54"/>
      <c r="C11" s="54"/>
      <c r="D11" s="55"/>
      <c r="E11" s="80"/>
      <c r="F11" s="81"/>
      <c r="G11" s="55"/>
      <c r="H11" s="55"/>
      <c r="I11" s="58"/>
    </row>
    <row r="12" spans="1:9" ht="16.5" customHeight="1" thickBot="1">
      <c r="A12" s="74" t="s">
        <v>65</v>
      </c>
      <c r="B12" s="54"/>
      <c r="C12" s="54"/>
      <c r="D12" s="83">
        <f>D10+D8</f>
        <v>124329391.29523</v>
      </c>
      <c r="E12" s="80"/>
      <c r="F12" s="82"/>
      <c r="G12" s="83">
        <f>G10+G8</f>
        <v>131197496.03791</v>
      </c>
      <c r="H12" s="84">
        <f>G12-D12</f>
        <v>6868104.742679998</v>
      </c>
      <c r="I12" s="85">
        <f>ROUND(H12/D12,5)</f>
        <v>0.05524</v>
      </c>
    </row>
    <row r="13" spans="1:9" ht="13.5" thickTop="1">
      <c r="A13" s="74"/>
      <c r="B13" s="54"/>
      <c r="C13" s="163" t="e">
        <f>+#REF!</f>
        <v>#REF!</v>
      </c>
      <c r="D13" s="163"/>
      <c r="E13" s="69"/>
      <c r="F13" s="86"/>
      <c r="G13" s="56"/>
      <c r="H13" s="55"/>
      <c r="I13" s="58"/>
    </row>
    <row r="14" spans="1:10" ht="12.75">
      <c r="A14" s="53"/>
      <c r="B14" s="54"/>
      <c r="C14" s="54"/>
      <c r="D14" s="55"/>
      <c r="E14" s="54"/>
      <c r="F14" s="54"/>
      <c r="G14" s="56"/>
      <c r="H14" s="55"/>
      <c r="I14" s="58"/>
      <c r="J14" s="52"/>
    </row>
    <row r="15" spans="1:9" ht="12.75">
      <c r="A15" s="74"/>
      <c r="B15" s="54"/>
      <c r="C15" s="54"/>
      <c r="D15" s="55"/>
      <c r="E15" s="69"/>
      <c r="F15" s="69"/>
      <c r="G15" s="56"/>
      <c r="H15" s="55"/>
      <c r="I15" s="58"/>
    </row>
    <row r="16" spans="1:10" ht="12.75">
      <c r="A16" s="53"/>
      <c r="B16" s="54"/>
      <c r="C16" s="54"/>
      <c r="D16" s="55"/>
      <c r="E16" s="54"/>
      <c r="F16" s="54"/>
      <c r="G16" s="56"/>
      <c r="H16" s="55"/>
      <c r="I16" s="58"/>
      <c r="J16" s="52"/>
    </row>
    <row r="17" spans="1:9" ht="15.75">
      <c r="A17" s="70" t="s">
        <v>23</v>
      </c>
      <c r="B17" s="54"/>
      <c r="C17" s="54"/>
      <c r="D17" s="55"/>
      <c r="E17" s="87"/>
      <c r="F17" s="69"/>
      <c r="G17" s="56"/>
      <c r="H17" s="55"/>
      <c r="I17" s="58"/>
    </row>
    <row r="18" spans="1:9" ht="12.75">
      <c r="A18" s="72" t="s">
        <v>11</v>
      </c>
      <c r="B18" s="68">
        <v>60516</v>
      </c>
      <c r="C18" s="56">
        <v>20</v>
      </c>
      <c r="D18" s="56">
        <f>ROUND(B18*C18,2)</f>
        <v>1210320</v>
      </c>
      <c r="E18" s="68">
        <f>+B18</f>
        <v>60516</v>
      </c>
      <c r="F18" s="56">
        <f>+C18*1.5</f>
        <v>30</v>
      </c>
      <c r="G18" s="56">
        <f>ROUND(E18*F18,2)</f>
        <v>1815480</v>
      </c>
      <c r="H18" s="55"/>
      <c r="I18" s="58"/>
    </row>
    <row r="19" spans="1:9" ht="12.75">
      <c r="A19" s="74" t="s">
        <v>12</v>
      </c>
      <c r="B19" s="68">
        <v>39915381</v>
      </c>
      <c r="C19" s="24">
        <v>0.22042000000000006</v>
      </c>
      <c r="D19" s="56">
        <f>ROUND(B19*C19,2)</f>
        <v>8798148.28</v>
      </c>
      <c r="E19" s="68">
        <f>+B19</f>
        <v>39915381</v>
      </c>
      <c r="F19" s="76">
        <f>ROUND(+C19*$J$8,5)</f>
        <v>0.19929</v>
      </c>
      <c r="G19" s="56">
        <f>ROUND(E19*F19,2)</f>
        <v>7954736.28</v>
      </c>
      <c r="H19" s="55"/>
      <c r="I19" s="58"/>
    </row>
    <row r="20" spans="1:9" ht="15.75">
      <c r="A20" s="74"/>
      <c r="B20" s="68"/>
      <c r="C20" s="66"/>
      <c r="D20" s="56"/>
      <c r="E20" s="68"/>
      <c r="F20" s="76"/>
      <c r="G20" s="56"/>
      <c r="H20" s="55"/>
      <c r="I20" s="58"/>
    </row>
    <row r="21" spans="1:9" ht="12.75">
      <c r="A21" s="72" t="s">
        <v>14</v>
      </c>
      <c r="B21" s="68">
        <f>B19+B20</f>
        <v>39915381</v>
      </c>
      <c r="C21" s="54"/>
      <c r="D21" s="56">
        <f>SUM(D18:D20)</f>
        <v>10008468.28</v>
      </c>
      <c r="E21" s="68">
        <f>E19+E20</f>
        <v>39915381</v>
      </c>
      <c r="F21" s="68"/>
      <c r="G21" s="56">
        <f>SUM(G18:G20)</f>
        <v>9770216.280000001</v>
      </c>
      <c r="H21" s="84">
        <f>G21-D21</f>
        <v>-238251.99999999814</v>
      </c>
      <c r="I21" s="85">
        <f>ROUND(H21/D21,5)</f>
        <v>-0.02381</v>
      </c>
    </row>
    <row r="22" spans="1:9" ht="12.75">
      <c r="A22" s="72"/>
      <c r="B22" s="54"/>
      <c r="C22" s="69"/>
      <c r="D22" s="56"/>
      <c r="E22" s="68"/>
      <c r="F22" s="68"/>
      <c r="G22" s="56"/>
      <c r="H22" s="55"/>
      <c r="I22" s="58"/>
    </row>
    <row r="23" spans="1:9" ht="12.75">
      <c r="A23" s="79" t="s">
        <v>63</v>
      </c>
      <c r="B23" s="54"/>
      <c r="C23" s="115">
        <f>+C10</f>
        <v>0.54323</v>
      </c>
      <c r="D23" s="56">
        <f>C23*B21</f>
        <v>21683232.42063</v>
      </c>
      <c r="E23" s="68"/>
      <c r="F23" s="76">
        <f>+L10</f>
        <v>0.54391</v>
      </c>
      <c r="G23" s="56">
        <f>F23*E21</f>
        <v>21710374.87971</v>
      </c>
      <c r="H23" s="84">
        <f>G23-D23</f>
        <v>27142.459079999477</v>
      </c>
      <c r="I23" s="85">
        <f>ROUND(H23/D23,5)</f>
        <v>0.00125</v>
      </c>
    </row>
    <row r="24" spans="1:9" ht="12.75">
      <c r="A24" s="74"/>
      <c r="B24" s="54"/>
      <c r="C24" s="54"/>
      <c r="D24" s="55"/>
      <c r="E24" s="69"/>
      <c r="F24" s="69"/>
      <c r="G24" s="56"/>
      <c r="H24" s="56"/>
      <c r="I24" s="58"/>
    </row>
    <row r="25" spans="1:9" ht="13.5" thickBot="1">
      <c r="A25" s="74" t="s">
        <v>65</v>
      </c>
      <c r="B25" s="54"/>
      <c r="C25" s="54"/>
      <c r="D25" s="83">
        <f>D23+D21</f>
        <v>31691700.70063</v>
      </c>
      <c r="E25" s="69"/>
      <c r="F25" s="69"/>
      <c r="G25" s="83">
        <f>G23+G21</f>
        <v>31480591.15971</v>
      </c>
      <c r="H25" s="84">
        <f>G25-D25</f>
        <v>-211109.54092000052</v>
      </c>
      <c r="I25" s="85">
        <f>ROUND(H25/D25,5)</f>
        <v>-0.00666</v>
      </c>
    </row>
    <row r="26" spans="1:10" ht="13.5" thickTop="1">
      <c r="A26" s="53"/>
      <c r="B26" s="54"/>
      <c r="C26" s="163"/>
      <c r="D26" s="163"/>
      <c r="E26" s="69"/>
      <c r="F26" s="69"/>
      <c r="G26" s="56"/>
      <c r="H26" s="56"/>
      <c r="I26" s="58"/>
      <c r="J26" s="52"/>
    </row>
    <row r="27" spans="1:9" ht="12.75">
      <c r="A27" s="74"/>
      <c r="B27" s="54"/>
      <c r="C27" s="54"/>
      <c r="D27" s="55"/>
      <c r="E27" s="69"/>
      <c r="F27" s="69"/>
      <c r="G27" s="56"/>
      <c r="H27" s="56"/>
      <c r="I27" s="58"/>
    </row>
    <row r="28" spans="1:10" ht="12.75">
      <c r="A28" s="53"/>
      <c r="B28" s="54"/>
      <c r="C28" s="54"/>
      <c r="D28" s="55"/>
      <c r="E28" s="69"/>
      <c r="F28" s="69"/>
      <c r="G28" s="56"/>
      <c r="H28" s="56"/>
      <c r="I28" s="58"/>
      <c r="J28" s="52"/>
    </row>
    <row r="29" spans="1:10" ht="12.75">
      <c r="A29" s="74"/>
      <c r="B29" s="54"/>
      <c r="C29" s="54"/>
      <c r="D29" s="55"/>
      <c r="E29" s="69"/>
      <c r="F29" s="69"/>
      <c r="G29" s="56"/>
      <c r="H29" s="56"/>
      <c r="I29" s="58"/>
      <c r="J29" s="52">
        <f>IF(G29&lt;&gt;0,IF(G29&lt;0,"OVER","UNDER"),"")</f>
      </c>
    </row>
    <row r="30" spans="1:10" ht="12.75">
      <c r="A30" s="53"/>
      <c r="B30" s="54"/>
      <c r="C30" s="54"/>
      <c r="D30" s="55"/>
      <c r="E30" s="54"/>
      <c r="F30" s="54"/>
      <c r="G30" s="55"/>
      <c r="H30" s="55"/>
      <c r="I30" s="58"/>
      <c r="J30" s="54"/>
    </row>
    <row r="31" spans="1:10" ht="15.75">
      <c r="A31" s="70" t="s">
        <v>24</v>
      </c>
      <c r="B31" s="54"/>
      <c r="C31" s="54"/>
      <c r="D31" s="55"/>
      <c r="E31" s="87"/>
      <c r="F31" s="69"/>
      <c r="G31" s="56"/>
      <c r="H31" s="55"/>
      <c r="I31" s="58"/>
      <c r="J31" s="69"/>
    </row>
    <row r="32" spans="1:10" ht="15.75">
      <c r="A32" s="72" t="s">
        <v>11</v>
      </c>
      <c r="B32" s="68">
        <v>4104</v>
      </c>
      <c r="C32" s="8">
        <v>5.5</v>
      </c>
      <c r="D32" s="56">
        <f>ROUND(B32*C32,2)</f>
        <v>22572</v>
      </c>
      <c r="E32" s="68">
        <f>+B32</f>
        <v>4104</v>
      </c>
      <c r="F32" s="56">
        <f>+'Rate Design - Residential'!F5</f>
        <v>6.5</v>
      </c>
      <c r="G32" s="56">
        <f>ROUND(E32*F32,2)</f>
        <v>26676</v>
      </c>
      <c r="H32" s="67"/>
      <c r="I32" s="88"/>
      <c r="J32" s="100"/>
    </row>
    <row r="33" spans="1:10" ht="15.75">
      <c r="A33" s="22" t="s">
        <v>61</v>
      </c>
      <c r="B33" s="17">
        <f>+B32</f>
        <v>4104</v>
      </c>
      <c r="C33" s="8">
        <v>0</v>
      </c>
      <c r="D33" s="8">
        <f>SUM(+B33*C33)</f>
        <v>0</v>
      </c>
      <c r="E33" s="17">
        <f>+B33</f>
        <v>4104</v>
      </c>
      <c r="F33" s="8">
        <v>7.5</v>
      </c>
      <c r="G33" s="8">
        <f>SUM(+E33*F33)</f>
        <v>30780</v>
      </c>
      <c r="H33" s="67"/>
      <c r="I33" s="88"/>
      <c r="J33" s="185"/>
    </row>
    <row r="34" spans="1:10" ht="12.75">
      <c r="A34" s="74" t="s">
        <v>12</v>
      </c>
      <c r="B34" s="68">
        <v>193408</v>
      </c>
      <c r="C34" s="24">
        <v>0.22423000000000004</v>
      </c>
      <c r="D34" s="56">
        <f>ROUND(B34*C34,2)</f>
        <v>43367.88</v>
      </c>
      <c r="E34" s="68">
        <f>+B34</f>
        <v>193408</v>
      </c>
      <c r="F34" s="76">
        <f>ROUND(+C34*$J$8,5)</f>
        <v>0.20274</v>
      </c>
      <c r="G34" s="56">
        <f>ROUND(E34*F34,2)</f>
        <v>39211.54</v>
      </c>
      <c r="H34" s="55"/>
      <c r="I34" s="58"/>
      <c r="J34" s="186"/>
    </row>
    <row r="35" spans="1:10" ht="15.75">
      <c r="A35" s="74"/>
      <c r="B35" s="54"/>
      <c r="C35" s="66"/>
      <c r="D35" s="55"/>
      <c r="E35" s="68"/>
      <c r="F35" s="76"/>
      <c r="G35" s="56"/>
      <c r="H35" s="55"/>
      <c r="I35" s="58"/>
      <c r="J35" s="186"/>
    </row>
    <row r="36" spans="1:10" ht="12.75">
      <c r="A36" s="72" t="s">
        <v>14</v>
      </c>
      <c r="B36" s="68">
        <f>SUM(B34:B35)</f>
        <v>193408</v>
      </c>
      <c r="C36" s="68"/>
      <c r="D36" s="56">
        <f>SUM(D32:D35)</f>
        <v>65939.88</v>
      </c>
      <c r="E36" s="68">
        <f>SUM(E34:E35)</f>
        <v>193408</v>
      </c>
      <c r="F36" s="68"/>
      <c r="G36" s="56">
        <f>SUM(G32:G35)</f>
        <v>96667.54000000001</v>
      </c>
      <c r="H36" s="84">
        <f>G36-D36</f>
        <v>30727.660000000003</v>
      </c>
      <c r="I36" s="85">
        <f>ROUND(H36/D36,5)</f>
        <v>0.466</v>
      </c>
      <c r="J36" s="69"/>
    </row>
    <row r="37" spans="1:10" ht="12.75">
      <c r="A37" s="72"/>
      <c r="B37" s="54"/>
      <c r="C37" s="69"/>
      <c r="D37" s="55"/>
      <c r="E37" s="68"/>
      <c r="F37" s="68"/>
      <c r="G37" s="56"/>
      <c r="H37" s="55"/>
      <c r="I37" s="58"/>
      <c r="J37" s="69"/>
    </row>
    <row r="38" spans="1:9" ht="12.75">
      <c r="A38" s="79" t="s">
        <v>63</v>
      </c>
      <c r="B38" s="54"/>
      <c r="C38" s="76">
        <f>+C10</f>
        <v>0.54323</v>
      </c>
      <c r="D38" s="56">
        <f>C38*B36</f>
        <v>105065.02784</v>
      </c>
      <c r="E38" s="68"/>
      <c r="F38" s="76">
        <f>+L10</f>
        <v>0.54391</v>
      </c>
      <c r="G38" s="56">
        <f>F38*E36</f>
        <v>105196.54528</v>
      </c>
      <c r="H38" s="84">
        <f>G38-D38</f>
        <v>131.51744000001054</v>
      </c>
      <c r="I38" s="85">
        <f>ROUND(H38/D38,5)</f>
        <v>0.00125</v>
      </c>
    </row>
    <row r="39" spans="1:9" ht="12.75">
      <c r="A39" s="74"/>
      <c r="B39" s="54"/>
      <c r="C39" s="54"/>
      <c r="D39" s="55"/>
      <c r="E39" s="80"/>
      <c r="F39" s="81"/>
      <c r="G39" s="55"/>
      <c r="H39" s="55"/>
      <c r="I39" s="58"/>
    </row>
    <row r="40" spans="1:9" ht="13.5" customHeight="1" thickBot="1">
      <c r="A40" s="74" t="s">
        <v>65</v>
      </c>
      <c r="B40" s="54"/>
      <c r="C40" s="54"/>
      <c r="D40" s="97">
        <f>D38+D36</f>
        <v>171004.90784</v>
      </c>
      <c r="E40" s="80"/>
      <c r="F40" s="82"/>
      <c r="G40" s="97">
        <f>G38+G36</f>
        <v>201864.08528</v>
      </c>
      <c r="H40" s="84">
        <f>G40-D40</f>
        <v>30859.17744</v>
      </c>
      <c r="I40" s="85">
        <f>ROUND(H40/D40,5)</f>
        <v>0.18046</v>
      </c>
    </row>
    <row r="41" spans="1:9" ht="13.5" customHeight="1" thickTop="1">
      <c r="A41" s="104"/>
      <c r="B41" s="187"/>
      <c r="C41" s="187"/>
      <c r="D41" s="124"/>
      <c r="E41" s="188"/>
      <c r="F41" s="189"/>
      <c r="G41" s="124"/>
      <c r="H41" s="180"/>
      <c r="I41" s="190"/>
    </row>
    <row r="42" spans="1:10" ht="12.75">
      <c r="A42" s="140"/>
      <c r="B42" s="141" t="s">
        <v>0</v>
      </c>
      <c r="C42" s="50" t="s">
        <v>1</v>
      </c>
      <c r="D42" s="51"/>
      <c r="E42" s="141"/>
      <c r="F42" s="50" t="s">
        <v>2</v>
      </c>
      <c r="G42" s="51"/>
      <c r="H42" s="51" t="s">
        <v>3</v>
      </c>
      <c r="I42" s="142"/>
      <c r="J42" s="59"/>
    </row>
    <row r="43" spans="1:10" ht="12.75">
      <c r="A43" s="60" t="s">
        <v>4</v>
      </c>
      <c r="B43" s="61" t="s">
        <v>5</v>
      </c>
      <c r="C43" s="61" t="s">
        <v>6</v>
      </c>
      <c r="D43" s="62" t="s">
        <v>66</v>
      </c>
      <c r="E43" s="61" t="s">
        <v>7</v>
      </c>
      <c r="F43" s="61" t="s">
        <v>6</v>
      </c>
      <c r="G43" s="62" t="s">
        <v>66</v>
      </c>
      <c r="H43" s="63" t="s">
        <v>8</v>
      </c>
      <c r="I43" s="64" t="s">
        <v>9</v>
      </c>
      <c r="J43" s="59"/>
    </row>
    <row r="44" spans="1:10" ht="12.75">
      <c r="A44" s="196"/>
      <c r="B44" s="197"/>
      <c r="C44" s="197"/>
      <c r="D44" s="198"/>
      <c r="E44" s="197"/>
      <c r="F44" s="197"/>
      <c r="G44" s="198"/>
      <c r="H44" s="198"/>
      <c r="I44" s="199"/>
      <c r="J44" s="52"/>
    </row>
    <row r="45" spans="1:9" ht="15.75">
      <c r="A45" s="70" t="s">
        <v>25</v>
      </c>
      <c r="B45" s="54"/>
      <c r="C45" s="54"/>
      <c r="D45" s="55"/>
      <c r="E45" s="87"/>
      <c r="F45" s="54"/>
      <c r="G45" s="56"/>
      <c r="H45" s="55"/>
      <c r="I45" s="58"/>
    </row>
    <row r="46" spans="1:9" ht="12.75">
      <c r="A46" s="72" t="s">
        <v>11</v>
      </c>
      <c r="B46" s="68">
        <v>16104</v>
      </c>
      <c r="C46" s="56">
        <v>35</v>
      </c>
      <c r="D46" s="56">
        <f>ROUND(B46*C46,2)</f>
        <v>563640</v>
      </c>
      <c r="E46" s="68">
        <f aca="true" t="shared" si="0" ref="E46:E51">+B46</f>
        <v>16104</v>
      </c>
      <c r="F46" s="56">
        <v>140</v>
      </c>
      <c r="G46" s="56">
        <f>ROUND(E46*F46,2)</f>
        <v>2254560</v>
      </c>
      <c r="H46" s="55"/>
      <c r="I46" s="58"/>
    </row>
    <row r="47" spans="1:10" ht="12.75">
      <c r="A47" s="74" t="s">
        <v>26</v>
      </c>
      <c r="B47" s="68">
        <f>+B46</f>
        <v>16104</v>
      </c>
      <c r="C47" s="56">
        <v>81.5</v>
      </c>
      <c r="D47" s="89">
        <f>+C47*B47</f>
        <v>1312476</v>
      </c>
      <c r="E47" s="68">
        <f t="shared" si="0"/>
        <v>16104</v>
      </c>
      <c r="F47" s="56">
        <f>ROUND(+F50*500,2)</f>
        <v>75.89</v>
      </c>
      <c r="G47" s="89">
        <f>+F47*E47</f>
        <v>1222132.56</v>
      </c>
      <c r="H47" s="90"/>
      <c r="I47" s="91"/>
      <c r="J47" s="92"/>
    </row>
    <row r="48" spans="1:10" ht="12.75">
      <c r="A48" s="74" t="s">
        <v>27</v>
      </c>
      <c r="B48" s="68">
        <f>(103883+74093)*12</f>
        <v>2135712</v>
      </c>
      <c r="C48" s="56">
        <v>0.5</v>
      </c>
      <c r="D48" s="89">
        <f>ROUND(B48*C48,2)</f>
        <v>1067856</v>
      </c>
      <c r="E48" s="68">
        <f t="shared" si="0"/>
        <v>2135712</v>
      </c>
      <c r="F48" s="56">
        <f>+C48</f>
        <v>0.5</v>
      </c>
      <c r="G48" s="89">
        <f>ROUND(E48*F48,2)</f>
        <v>1067856</v>
      </c>
      <c r="H48" s="90"/>
      <c r="I48" s="91"/>
      <c r="J48" s="92"/>
    </row>
    <row r="49" spans="1:10" ht="12.75">
      <c r="A49" s="74" t="s">
        <v>28</v>
      </c>
      <c r="B49" s="68">
        <v>7910848</v>
      </c>
      <c r="C49" s="76"/>
      <c r="D49" s="56"/>
      <c r="E49" s="68">
        <f t="shared" si="0"/>
        <v>7910848</v>
      </c>
      <c r="F49" s="76"/>
      <c r="G49" s="56"/>
      <c r="H49" s="55"/>
      <c r="I49" s="58"/>
      <c r="J49" s="71" t="s">
        <v>10</v>
      </c>
    </row>
    <row r="50" spans="1:10" ht="12.75">
      <c r="A50" s="74" t="s">
        <v>29</v>
      </c>
      <c r="B50" s="68">
        <v>23257307</v>
      </c>
      <c r="C50" s="24">
        <v>0.16300000000000003</v>
      </c>
      <c r="D50" s="56">
        <f>ROUND(B50*C50,2)</f>
        <v>3790941.04</v>
      </c>
      <c r="E50" s="68">
        <f t="shared" si="0"/>
        <v>23257307</v>
      </c>
      <c r="F50" s="76">
        <f>ROUND(+C50*$J$53,5)</f>
        <v>0.15177</v>
      </c>
      <c r="G50" s="56">
        <f>ROUND(E50*F50,2)</f>
        <v>3529761.48</v>
      </c>
      <c r="H50" s="55"/>
      <c r="I50" s="58"/>
      <c r="J50" s="73">
        <v>1174404</v>
      </c>
    </row>
    <row r="51" spans="1:10" ht="12.75">
      <c r="A51" s="74" t="s">
        <v>30</v>
      </c>
      <c r="B51" s="68">
        <v>17960687</v>
      </c>
      <c r="C51" s="24">
        <v>0.133</v>
      </c>
      <c r="D51" s="56">
        <f>ROUND(B51*C51,2)</f>
        <v>2388771.37</v>
      </c>
      <c r="E51" s="68">
        <f t="shared" si="0"/>
        <v>17960687</v>
      </c>
      <c r="F51" s="76">
        <f>ROUND(+C51*$J$53,5)</f>
        <v>0.12383</v>
      </c>
      <c r="G51" s="56">
        <f>ROUND(E51*F51,2)</f>
        <v>2224071.87</v>
      </c>
      <c r="H51" s="56"/>
      <c r="I51" s="58"/>
      <c r="J51" s="73" t="s">
        <v>13</v>
      </c>
    </row>
    <row r="52" spans="1:10" ht="12.75">
      <c r="A52" s="93"/>
      <c r="B52" s="68"/>
      <c r="C52" s="75"/>
      <c r="D52" s="56"/>
      <c r="E52" s="68"/>
      <c r="F52" s="76"/>
      <c r="G52" s="56"/>
      <c r="H52" s="56"/>
      <c r="I52" s="58"/>
      <c r="J52" s="77">
        <f>J50-H53</f>
        <v>-293.5</v>
      </c>
    </row>
    <row r="53" spans="1:10" ht="12.75">
      <c r="A53" s="72" t="s">
        <v>14</v>
      </c>
      <c r="B53" s="68">
        <f>SUM(B49:B51)</f>
        <v>49128842</v>
      </c>
      <c r="C53" s="68"/>
      <c r="D53" s="89">
        <f>SUM(D46:D52)</f>
        <v>9123684.41</v>
      </c>
      <c r="E53" s="68">
        <f>SUM(E49:E51)</f>
        <v>49128842</v>
      </c>
      <c r="F53" s="68"/>
      <c r="G53" s="89">
        <f>SUM(G46:G52)</f>
        <v>10298381.91</v>
      </c>
      <c r="H53" s="84">
        <f>G53-D53</f>
        <v>1174697.5</v>
      </c>
      <c r="I53" s="85">
        <f>ROUND(H53/D53,5)</f>
        <v>0.12875</v>
      </c>
      <c r="J53" s="178">
        <v>0.9310826841859593</v>
      </c>
    </row>
    <row r="54" spans="1:12" ht="12.75">
      <c r="A54" s="72"/>
      <c r="B54" s="68"/>
      <c r="C54" s="69"/>
      <c r="D54" s="56"/>
      <c r="E54" s="68"/>
      <c r="F54" s="68"/>
      <c r="G54" s="89"/>
      <c r="H54" s="56"/>
      <c r="I54" s="58"/>
      <c r="J54" s="226" t="s">
        <v>15</v>
      </c>
      <c r="K54" s="222" t="s">
        <v>16</v>
      </c>
      <c r="L54" s="218" t="s">
        <v>62</v>
      </c>
    </row>
    <row r="55" spans="1:12" ht="28.5" customHeight="1">
      <c r="A55" s="94"/>
      <c r="B55" s="66"/>
      <c r="C55" s="66"/>
      <c r="D55" s="56"/>
      <c r="E55" s="95"/>
      <c r="F55" s="95"/>
      <c r="G55" s="96"/>
      <c r="H55" s="55"/>
      <c r="I55" s="58"/>
      <c r="J55" s="227"/>
      <c r="K55" s="223"/>
      <c r="L55" s="219"/>
    </row>
    <row r="56" spans="1:12" ht="12.75">
      <c r="A56" s="74" t="s">
        <v>63</v>
      </c>
      <c r="B56" s="69"/>
      <c r="C56" s="24">
        <v>0.49834</v>
      </c>
      <c r="D56" s="8">
        <f>C56*B53</f>
        <v>24482867.12228</v>
      </c>
      <c r="E56" s="16"/>
      <c r="F56" s="24">
        <f>+L56</f>
        <v>0.49896</v>
      </c>
      <c r="G56" s="8">
        <f>F56*E53</f>
        <v>24513327.00432</v>
      </c>
      <c r="H56" s="16"/>
      <c r="I56" s="25"/>
      <c r="J56" s="29">
        <v>0.47709</v>
      </c>
      <c r="K56" s="27">
        <v>1.04584</v>
      </c>
      <c r="L56" s="145">
        <f>ROUND(J56*K56,5)</f>
        <v>0.49896</v>
      </c>
    </row>
    <row r="57" spans="1:12" ht="15.75">
      <c r="A57" s="74" t="s">
        <v>64</v>
      </c>
      <c r="B57" s="66"/>
      <c r="C57" s="8">
        <v>1.04</v>
      </c>
      <c r="D57" s="8">
        <f>C57*B48</f>
        <v>2221140.48</v>
      </c>
      <c r="E57" s="16"/>
      <c r="F57" s="8">
        <f>+L57</f>
        <v>1.05</v>
      </c>
      <c r="G57" s="8">
        <f>F57*E48</f>
        <v>2242497.6</v>
      </c>
      <c r="H57" s="84"/>
      <c r="I57" s="85"/>
      <c r="J57" s="151">
        <v>1</v>
      </c>
      <c r="K57" s="27">
        <v>1.04584</v>
      </c>
      <c r="L57" s="145">
        <f>ROUND(J57*K57,2)</f>
        <v>1.05</v>
      </c>
    </row>
    <row r="58" spans="1:12" ht="15.75">
      <c r="A58" s="72" t="s">
        <v>14</v>
      </c>
      <c r="B58" s="66"/>
      <c r="C58" s="8"/>
      <c r="D58" s="8">
        <f>SUM(D56:D57)</f>
        <v>26704007.602280002</v>
      </c>
      <c r="E58" s="16"/>
      <c r="F58" s="8"/>
      <c r="G58" s="8">
        <f>SUM(G56:G57)</f>
        <v>26755824.60432</v>
      </c>
      <c r="H58" s="84">
        <f>G58-D58</f>
        <v>51817.00203999877</v>
      </c>
      <c r="I58" s="85">
        <f>ROUND(H58/D58,5)</f>
        <v>0.00194</v>
      </c>
      <c r="J58" s="151"/>
      <c r="K58" s="27"/>
      <c r="L58" s="145"/>
    </row>
    <row r="59" spans="1:9" ht="12.75">
      <c r="A59" s="74"/>
      <c r="B59" s="69"/>
      <c r="C59" s="69"/>
      <c r="D59" s="56"/>
      <c r="E59" s="69"/>
      <c r="F59" s="69"/>
      <c r="G59" s="96"/>
      <c r="H59" s="55"/>
      <c r="I59" s="58"/>
    </row>
    <row r="60" spans="1:9" ht="16.5" thickBot="1">
      <c r="A60" s="72" t="s">
        <v>65</v>
      </c>
      <c r="B60" s="66"/>
      <c r="C60" s="68"/>
      <c r="D60" s="97">
        <f>+D58+D53</f>
        <v>35827692.01228</v>
      </c>
      <c r="E60" s="68"/>
      <c r="F60" s="68"/>
      <c r="G60" s="97">
        <f>+G58+G53</f>
        <v>37054206.51432</v>
      </c>
      <c r="H60" s="84">
        <f>G60-D60</f>
        <v>1226514.5020399988</v>
      </c>
      <c r="I60" s="85">
        <f>ROUND(H60/D60,5)</f>
        <v>0.03423</v>
      </c>
    </row>
    <row r="61" spans="1:12" ht="13.5" thickTop="1">
      <c r="A61" s="74"/>
      <c r="B61" s="69"/>
      <c r="C61" s="162"/>
      <c r="D61" s="162"/>
      <c r="E61" s="69"/>
      <c r="F61" s="69"/>
      <c r="G61" s="90"/>
      <c r="H61" s="56"/>
      <c r="I61" s="85"/>
      <c r="J61" s="98"/>
      <c r="K61" s="99"/>
      <c r="L61" s="146"/>
    </row>
    <row r="62" spans="1:10" ht="14.25" customHeight="1">
      <c r="A62" s="53"/>
      <c r="B62" s="54"/>
      <c r="C62" s="54"/>
      <c r="D62" s="55"/>
      <c r="E62" s="54"/>
      <c r="F62" s="54"/>
      <c r="G62" s="90"/>
      <c r="H62" s="102"/>
      <c r="I62" s="101"/>
      <c r="J62" s="71" t="s">
        <v>10</v>
      </c>
    </row>
    <row r="63" spans="1:10" ht="14.25" customHeight="1">
      <c r="A63" s="70" t="s">
        <v>31</v>
      </c>
      <c r="B63" s="54"/>
      <c r="C63" s="54"/>
      <c r="D63" s="55"/>
      <c r="E63" s="54"/>
      <c r="F63" s="69"/>
      <c r="G63" s="103"/>
      <c r="H63" s="55"/>
      <c r="I63" s="58"/>
      <c r="J63" s="120">
        <v>3042</v>
      </c>
    </row>
    <row r="64" spans="1:10" ht="14.25" customHeight="1">
      <c r="A64" s="72" t="s">
        <v>11</v>
      </c>
      <c r="B64" s="68">
        <v>84</v>
      </c>
      <c r="C64" s="8">
        <v>150</v>
      </c>
      <c r="D64" s="56">
        <f>ROUND(B64*C64,2)</f>
        <v>12600</v>
      </c>
      <c r="E64" s="68">
        <f>+B64</f>
        <v>84</v>
      </c>
      <c r="F64" s="56">
        <v>150</v>
      </c>
      <c r="G64" s="56">
        <f>ROUND(E64*F64,2)</f>
        <v>12600</v>
      </c>
      <c r="H64" s="56"/>
      <c r="I64" s="58"/>
      <c r="J64" s="73" t="s">
        <v>13</v>
      </c>
    </row>
    <row r="65" spans="1:10" ht="14.25" customHeight="1">
      <c r="A65" s="74" t="s">
        <v>12</v>
      </c>
      <c r="B65" s="68">
        <v>54593</v>
      </c>
      <c r="C65" s="24">
        <v>0.09176000000000001</v>
      </c>
      <c r="D65" s="56">
        <f>ROUND(B65*C65,2)</f>
        <v>5009.45</v>
      </c>
      <c r="E65" s="68">
        <f>+B65</f>
        <v>54593</v>
      </c>
      <c r="F65" s="76">
        <f>ROUND(+(J63+D67-G64)/E65,5)</f>
        <v>0.14748</v>
      </c>
      <c r="G65" s="56">
        <f>ROUND(E65*F65,2)</f>
        <v>8051.38</v>
      </c>
      <c r="H65" s="56"/>
      <c r="I65" s="58"/>
      <c r="J65" s="179">
        <f>+H67-J63</f>
        <v>-0.06999999999970896</v>
      </c>
    </row>
    <row r="66" spans="1:9" ht="15.75">
      <c r="A66" s="74"/>
      <c r="B66" s="68"/>
      <c r="C66" s="66"/>
      <c r="D66" s="56"/>
      <c r="E66" s="68"/>
      <c r="F66" s="76"/>
      <c r="G66" s="56"/>
      <c r="H66" s="56"/>
      <c r="I66" s="58"/>
    </row>
    <row r="67" spans="1:12" ht="12.75">
      <c r="A67" s="72" t="s">
        <v>14</v>
      </c>
      <c r="B67" s="68">
        <f>B65+B66</f>
        <v>54593</v>
      </c>
      <c r="C67" s="68"/>
      <c r="D67" s="56">
        <f>SUM(D64:D66)</f>
        <v>17609.45</v>
      </c>
      <c r="E67" s="68">
        <f>E65+E66</f>
        <v>54593</v>
      </c>
      <c r="F67" s="68"/>
      <c r="G67" s="56">
        <f>SUM(G64:G66)</f>
        <v>20651.38</v>
      </c>
      <c r="H67" s="84">
        <f>G67-D67</f>
        <v>3041.9300000000003</v>
      </c>
      <c r="I67" s="85">
        <f>ROUND(H67/D67,5)</f>
        <v>0.17274</v>
      </c>
      <c r="J67" s="28"/>
      <c r="K67" s="28"/>
      <c r="L67" s="144"/>
    </row>
    <row r="68" spans="1:12" ht="38.25">
      <c r="A68" s="72"/>
      <c r="B68" s="54"/>
      <c r="C68" s="69"/>
      <c r="D68" s="55"/>
      <c r="E68" s="68"/>
      <c r="F68" s="68"/>
      <c r="G68" s="56"/>
      <c r="H68" s="56"/>
      <c r="I68" s="58"/>
      <c r="J68" s="28" t="s">
        <v>15</v>
      </c>
      <c r="K68" s="28" t="s">
        <v>16</v>
      </c>
      <c r="L68" s="144" t="s">
        <v>62</v>
      </c>
    </row>
    <row r="69" spans="1:12" ht="15.75">
      <c r="A69" s="79" t="s">
        <v>63</v>
      </c>
      <c r="B69" s="66"/>
      <c r="C69" s="76">
        <v>0.47789</v>
      </c>
      <c r="D69" s="96">
        <f>B67*C69</f>
        <v>26089.44877</v>
      </c>
      <c r="E69" s="95"/>
      <c r="F69" s="76">
        <f>+L69</f>
        <v>0.47848</v>
      </c>
      <c r="G69" s="96">
        <f>E67*F69</f>
        <v>26121.65864</v>
      </c>
      <c r="H69" s="84">
        <f>G69-D69</f>
        <v>32.20987000000241</v>
      </c>
      <c r="I69" s="85">
        <f>ROUND(H69/D69,5)</f>
        <v>0.00123</v>
      </c>
      <c r="J69" s="29">
        <v>0.45751</v>
      </c>
      <c r="K69" s="27">
        <v>1.04584</v>
      </c>
      <c r="L69" s="145">
        <f>ROUND(J69*K69,5)</f>
        <v>0.47848</v>
      </c>
    </row>
    <row r="70" spans="1:9" ht="12.75">
      <c r="A70" s="74"/>
      <c r="B70" s="69"/>
      <c r="C70" s="54"/>
      <c r="D70" s="96"/>
      <c r="E70" s="69"/>
      <c r="F70" s="69"/>
      <c r="G70" s="96"/>
      <c r="H70" s="55"/>
      <c r="I70" s="58"/>
    </row>
    <row r="71" spans="1:9" ht="15" customHeight="1" thickBot="1">
      <c r="A71" s="72" t="s">
        <v>65</v>
      </c>
      <c r="B71" s="68"/>
      <c r="C71" s="68"/>
      <c r="D71" s="97">
        <f>D67+D69</f>
        <v>43698.89877</v>
      </c>
      <c r="E71" s="68"/>
      <c r="F71" s="68"/>
      <c r="G71" s="97">
        <f>G67+G69</f>
        <v>46773.03864</v>
      </c>
      <c r="H71" s="84">
        <f>G71-D71</f>
        <v>3074.139869999999</v>
      </c>
      <c r="I71" s="206">
        <f>ROUND(H71/D71,5)</f>
        <v>0.07035</v>
      </c>
    </row>
    <row r="72" spans="1:9" ht="16.5" thickTop="1">
      <c r="A72" s="200"/>
      <c r="B72" s="201"/>
      <c r="C72" s="201"/>
      <c r="D72" s="202"/>
      <c r="E72" s="123"/>
      <c r="F72" s="203"/>
      <c r="G72" s="105"/>
      <c r="H72" s="204"/>
      <c r="I72" s="205"/>
    </row>
  </sheetData>
  <mergeCells count="4">
    <mergeCell ref="J54:J55"/>
    <mergeCell ref="K54:K55"/>
    <mergeCell ref="L54:L55"/>
    <mergeCell ref="K7:L7"/>
  </mergeCells>
  <printOptions/>
  <pageMargins left="0.51" right="0.67" top="1.94" bottom="0.85" header="1.5" footer="0.5"/>
  <pageSetup horizontalDpi="600" verticalDpi="600" orientation="landscape" scale="71" r:id="rId1"/>
  <headerFooter alignWithMargins="0">
    <oddHeader>&amp;C&amp;"Arial,Bold"PUGET SOUND ENERGY - GAS 
REVISED NATURAL GAS RATE DESIGN&amp;"Arial,Regular"
TWELVE MONTHS ENDED SEPTEMBER 30, 2003&amp;RExhibit No. ___(JAH-25)
Page &amp;P of &amp;N</oddHeader>
  </headerFooter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/>
  <dimension ref="A1:M95"/>
  <sheetViews>
    <sheetView workbookViewId="0" topLeftCell="E65">
      <selection activeCell="A22" sqref="A22"/>
    </sheetView>
  </sheetViews>
  <sheetFormatPr defaultColWidth="9.140625" defaultRowHeight="12.75"/>
  <cols>
    <col min="1" max="1" width="21.57421875" style="106" customWidth="1"/>
    <col min="2" max="2" width="12.00390625" style="133" bestFit="1" customWidth="1"/>
    <col min="3" max="3" width="10.140625" style="134" bestFit="1" customWidth="1"/>
    <col min="4" max="4" width="22.421875" style="113" bestFit="1" customWidth="1"/>
    <col min="5" max="5" width="11.140625" style="109" bestFit="1" customWidth="1"/>
    <col min="6" max="6" width="16.140625" style="108" customWidth="1"/>
    <col min="7" max="7" width="17.140625" style="108" customWidth="1"/>
    <col min="8" max="8" width="16.28125" style="108" customWidth="1"/>
    <col min="9" max="9" width="9.421875" style="132" customWidth="1"/>
    <col min="10" max="10" width="22.00390625" style="0" customWidth="1"/>
    <col min="12" max="12" width="11.00390625" style="0" customWidth="1"/>
  </cols>
  <sheetData>
    <row r="1" spans="1:10" ht="12.75">
      <c r="A1" s="140"/>
      <c r="B1" s="148" t="s">
        <v>0</v>
      </c>
      <c r="C1" s="114" t="s">
        <v>1</v>
      </c>
      <c r="D1" s="51"/>
      <c r="E1" s="148"/>
      <c r="F1" s="51" t="s">
        <v>2</v>
      </c>
      <c r="G1" s="51"/>
      <c r="H1" s="51" t="s">
        <v>3</v>
      </c>
      <c r="I1" s="142"/>
      <c r="J1" s="59"/>
    </row>
    <row r="2" spans="1:10" ht="12.75">
      <c r="A2" s="60" t="s">
        <v>4</v>
      </c>
      <c r="B2" s="117" t="s">
        <v>5</v>
      </c>
      <c r="C2" s="118" t="s">
        <v>6</v>
      </c>
      <c r="D2" s="62" t="s">
        <v>66</v>
      </c>
      <c r="E2" s="117" t="s">
        <v>7</v>
      </c>
      <c r="F2" s="62" t="s">
        <v>6</v>
      </c>
      <c r="G2" s="62" t="s">
        <v>66</v>
      </c>
      <c r="H2" s="63" t="s">
        <v>8</v>
      </c>
      <c r="I2" s="64" t="s">
        <v>9</v>
      </c>
      <c r="J2" s="59"/>
    </row>
    <row r="3" spans="1:10" ht="12.75">
      <c r="A3" s="72"/>
      <c r="B3" s="95"/>
      <c r="C3" s="115"/>
      <c r="D3" s="55"/>
      <c r="E3" s="87"/>
      <c r="F3" s="56"/>
      <c r="G3" s="89"/>
      <c r="H3" s="56"/>
      <c r="I3" s="119"/>
      <c r="J3" s="71" t="s">
        <v>10</v>
      </c>
    </row>
    <row r="4" spans="1:10" ht="15.75">
      <c r="A4" s="70" t="s">
        <v>32</v>
      </c>
      <c r="B4" s="68"/>
      <c r="C4" s="76"/>
      <c r="D4" s="56"/>
      <c r="E4" s="87"/>
      <c r="F4" s="56"/>
      <c r="G4" s="89"/>
      <c r="H4" s="56"/>
      <c r="I4" s="119"/>
      <c r="J4" s="120">
        <v>309023</v>
      </c>
    </row>
    <row r="5" spans="1:10" ht="12.75">
      <c r="A5" s="72" t="s">
        <v>11</v>
      </c>
      <c r="B5" s="68">
        <v>456</v>
      </c>
      <c r="C5" s="56">
        <v>300</v>
      </c>
      <c r="D5" s="56">
        <f>ROUND(B5*C5,2)</f>
        <v>136800</v>
      </c>
      <c r="E5" s="68">
        <f>+B5</f>
        <v>456</v>
      </c>
      <c r="F5" s="56">
        <f>+F41</f>
        <v>500</v>
      </c>
      <c r="G5" s="89">
        <f aca="true" t="shared" si="0" ref="G5:G10">ROUND(E5*F5,2)</f>
        <v>228000</v>
      </c>
      <c r="H5" s="56"/>
      <c r="I5" s="119"/>
      <c r="J5" s="73" t="s">
        <v>13</v>
      </c>
    </row>
    <row r="6" spans="1:10" ht="12.75">
      <c r="A6" s="74" t="s">
        <v>27</v>
      </c>
      <c r="B6" s="68">
        <v>122376</v>
      </c>
      <c r="C6" s="56">
        <v>0.99</v>
      </c>
      <c r="D6" s="56">
        <f>ROUND(B6*C6,2)</f>
        <v>121152.24</v>
      </c>
      <c r="E6" s="68">
        <f>+B6</f>
        <v>122376</v>
      </c>
      <c r="F6" s="56">
        <f>+$F$63</f>
        <v>1.07</v>
      </c>
      <c r="G6" s="89">
        <f t="shared" si="0"/>
        <v>130942.32</v>
      </c>
      <c r="H6" s="56"/>
      <c r="I6" s="119"/>
      <c r="J6" s="77">
        <f>H12-J4</f>
        <v>-24.350000000093132</v>
      </c>
    </row>
    <row r="7" spans="1:10" ht="12.75">
      <c r="A7" s="74" t="s">
        <v>113</v>
      </c>
      <c r="B7" s="68"/>
      <c r="C7" s="56"/>
      <c r="D7" s="56"/>
      <c r="E7" s="68">
        <f>+E12</f>
        <v>14391565</v>
      </c>
      <c r="F7" s="76">
        <f>+$F$43</f>
        <v>0.0035</v>
      </c>
      <c r="G7" s="89">
        <f t="shared" si="0"/>
        <v>50370.48</v>
      </c>
      <c r="H7" s="56"/>
      <c r="I7" s="119"/>
      <c r="J7" s="152">
        <v>1.1677</v>
      </c>
    </row>
    <row r="8" spans="1:9" ht="12.75">
      <c r="A8" s="74" t="s">
        <v>33</v>
      </c>
      <c r="B8" s="68">
        <v>7426202</v>
      </c>
      <c r="C8" s="76">
        <v>0.09099000000000002</v>
      </c>
      <c r="D8" s="56">
        <f>ROUND(B8*C8,2)</f>
        <v>675710.12</v>
      </c>
      <c r="E8" s="68">
        <f>+B8</f>
        <v>7426202</v>
      </c>
      <c r="F8" s="76">
        <f>ROUND(+C8*$J$7,5)</f>
        <v>0.10625</v>
      </c>
      <c r="G8" s="89">
        <f t="shared" si="0"/>
        <v>789033.96</v>
      </c>
      <c r="H8" s="56"/>
      <c r="I8" s="119"/>
    </row>
    <row r="9" spans="1:11" ht="12.75">
      <c r="A9" s="74" t="s">
        <v>34</v>
      </c>
      <c r="B9" s="68">
        <v>2344682</v>
      </c>
      <c r="C9" s="76">
        <v>0.06450999999999996</v>
      </c>
      <c r="D9" s="56">
        <f>ROUND(B9*C9,2)</f>
        <v>151255.44</v>
      </c>
      <c r="E9" s="68">
        <f>+B9</f>
        <v>2344682</v>
      </c>
      <c r="F9" s="76">
        <f>ROUND(+C9*$J$7,5)</f>
        <v>0.07533</v>
      </c>
      <c r="G9" s="89">
        <f t="shared" si="0"/>
        <v>176624.9</v>
      </c>
      <c r="H9" s="56"/>
      <c r="I9" s="119"/>
      <c r="J9" s="121"/>
      <c r="K9" s="69"/>
    </row>
    <row r="10" spans="1:9" ht="12.75">
      <c r="A10" s="74" t="s">
        <v>35</v>
      </c>
      <c r="B10" s="68">
        <v>4620681</v>
      </c>
      <c r="C10" s="76">
        <v>0.04950999999999994</v>
      </c>
      <c r="D10" s="56">
        <f>ROUND(B10*C10,2)</f>
        <v>228769.92</v>
      </c>
      <c r="E10" s="68">
        <f>+B10</f>
        <v>4620681</v>
      </c>
      <c r="F10" s="76">
        <f>+F46</f>
        <v>0.05361</v>
      </c>
      <c r="G10" s="89">
        <f t="shared" si="0"/>
        <v>247714.71</v>
      </c>
      <c r="H10" s="56"/>
      <c r="I10" s="78"/>
    </row>
    <row r="11" spans="1:9" ht="12.75">
      <c r="A11" s="74"/>
      <c r="B11" s="68"/>
      <c r="C11" s="76"/>
      <c r="D11" s="56"/>
      <c r="E11" s="68"/>
      <c r="F11" s="76"/>
      <c r="G11" s="89"/>
      <c r="H11" s="56"/>
      <c r="I11" s="78"/>
    </row>
    <row r="12" spans="1:10" ht="12.75">
      <c r="A12" s="72" t="s">
        <v>14</v>
      </c>
      <c r="B12" s="68">
        <f>SUM(B8:B10)</f>
        <v>14391565</v>
      </c>
      <c r="C12" s="56"/>
      <c r="D12" s="89">
        <f>SUM(D5:D10)</f>
        <v>1313687.72</v>
      </c>
      <c r="E12" s="68">
        <f>SUM(E8:E10)</f>
        <v>14391565</v>
      </c>
      <c r="F12" s="56"/>
      <c r="G12" s="89">
        <f>SUM(G5:G10)</f>
        <v>1622686.3699999999</v>
      </c>
      <c r="H12" s="56">
        <f>G12-D12</f>
        <v>308998.6499999999</v>
      </c>
      <c r="I12" s="119">
        <f>H12/D12</f>
        <v>0.23521469013960175</v>
      </c>
      <c r="J12" s="108"/>
    </row>
    <row r="13" spans="1:12" ht="41.25" customHeight="1">
      <c r="A13" s="72"/>
      <c r="B13" s="68"/>
      <c r="C13" s="56"/>
      <c r="D13" s="89"/>
      <c r="E13" s="68">
        <f>SUM(E9:E11)</f>
        <v>6965363</v>
      </c>
      <c r="F13" s="56"/>
      <c r="G13" s="89"/>
      <c r="H13" s="56"/>
      <c r="I13" s="119"/>
      <c r="J13" s="28" t="s">
        <v>15</v>
      </c>
      <c r="K13" s="28" t="s">
        <v>16</v>
      </c>
      <c r="L13" s="28" t="s">
        <v>62</v>
      </c>
    </row>
    <row r="14" spans="1:12" ht="12.75">
      <c r="A14" s="74" t="s">
        <v>63</v>
      </c>
      <c r="B14" s="116"/>
      <c r="C14" s="24">
        <v>0.51983</v>
      </c>
      <c r="D14" s="96">
        <f>B12*C14</f>
        <v>7481167.23395</v>
      </c>
      <c r="E14" s="116"/>
      <c r="F14" s="76">
        <f>+L14</f>
        <v>0.52047</v>
      </c>
      <c r="G14" s="96">
        <f>$E$12*F14</f>
        <v>7490377.83555</v>
      </c>
      <c r="H14" s="55"/>
      <c r="I14" s="57"/>
      <c r="J14" s="29">
        <v>0.49766</v>
      </c>
      <c r="K14" s="27">
        <v>1.04584</v>
      </c>
      <c r="L14" s="145">
        <f>ROUND(J14*K14,5)</f>
        <v>0.52047</v>
      </c>
    </row>
    <row r="15" spans="1:12" ht="12.75">
      <c r="A15" s="74" t="s">
        <v>64</v>
      </c>
      <c r="B15" s="116"/>
      <c r="C15" s="8">
        <v>1.04</v>
      </c>
      <c r="D15" s="96">
        <f>B6*C15</f>
        <v>127271.04000000001</v>
      </c>
      <c r="E15" s="116"/>
      <c r="F15" s="56">
        <f>+L15</f>
        <v>1.05</v>
      </c>
      <c r="G15" s="96">
        <f>E6*F15</f>
        <v>128494.8</v>
      </c>
      <c r="H15" s="84"/>
      <c r="I15" s="85"/>
      <c r="J15" s="151">
        <v>1</v>
      </c>
      <c r="K15" s="27">
        <v>1.04584</v>
      </c>
      <c r="L15" s="145">
        <f>ROUND(J15*K15,2)</f>
        <v>1.05</v>
      </c>
    </row>
    <row r="16" spans="1:13" ht="15.75">
      <c r="A16" s="72" t="s">
        <v>14</v>
      </c>
      <c r="B16" s="66"/>
      <c r="C16" s="8"/>
      <c r="D16" s="8">
        <f>SUM(D14:D15)</f>
        <v>7608438.27395</v>
      </c>
      <c r="E16" s="16"/>
      <c r="F16" s="8"/>
      <c r="G16" s="8">
        <f>SUM(G14:G15)</f>
        <v>7618872.63555</v>
      </c>
      <c r="H16" s="84">
        <f>G16-D16</f>
        <v>10434.36159999948</v>
      </c>
      <c r="I16" s="85">
        <f>ROUND(H16/D16,5)</f>
        <v>0.00137</v>
      </c>
      <c r="J16" s="151"/>
      <c r="K16" s="27"/>
      <c r="L16" s="145"/>
      <c r="M16" s="5"/>
    </row>
    <row r="17" spans="1:9" ht="12.75">
      <c r="A17" s="74"/>
      <c r="B17" s="68"/>
      <c r="C17" s="55"/>
      <c r="D17" s="89"/>
      <c r="E17" s="68"/>
      <c r="F17" s="55"/>
      <c r="G17" s="89"/>
      <c r="H17" s="56"/>
      <c r="I17" s="78"/>
    </row>
    <row r="18" spans="1:9" ht="12.75">
      <c r="A18" s="74" t="s">
        <v>65</v>
      </c>
      <c r="B18" s="68"/>
      <c r="C18" s="55"/>
      <c r="D18" s="89">
        <f>SUM(D12:D15)</f>
        <v>8922125.99395</v>
      </c>
      <c r="E18" s="68"/>
      <c r="F18" s="55"/>
      <c r="G18" s="89">
        <f>SUM(G12:G15)</f>
        <v>9241559.00555</v>
      </c>
      <c r="H18" s="56">
        <f>G18-D18</f>
        <v>319433.0116000008</v>
      </c>
      <c r="I18" s="119">
        <f>H18/D18</f>
        <v>0.03580234260495816</v>
      </c>
    </row>
    <row r="19" spans="1:9" ht="16.5" customHeight="1">
      <c r="A19" s="74"/>
      <c r="B19" s="230"/>
      <c r="C19" s="230"/>
      <c r="D19" s="160"/>
      <c r="E19" s="68"/>
      <c r="F19" s="55"/>
      <c r="G19" s="89"/>
      <c r="H19" s="56"/>
      <c r="I19" s="78"/>
    </row>
    <row r="20" spans="1:10" ht="12.75">
      <c r="A20" s="53"/>
      <c r="B20" s="95"/>
      <c r="C20" s="115"/>
      <c r="D20" s="55"/>
      <c r="E20" s="95"/>
      <c r="F20" s="55"/>
      <c r="G20" s="89"/>
      <c r="H20" s="55"/>
      <c r="I20" s="58"/>
      <c r="J20" s="52"/>
    </row>
    <row r="21" spans="1:9" ht="12.75">
      <c r="A21" s="74"/>
      <c r="B21" s="95"/>
      <c r="C21" s="115"/>
      <c r="D21" s="55"/>
      <c r="E21" s="68"/>
      <c r="F21" s="55"/>
      <c r="G21" s="89"/>
      <c r="H21" s="55"/>
      <c r="I21" s="78"/>
    </row>
    <row r="22" spans="1:10" ht="15.75">
      <c r="A22" s="70" t="s">
        <v>36</v>
      </c>
      <c r="B22" s="95"/>
      <c r="C22" s="115"/>
      <c r="D22" s="55"/>
      <c r="E22" s="87"/>
      <c r="F22" s="56"/>
      <c r="G22" s="89"/>
      <c r="H22" s="56"/>
      <c r="I22" s="119"/>
      <c r="J22" s="122"/>
    </row>
    <row r="23" spans="1:10" ht="12.75">
      <c r="A23" s="72" t="s">
        <v>11</v>
      </c>
      <c r="B23" s="68">
        <v>6816</v>
      </c>
      <c r="C23" s="56">
        <v>50</v>
      </c>
      <c r="D23" s="56">
        <f>ROUND(B23*C23,2)</f>
        <v>340800</v>
      </c>
      <c r="E23" s="68">
        <f>+B23</f>
        <v>6816</v>
      </c>
      <c r="F23" s="56">
        <v>165</v>
      </c>
      <c r="G23" s="89">
        <f>ROUND(E23*F23,2)</f>
        <v>1124640</v>
      </c>
      <c r="H23" s="56"/>
      <c r="I23" s="119"/>
      <c r="J23" s="71" t="s">
        <v>10</v>
      </c>
    </row>
    <row r="24" spans="1:10" ht="12.75">
      <c r="A24" s="74" t="s">
        <v>27</v>
      </c>
      <c r="B24" s="68">
        <v>219180</v>
      </c>
      <c r="C24" s="56">
        <v>0.99</v>
      </c>
      <c r="D24" s="56">
        <f>ROUND(B24*C24,2)</f>
        <v>216988.2</v>
      </c>
      <c r="E24" s="68">
        <f>+B24</f>
        <v>219180</v>
      </c>
      <c r="F24" s="56">
        <f>+$F$63</f>
        <v>1.07</v>
      </c>
      <c r="G24" s="89">
        <f>ROUND(E24*F24,2)</f>
        <v>234522.6</v>
      </c>
      <c r="H24" s="56"/>
      <c r="I24" s="119"/>
      <c r="J24" s="120">
        <v>820445</v>
      </c>
    </row>
    <row r="25" spans="1:10" ht="12.75">
      <c r="A25" s="74" t="s">
        <v>113</v>
      </c>
      <c r="B25" s="68"/>
      <c r="C25" s="56"/>
      <c r="D25" s="56"/>
      <c r="E25" s="68">
        <f>+E29</f>
        <v>22163694</v>
      </c>
      <c r="F25" s="76">
        <f>+F7</f>
        <v>0.0035</v>
      </c>
      <c r="G25" s="89">
        <f>ROUND(E25*F25,2)</f>
        <v>77572.93</v>
      </c>
      <c r="H25" s="56"/>
      <c r="I25" s="119"/>
      <c r="J25" s="73" t="s">
        <v>13</v>
      </c>
    </row>
    <row r="26" spans="1:10" ht="12.75">
      <c r="A26" s="74" t="s">
        <v>37</v>
      </c>
      <c r="B26" s="68">
        <v>5475950</v>
      </c>
      <c r="C26" s="76">
        <v>0.2017</v>
      </c>
      <c r="D26" s="56">
        <f>ROUND(B26*C26,2)</f>
        <v>1104499.12</v>
      </c>
      <c r="E26" s="68">
        <f>+B26</f>
        <v>5475950</v>
      </c>
      <c r="F26" s="76">
        <f>ROUND(+C26*$J$27,5)</f>
        <v>0.19845</v>
      </c>
      <c r="G26" s="89">
        <f>ROUND(E26*F26,2)</f>
        <v>1086702.28</v>
      </c>
      <c r="H26" s="56"/>
      <c r="I26" s="119"/>
      <c r="J26" s="77">
        <f>H29-J24</f>
        <v>-12.599999999627471</v>
      </c>
    </row>
    <row r="27" spans="1:10" ht="12.75">
      <c r="A27" s="74" t="s">
        <v>38</v>
      </c>
      <c r="B27" s="68">
        <v>16687744</v>
      </c>
      <c r="C27" s="76">
        <v>0.15169999999999995</v>
      </c>
      <c r="D27" s="56">
        <f>ROUND(B27*C27,2)</f>
        <v>2531530.76</v>
      </c>
      <c r="E27" s="68">
        <f>+B27</f>
        <v>16687744</v>
      </c>
      <c r="F27" s="76">
        <f>ROUND(+C27*$J$27,5)</f>
        <v>0.14926</v>
      </c>
      <c r="G27" s="89">
        <f>ROUND(E27*F27,2)</f>
        <v>2490812.67</v>
      </c>
      <c r="H27" s="56"/>
      <c r="I27" s="119"/>
      <c r="J27" s="152">
        <v>0.9839</v>
      </c>
    </row>
    <row r="28" spans="1:9" ht="12.75">
      <c r="A28" s="74"/>
      <c r="B28" s="68"/>
      <c r="C28" s="76"/>
      <c r="D28" s="56"/>
      <c r="E28" s="68"/>
      <c r="F28" s="56"/>
      <c r="G28" s="89"/>
      <c r="H28" s="56"/>
      <c r="I28" s="78"/>
    </row>
    <row r="29" spans="1:9" ht="12.75">
      <c r="A29" s="72" t="s">
        <v>14</v>
      </c>
      <c r="B29" s="68">
        <f>SUM(B26:B27)</f>
        <v>22163694</v>
      </c>
      <c r="C29" s="76"/>
      <c r="D29" s="89">
        <f>SUM(D23:D27)</f>
        <v>4193818.08</v>
      </c>
      <c r="E29" s="68">
        <f>SUM(E26:E27)</f>
        <v>22163694</v>
      </c>
      <c r="F29" s="56"/>
      <c r="G29" s="89">
        <f>SUM(G23:G27)</f>
        <v>5014250.48</v>
      </c>
      <c r="H29" s="56">
        <f>G29-D29</f>
        <v>820432.4000000004</v>
      </c>
      <c r="I29" s="119">
        <f>H29/D29</f>
        <v>0.1956289911364015</v>
      </c>
    </row>
    <row r="30" spans="1:12" ht="38.25">
      <c r="A30" s="72"/>
      <c r="B30" s="95"/>
      <c r="C30" s="115"/>
      <c r="D30" s="89"/>
      <c r="E30" s="68"/>
      <c r="F30" s="56"/>
      <c r="G30" s="89"/>
      <c r="H30" s="56"/>
      <c r="I30" s="78"/>
      <c r="J30" s="28" t="s">
        <v>15</v>
      </c>
      <c r="K30" s="28" t="s">
        <v>16</v>
      </c>
      <c r="L30" s="28" t="s">
        <v>62</v>
      </c>
    </row>
    <row r="31" spans="1:12" ht="12.75">
      <c r="A31" s="74" t="s">
        <v>63</v>
      </c>
      <c r="B31" s="116"/>
      <c r="C31" s="24">
        <v>0.51983</v>
      </c>
      <c r="D31" s="96">
        <f>+B29*C31</f>
        <v>11521353.05202</v>
      </c>
      <c r="E31" s="116"/>
      <c r="F31" s="76">
        <f>+L31</f>
        <v>0.52047</v>
      </c>
      <c r="G31" s="96">
        <f>+E29*F31</f>
        <v>11535537.81618</v>
      </c>
      <c r="H31" s="55"/>
      <c r="I31" s="57"/>
      <c r="J31" s="29">
        <v>0.49766</v>
      </c>
      <c r="K31" s="27">
        <v>1.04584</v>
      </c>
      <c r="L31" s="145">
        <f>ROUND(J31*K31,5)</f>
        <v>0.52047</v>
      </c>
    </row>
    <row r="32" spans="1:12" ht="12.75">
      <c r="A32" s="74" t="s">
        <v>64</v>
      </c>
      <c r="B32" s="116"/>
      <c r="C32" s="8">
        <v>1.04</v>
      </c>
      <c r="D32" s="96">
        <f>B24*C32</f>
        <v>227947.2</v>
      </c>
      <c r="E32" s="116"/>
      <c r="F32" s="56">
        <f>+L32</f>
        <v>1.05</v>
      </c>
      <c r="G32" s="96">
        <f>E24*F32</f>
        <v>230139</v>
      </c>
      <c r="H32" s="84"/>
      <c r="I32" s="85"/>
      <c r="J32" s="151">
        <v>1</v>
      </c>
      <c r="K32" s="27">
        <v>1.04584</v>
      </c>
      <c r="L32" s="145">
        <f>ROUND(J32*K32,2)</f>
        <v>1.05</v>
      </c>
    </row>
    <row r="33" spans="1:13" ht="15.75">
      <c r="A33" s="72" t="s">
        <v>14</v>
      </c>
      <c r="B33" s="66"/>
      <c r="C33" s="8"/>
      <c r="D33" s="8">
        <f>SUM(D31:D32)</f>
        <v>11749300.25202</v>
      </c>
      <c r="E33" s="16"/>
      <c r="F33" s="8"/>
      <c r="G33" s="8">
        <f>SUM(G31:G32)</f>
        <v>11765676.81618</v>
      </c>
      <c r="H33" s="84">
        <f>G33-D33</f>
        <v>16376.564160000533</v>
      </c>
      <c r="I33" s="85">
        <f>ROUND(H33/D33,5)</f>
        <v>0.00139</v>
      </c>
      <c r="J33" s="151"/>
      <c r="K33" s="27"/>
      <c r="L33" s="145"/>
      <c r="M33" s="5"/>
    </row>
    <row r="34" spans="1:9" ht="12.75">
      <c r="A34" s="74"/>
      <c r="B34" s="68"/>
      <c r="C34" s="55"/>
      <c r="D34" s="89"/>
      <c r="E34" s="68"/>
      <c r="F34" s="55"/>
      <c r="G34" s="89"/>
      <c r="H34" s="56"/>
      <c r="I34" s="78"/>
    </row>
    <row r="35" spans="1:9" ht="12.75">
      <c r="A35" s="74" t="s">
        <v>65</v>
      </c>
      <c r="B35" s="68"/>
      <c r="C35" s="55"/>
      <c r="D35" s="89">
        <f>SUM(D29:D32)</f>
        <v>15943118.33202</v>
      </c>
      <c r="E35" s="68"/>
      <c r="F35" s="55"/>
      <c r="G35" s="89">
        <f>SUM(G29:G32)</f>
        <v>16779927.296180002</v>
      </c>
      <c r="H35" s="56">
        <f>G35-D35</f>
        <v>836808.9641600028</v>
      </c>
      <c r="I35" s="119">
        <f>H35/D35</f>
        <v>0.05248715757690665</v>
      </c>
    </row>
    <row r="36" spans="1:10" ht="12.75">
      <c r="A36" s="104"/>
      <c r="B36" s="157"/>
      <c r="C36" s="158"/>
      <c r="D36" s="159"/>
      <c r="E36" s="123"/>
      <c r="F36" s="105"/>
      <c r="G36" s="124"/>
      <c r="H36" s="105"/>
      <c r="I36" s="125"/>
      <c r="J36" s="108"/>
    </row>
    <row r="37" spans="1:10" ht="12.75">
      <c r="A37" s="140"/>
      <c r="B37" s="148" t="s">
        <v>0</v>
      </c>
      <c r="C37" s="114" t="s">
        <v>1</v>
      </c>
      <c r="D37" s="51"/>
      <c r="E37" s="148"/>
      <c r="F37" s="51" t="s">
        <v>2</v>
      </c>
      <c r="G37" s="149"/>
      <c r="H37" s="51" t="s">
        <v>3</v>
      </c>
      <c r="I37" s="142"/>
      <c r="J37" s="59"/>
    </row>
    <row r="38" spans="1:10" ht="12.75">
      <c r="A38" s="60" t="s">
        <v>4</v>
      </c>
      <c r="B38" s="117" t="s">
        <v>5</v>
      </c>
      <c r="C38" s="118" t="s">
        <v>6</v>
      </c>
      <c r="D38" s="62" t="s">
        <v>66</v>
      </c>
      <c r="E38" s="117" t="s">
        <v>7</v>
      </c>
      <c r="F38" s="62" t="s">
        <v>6</v>
      </c>
      <c r="G38" s="128" t="s">
        <v>66</v>
      </c>
      <c r="H38" s="63" t="s">
        <v>8</v>
      </c>
      <c r="I38" s="64" t="s">
        <v>9</v>
      </c>
      <c r="J38" s="59"/>
    </row>
    <row r="39" spans="1:9" ht="12.75">
      <c r="A39" s="74"/>
      <c r="B39" s="68"/>
      <c r="C39" s="115"/>
      <c r="D39" s="55"/>
      <c r="E39" s="68"/>
      <c r="F39" s="56"/>
      <c r="G39" s="89"/>
      <c r="H39" s="56"/>
      <c r="I39" s="119"/>
    </row>
    <row r="40" spans="1:9" ht="15.75">
      <c r="A40" s="70" t="s">
        <v>39</v>
      </c>
      <c r="B40" s="95"/>
      <c r="C40" s="115"/>
      <c r="D40" s="55"/>
      <c r="E40" s="95"/>
      <c r="F40" s="55"/>
      <c r="G40" s="96"/>
      <c r="H40" s="55"/>
      <c r="I40" s="57"/>
    </row>
    <row r="41" spans="1:9" ht="12.75">
      <c r="A41" s="72" t="s">
        <v>11</v>
      </c>
      <c r="B41" s="68">
        <v>156</v>
      </c>
      <c r="C41" s="56">
        <v>300</v>
      </c>
      <c r="D41" s="56">
        <f aca="true" t="shared" si="1" ref="D41:D49">ROUND(B41*C41,2)</f>
        <v>46800</v>
      </c>
      <c r="E41" s="68">
        <f aca="true" t="shared" si="2" ref="E41:E49">+B41</f>
        <v>156</v>
      </c>
      <c r="F41" s="56">
        <f>+F62-300</f>
        <v>500</v>
      </c>
      <c r="G41" s="89">
        <f aca="true" t="shared" si="3" ref="G41:G49">ROUND(E41*F41,2)</f>
        <v>78000</v>
      </c>
      <c r="H41" s="90"/>
      <c r="I41" s="129"/>
    </row>
    <row r="42" spans="1:9" ht="12.75">
      <c r="A42" s="74" t="s">
        <v>27</v>
      </c>
      <c r="B42" s="68">
        <v>7080</v>
      </c>
      <c r="C42" s="56">
        <v>0.99</v>
      </c>
      <c r="D42" s="56">
        <f t="shared" si="1"/>
        <v>7009.2</v>
      </c>
      <c r="E42" s="68">
        <f t="shared" si="2"/>
        <v>7080</v>
      </c>
      <c r="F42" s="56">
        <f>+F63</f>
        <v>1.07</v>
      </c>
      <c r="G42" s="89">
        <f t="shared" si="3"/>
        <v>7575.6</v>
      </c>
      <c r="H42" s="90"/>
      <c r="I42" s="129"/>
    </row>
    <row r="43" spans="1:9" ht="12.75">
      <c r="A43" s="74" t="s">
        <v>113</v>
      </c>
      <c r="B43" s="68"/>
      <c r="C43" s="56"/>
      <c r="D43" s="56"/>
      <c r="E43" s="68">
        <f>+E51</f>
        <v>30720280</v>
      </c>
      <c r="F43" s="76">
        <v>0.0035</v>
      </c>
      <c r="G43" s="89">
        <f>ROUND(E43*F43,2)</f>
        <v>107520.98</v>
      </c>
      <c r="H43" s="90"/>
      <c r="I43" s="129"/>
    </row>
    <row r="44" spans="1:10" ht="12.75">
      <c r="A44" s="74" t="s">
        <v>33</v>
      </c>
      <c r="B44" s="68">
        <v>3974949</v>
      </c>
      <c r="C44" s="76">
        <v>0.11825000000000002</v>
      </c>
      <c r="D44" s="56">
        <f t="shared" si="1"/>
        <v>470037.72</v>
      </c>
      <c r="E44" s="68">
        <f t="shared" si="2"/>
        <v>3974949</v>
      </c>
      <c r="F44" s="76">
        <f aca="true" t="shared" si="4" ref="F44:F49">+F64</f>
        <v>0.12805</v>
      </c>
      <c r="G44" s="89">
        <f t="shared" si="3"/>
        <v>508992.22</v>
      </c>
      <c r="H44" s="55"/>
      <c r="I44" s="91"/>
      <c r="J44" s="52"/>
    </row>
    <row r="45" spans="1:10" ht="12.75">
      <c r="A45" s="74" t="s">
        <v>34</v>
      </c>
      <c r="B45" s="68">
        <v>3739992</v>
      </c>
      <c r="C45" s="76">
        <v>0.07624000000000003</v>
      </c>
      <c r="D45" s="56">
        <f t="shared" si="1"/>
        <v>285136.99</v>
      </c>
      <c r="E45" s="68">
        <f t="shared" si="2"/>
        <v>3739992</v>
      </c>
      <c r="F45" s="76">
        <f t="shared" si="4"/>
        <v>0.08256</v>
      </c>
      <c r="G45" s="89">
        <f t="shared" si="3"/>
        <v>308773.74</v>
      </c>
      <c r="H45" s="55"/>
      <c r="I45" s="91"/>
      <c r="J45" s="52"/>
    </row>
    <row r="46" spans="1:9" ht="12.75">
      <c r="A46" s="74" t="s">
        <v>40</v>
      </c>
      <c r="B46" s="68">
        <v>4965091</v>
      </c>
      <c r="C46" s="76">
        <v>0.04951</v>
      </c>
      <c r="D46" s="56">
        <f t="shared" si="1"/>
        <v>245821.66</v>
      </c>
      <c r="E46" s="68">
        <f t="shared" si="2"/>
        <v>4965091</v>
      </c>
      <c r="F46" s="76">
        <f t="shared" si="4"/>
        <v>0.05361</v>
      </c>
      <c r="G46" s="89">
        <f t="shared" si="3"/>
        <v>266178.53</v>
      </c>
      <c r="H46" s="56"/>
      <c r="I46" s="119"/>
    </row>
    <row r="47" spans="1:9" ht="12.75">
      <c r="A47" s="74" t="s">
        <v>41</v>
      </c>
      <c r="B47" s="68">
        <v>5131590</v>
      </c>
      <c r="C47" s="76">
        <v>0.03267999999999999</v>
      </c>
      <c r="D47" s="56">
        <f t="shared" si="1"/>
        <v>167700.36</v>
      </c>
      <c r="E47" s="68">
        <f t="shared" si="2"/>
        <v>5131590</v>
      </c>
      <c r="F47" s="76">
        <f t="shared" si="4"/>
        <v>0.03539</v>
      </c>
      <c r="G47" s="89">
        <f t="shared" si="3"/>
        <v>181606.97</v>
      </c>
      <c r="H47" s="56"/>
      <c r="I47" s="119"/>
    </row>
    <row r="48" spans="1:10" ht="12.75">
      <c r="A48" s="74" t="s">
        <v>42</v>
      </c>
      <c r="B48" s="68">
        <v>4960790</v>
      </c>
      <c r="C48" s="76">
        <v>0.02475999999999995</v>
      </c>
      <c r="D48" s="56">
        <f t="shared" si="1"/>
        <v>122829.16</v>
      </c>
      <c r="E48" s="68">
        <f t="shared" si="2"/>
        <v>4960790</v>
      </c>
      <c r="F48" s="76">
        <f t="shared" si="4"/>
        <v>0.02681</v>
      </c>
      <c r="G48" s="89">
        <f t="shared" si="3"/>
        <v>132998.78</v>
      </c>
      <c r="H48" s="56"/>
      <c r="I48" s="57"/>
      <c r="J48" s="71" t="s">
        <v>43</v>
      </c>
    </row>
    <row r="49" spans="1:10" ht="12.75">
      <c r="A49" s="74" t="s">
        <v>44</v>
      </c>
      <c r="B49" s="68">
        <v>7947868</v>
      </c>
      <c r="C49" s="76">
        <v>0.01980999999999994</v>
      </c>
      <c r="D49" s="56">
        <f t="shared" si="1"/>
        <v>157447.27</v>
      </c>
      <c r="E49" s="68">
        <f t="shared" si="2"/>
        <v>7947868</v>
      </c>
      <c r="F49" s="76">
        <f t="shared" si="4"/>
        <v>0.02145</v>
      </c>
      <c r="G49" s="89">
        <f t="shared" si="3"/>
        <v>170481.77</v>
      </c>
      <c r="H49" s="56"/>
      <c r="I49" s="57"/>
      <c r="J49" s="73">
        <v>126325</v>
      </c>
    </row>
    <row r="50" spans="1:10" ht="12.75">
      <c r="A50" s="74"/>
      <c r="B50" s="68"/>
      <c r="C50" s="76"/>
      <c r="D50" s="56"/>
      <c r="E50" s="68"/>
      <c r="F50" s="76"/>
      <c r="G50" s="89"/>
      <c r="H50" s="56"/>
      <c r="I50" s="119"/>
      <c r="J50" s="73" t="s">
        <v>13</v>
      </c>
    </row>
    <row r="51" spans="1:10" ht="12.75">
      <c r="A51" s="72" t="s">
        <v>14</v>
      </c>
      <c r="B51" s="68">
        <f>SUM(B44:B49)</f>
        <v>30720280</v>
      </c>
      <c r="C51" s="76"/>
      <c r="D51" s="56">
        <f>SUM(D41:D50)</f>
        <v>1502782.3599999996</v>
      </c>
      <c r="E51" s="68">
        <f>SUM(E44:E49)</f>
        <v>30720280</v>
      </c>
      <c r="F51" s="56"/>
      <c r="G51" s="89">
        <f>SUM(G41:G50)</f>
        <v>1762128.59</v>
      </c>
      <c r="H51" s="56">
        <f>G51-D51</f>
        <v>259346.23000000045</v>
      </c>
      <c r="I51" s="119">
        <f>H51/D51</f>
        <v>0.17257737174929344</v>
      </c>
      <c r="J51" s="179">
        <f>+H51-J49</f>
        <v>133021.23000000045</v>
      </c>
    </row>
    <row r="52" spans="1:9" ht="12.75">
      <c r="A52" s="72"/>
      <c r="B52" s="95"/>
      <c r="C52" s="76"/>
      <c r="D52" s="55"/>
      <c r="E52" s="68"/>
      <c r="F52" s="56"/>
      <c r="G52" s="89"/>
      <c r="H52" s="56"/>
      <c r="I52" s="78"/>
    </row>
    <row r="53" spans="1:12" ht="38.25">
      <c r="A53" s="72"/>
      <c r="B53" s="95"/>
      <c r="C53" s="76"/>
      <c r="D53" s="55"/>
      <c r="E53" s="68"/>
      <c r="F53" s="56"/>
      <c r="G53" s="89"/>
      <c r="H53" s="56"/>
      <c r="I53" s="78"/>
      <c r="J53" s="28" t="s">
        <v>15</v>
      </c>
      <c r="K53" s="28" t="s">
        <v>16</v>
      </c>
      <c r="L53" s="28" t="s">
        <v>62</v>
      </c>
    </row>
    <row r="54" spans="1:12" ht="12.75">
      <c r="A54" s="74" t="s">
        <v>63</v>
      </c>
      <c r="B54" s="116"/>
      <c r="C54" s="24">
        <v>0.48852</v>
      </c>
      <c r="D54" s="96">
        <f>+C54*B51</f>
        <v>15007471.1856</v>
      </c>
      <c r="E54" s="116"/>
      <c r="F54" s="76">
        <f>+L54</f>
        <v>0.48913</v>
      </c>
      <c r="G54" s="96">
        <f>+F54*E51</f>
        <v>15026210.556400001</v>
      </c>
      <c r="H54" s="55"/>
      <c r="I54" s="57"/>
      <c r="J54" s="29">
        <v>0.46769</v>
      </c>
      <c r="K54" s="27">
        <v>1.04584</v>
      </c>
      <c r="L54" s="145">
        <f>ROUND(J54*K54,5)</f>
        <v>0.48913</v>
      </c>
    </row>
    <row r="55" spans="1:12" ht="12.75">
      <c r="A55" s="74" t="s">
        <v>64</v>
      </c>
      <c r="B55" s="116"/>
      <c r="C55" s="8">
        <v>1.04</v>
      </c>
      <c r="D55" s="96">
        <f>B42*C55</f>
        <v>7363.2</v>
      </c>
      <c r="E55" s="116"/>
      <c r="F55" s="56">
        <f>+L55</f>
        <v>1.05</v>
      </c>
      <c r="G55" s="96">
        <f>E42*F55</f>
        <v>7434</v>
      </c>
      <c r="H55" s="84"/>
      <c r="I55" s="85"/>
      <c r="J55" s="151">
        <v>1</v>
      </c>
      <c r="K55" s="27">
        <v>1.04584</v>
      </c>
      <c r="L55" s="145">
        <f>ROUND(J55*K55,2)</f>
        <v>1.05</v>
      </c>
    </row>
    <row r="56" spans="1:13" ht="15.75">
      <c r="A56" s="72" t="s">
        <v>14</v>
      </c>
      <c r="B56" s="66"/>
      <c r="C56" s="8"/>
      <c r="D56" s="8">
        <f>SUM(D54:D55)</f>
        <v>15014834.385599999</v>
      </c>
      <c r="E56" s="16"/>
      <c r="F56" s="8"/>
      <c r="G56" s="8">
        <f>SUM(G54:G55)</f>
        <v>15033644.556400001</v>
      </c>
      <c r="H56" s="84">
        <f>G56-D56</f>
        <v>18810.17080000229</v>
      </c>
      <c r="I56" s="85">
        <f>ROUND(H56/D56,5)</f>
        <v>0.00125</v>
      </c>
      <c r="J56" s="151"/>
      <c r="K56" s="27"/>
      <c r="L56" s="145"/>
      <c r="M56" s="5"/>
    </row>
    <row r="57" spans="1:9" ht="12.75">
      <c r="A57" s="74"/>
      <c r="B57" s="68"/>
      <c r="C57" s="55"/>
      <c r="D57" s="89"/>
      <c r="E57" s="68"/>
      <c r="F57" s="55"/>
      <c r="G57" s="89"/>
      <c r="H57" s="56"/>
      <c r="I57" s="78"/>
    </row>
    <row r="58" spans="1:9" ht="12.75">
      <c r="A58" s="74" t="s">
        <v>65</v>
      </c>
      <c r="B58" s="68"/>
      <c r="C58" s="55"/>
      <c r="D58" s="89">
        <f>SUM(D51:D55)</f>
        <v>16517616.745599998</v>
      </c>
      <c r="E58" s="68"/>
      <c r="F58" s="55"/>
      <c r="G58" s="89">
        <f>SUM(G51:G55)</f>
        <v>16795773.1464</v>
      </c>
      <c r="H58" s="56">
        <f>G58-D58</f>
        <v>278156.40080000274</v>
      </c>
      <c r="I58" s="119">
        <f>H58/D58</f>
        <v>0.016839983944663125</v>
      </c>
    </row>
    <row r="59" spans="1:10" ht="12.75">
      <c r="A59" s="74"/>
      <c r="B59" s="175"/>
      <c r="C59" s="176"/>
      <c r="D59" s="177"/>
      <c r="E59" s="68"/>
      <c r="F59" s="55"/>
      <c r="G59" s="89"/>
      <c r="H59" s="56"/>
      <c r="I59" s="119"/>
      <c r="J59" s="108"/>
    </row>
    <row r="60" spans="1:10" ht="12.75">
      <c r="A60" s="74"/>
      <c r="B60" s="95"/>
      <c r="C60" s="76"/>
      <c r="D60" s="55"/>
      <c r="E60" s="68"/>
      <c r="F60" s="56"/>
      <c r="G60" s="89"/>
      <c r="H60" s="56"/>
      <c r="I60" s="119"/>
      <c r="J60" s="71" t="s">
        <v>45</v>
      </c>
    </row>
    <row r="61" spans="1:10" ht="15.75">
      <c r="A61" s="130" t="s">
        <v>46</v>
      </c>
      <c r="B61" s="95"/>
      <c r="C61" s="115"/>
      <c r="D61" s="55"/>
      <c r="E61" s="68"/>
      <c r="F61" s="56"/>
      <c r="G61" s="89"/>
      <c r="H61" s="182"/>
      <c r="I61" s="129"/>
      <c r="J61" s="73">
        <v>1033802</v>
      </c>
    </row>
    <row r="62" spans="1:11" ht="12.75">
      <c r="A62" s="74" t="s">
        <v>11</v>
      </c>
      <c r="B62" s="68">
        <v>1440</v>
      </c>
      <c r="C62" s="56">
        <v>800</v>
      </c>
      <c r="D62" s="89">
        <f aca="true" t="shared" si="5" ref="D62:D69">ROUND(B62*C62,2)</f>
        <v>1152000</v>
      </c>
      <c r="E62" s="68">
        <f aca="true" t="shared" si="6" ref="E62:E69">+B62</f>
        <v>1440</v>
      </c>
      <c r="F62" s="56">
        <v>800</v>
      </c>
      <c r="G62" s="89">
        <f aca="true" t="shared" si="7" ref="G62:G69">ROUND(E62*F62,2)</f>
        <v>1152000</v>
      </c>
      <c r="H62" s="56"/>
      <c r="I62" s="119"/>
      <c r="J62" s="73" t="s">
        <v>13</v>
      </c>
      <c r="K62" s="69"/>
    </row>
    <row r="63" spans="1:10" ht="12.75">
      <c r="A63" s="74" t="s">
        <v>27</v>
      </c>
      <c r="B63" s="68">
        <v>1624332</v>
      </c>
      <c r="C63" s="76">
        <v>0.99</v>
      </c>
      <c r="D63" s="89">
        <f t="shared" si="5"/>
        <v>1608088.68</v>
      </c>
      <c r="E63" s="68">
        <f t="shared" si="6"/>
        <v>1624332</v>
      </c>
      <c r="F63" s="56">
        <f>ROUND(+C63*$J$70,2)</f>
        <v>1.07</v>
      </c>
      <c r="G63" s="89">
        <f t="shared" si="7"/>
        <v>1738035.24</v>
      </c>
      <c r="H63" s="56"/>
      <c r="I63" s="78"/>
      <c r="J63" s="77">
        <f>+H71-J61</f>
        <v>-141098.11000000127</v>
      </c>
    </row>
    <row r="64" spans="1:9" ht="12.75">
      <c r="A64" s="74" t="s">
        <v>33</v>
      </c>
      <c r="B64" s="68">
        <v>33097585</v>
      </c>
      <c r="C64" s="76">
        <v>0.11825000000000002</v>
      </c>
      <c r="D64" s="89">
        <f t="shared" si="5"/>
        <v>3913789.43</v>
      </c>
      <c r="E64" s="68">
        <f t="shared" si="6"/>
        <v>33097585</v>
      </c>
      <c r="F64" s="76">
        <f aca="true" t="shared" si="8" ref="F64:F69">ROUND(+C64*$J$70,5)</f>
        <v>0.12805</v>
      </c>
      <c r="G64" s="89">
        <f t="shared" si="7"/>
        <v>4238145.76</v>
      </c>
      <c r="H64" s="56"/>
      <c r="I64" s="78"/>
    </row>
    <row r="65" spans="1:9" ht="12.75">
      <c r="A65" s="74" t="s">
        <v>34</v>
      </c>
      <c r="B65" s="68">
        <v>23201790</v>
      </c>
      <c r="C65" s="76">
        <v>0.07624000000000003</v>
      </c>
      <c r="D65" s="89">
        <f t="shared" si="5"/>
        <v>1768904.47</v>
      </c>
      <c r="E65" s="68">
        <f t="shared" si="6"/>
        <v>23201790</v>
      </c>
      <c r="F65" s="76">
        <f t="shared" si="8"/>
        <v>0.08256</v>
      </c>
      <c r="G65" s="89">
        <f t="shared" si="7"/>
        <v>1915539.78</v>
      </c>
      <c r="H65" s="56"/>
      <c r="I65" s="78"/>
    </row>
    <row r="66" spans="1:10" ht="12.75">
      <c r="A66" s="74" t="s">
        <v>40</v>
      </c>
      <c r="B66" s="68">
        <v>25366655</v>
      </c>
      <c r="C66" s="76">
        <v>0.04951</v>
      </c>
      <c r="D66" s="89">
        <f t="shared" si="5"/>
        <v>1255903.09</v>
      </c>
      <c r="E66" s="68">
        <f t="shared" si="6"/>
        <v>25366655</v>
      </c>
      <c r="F66" s="76">
        <f t="shared" si="8"/>
        <v>0.05361</v>
      </c>
      <c r="G66" s="89">
        <f t="shared" si="7"/>
        <v>1359906.37</v>
      </c>
      <c r="H66" s="56"/>
      <c r="I66" s="129"/>
      <c r="J66" s="192" t="s">
        <v>114</v>
      </c>
    </row>
    <row r="67" spans="1:10" ht="12.75">
      <c r="A67" s="74" t="s">
        <v>47</v>
      </c>
      <c r="B67" s="68">
        <v>22963283</v>
      </c>
      <c r="C67" s="76">
        <v>0.03267999999999999</v>
      </c>
      <c r="D67" s="89">
        <f t="shared" si="5"/>
        <v>750440.09</v>
      </c>
      <c r="E67" s="68">
        <f t="shared" si="6"/>
        <v>22963283</v>
      </c>
      <c r="F67" s="76">
        <f t="shared" si="8"/>
        <v>0.03539</v>
      </c>
      <c r="G67" s="89">
        <f t="shared" si="7"/>
        <v>812670.59</v>
      </c>
      <c r="H67" s="56"/>
      <c r="I67" s="119"/>
      <c r="J67" s="193">
        <v>1160127</v>
      </c>
    </row>
    <row r="68" spans="1:10" ht="12.75">
      <c r="A68" s="74" t="s">
        <v>48</v>
      </c>
      <c r="B68" s="68">
        <v>28898656</v>
      </c>
      <c r="C68" s="76">
        <v>0.02475999999999995</v>
      </c>
      <c r="D68" s="89">
        <f t="shared" si="5"/>
        <v>715530.72</v>
      </c>
      <c r="E68" s="68">
        <f t="shared" si="6"/>
        <v>28898656</v>
      </c>
      <c r="F68" s="76">
        <f t="shared" si="8"/>
        <v>0.02681</v>
      </c>
      <c r="G68" s="89">
        <f t="shared" si="7"/>
        <v>774772.97</v>
      </c>
      <c r="H68" s="56"/>
      <c r="I68" s="119"/>
      <c r="J68" s="193" t="s">
        <v>49</v>
      </c>
    </row>
    <row r="69" spans="1:10" ht="12.75">
      <c r="A69" s="74" t="s">
        <v>50</v>
      </c>
      <c r="B69" s="68">
        <v>40420524</v>
      </c>
      <c r="C69" s="76">
        <v>0.01980999999999994</v>
      </c>
      <c r="D69" s="89">
        <f t="shared" si="5"/>
        <v>800730.58</v>
      </c>
      <c r="E69" s="68">
        <f t="shared" si="6"/>
        <v>40420524</v>
      </c>
      <c r="F69" s="76">
        <f t="shared" si="8"/>
        <v>0.02145</v>
      </c>
      <c r="G69" s="89">
        <f t="shared" si="7"/>
        <v>867020.24</v>
      </c>
      <c r="H69" s="56"/>
      <c r="I69" s="78"/>
      <c r="J69" s="194">
        <f>+J67-H71-H51-H74</f>
        <v>-620.5446499991813</v>
      </c>
    </row>
    <row r="70" spans="1:10" ht="12.75">
      <c r="A70" s="74"/>
      <c r="B70" s="95"/>
      <c r="C70" s="115"/>
      <c r="D70" s="55"/>
      <c r="E70" s="68"/>
      <c r="F70" s="56"/>
      <c r="G70" s="89"/>
      <c r="H70" s="56"/>
      <c r="I70" s="78"/>
      <c r="J70" s="152">
        <v>1.08289950234514</v>
      </c>
    </row>
    <row r="71" spans="1:10" ht="12.75">
      <c r="A71" s="72" t="s">
        <v>14</v>
      </c>
      <c r="B71" s="95">
        <f>SUM(B64:B69)</f>
        <v>173948493</v>
      </c>
      <c r="C71" s="115"/>
      <c r="D71" s="89">
        <f>SUM(D62:D69)</f>
        <v>11965387.06</v>
      </c>
      <c r="E71" s="95">
        <f>SUM(E64:E69)</f>
        <v>173948493</v>
      </c>
      <c r="F71" s="56"/>
      <c r="G71" s="89">
        <f>SUM(G62:G69)</f>
        <v>12858090.95</v>
      </c>
      <c r="H71" s="56">
        <f>G71-D71</f>
        <v>892703.8899999987</v>
      </c>
      <c r="I71" s="191">
        <f>H71/D71</f>
        <v>0.07460718867877549</v>
      </c>
      <c r="J71" s="195"/>
    </row>
    <row r="72" spans="1:10" ht="15.75">
      <c r="A72" s="72"/>
      <c r="B72" s="95"/>
      <c r="C72" s="115"/>
      <c r="D72" s="67"/>
      <c r="E72" s="68"/>
      <c r="F72" s="56"/>
      <c r="G72" s="89"/>
      <c r="H72" s="56"/>
      <c r="I72" s="191"/>
      <c r="J72" s="74"/>
    </row>
    <row r="73" spans="1:9" ht="12.75">
      <c r="A73" s="74" t="s">
        <v>67</v>
      </c>
      <c r="B73" s="95"/>
      <c r="C73" s="76">
        <f>0.00061</f>
        <v>0.00061</v>
      </c>
      <c r="D73" s="89">
        <f>C73*B71</f>
        <v>106108.58073</v>
      </c>
      <c r="E73" s="68"/>
      <c r="F73" s="76">
        <f>ROUND(+C73*$J$70,5)</f>
        <v>0.00066</v>
      </c>
      <c r="G73" s="89">
        <f>F73*E71</f>
        <v>114806.00538</v>
      </c>
      <c r="H73" s="56"/>
      <c r="I73" s="119"/>
    </row>
    <row r="74" spans="1:13" ht="15.75">
      <c r="A74" s="72" t="s">
        <v>14</v>
      </c>
      <c r="B74" s="66"/>
      <c r="C74" s="8"/>
      <c r="D74" s="8">
        <f>SUM(D73:D73)</f>
        <v>106108.58073</v>
      </c>
      <c r="E74" s="16"/>
      <c r="F74" s="8"/>
      <c r="G74" s="8">
        <f>SUM(G73:G73)</f>
        <v>114806.00538</v>
      </c>
      <c r="H74" s="84">
        <f>G74-D74</f>
        <v>8697.42465</v>
      </c>
      <c r="I74" s="85">
        <f>ROUND(H74/D74,5)</f>
        <v>0.08197</v>
      </c>
      <c r="J74" s="151"/>
      <c r="K74" s="27"/>
      <c r="L74" s="145"/>
      <c r="M74" s="5"/>
    </row>
    <row r="75" spans="1:9" ht="12.75">
      <c r="A75" s="74"/>
      <c r="B75" s="95"/>
      <c r="C75" s="115"/>
      <c r="D75" s="55"/>
      <c r="E75" s="68"/>
      <c r="F75" s="56"/>
      <c r="G75" s="89"/>
      <c r="H75" s="56"/>
      <c r="I75" s="119"/>
    </row>
    <row r="76" spans="1:9" ht="12.75">
      <c r="A76" s="74" t="s">
        <v>65</v>
      </c>
      <c r="B76" s="95"/>
      <c r="C76" s="115"/>
      <c r="D76" s="55">
        <f>D71+D74</f>
        <v>12071495.640730001</v>
      </c>
      <c r="E76" s="68"/>
      <c r="F76" s="56"/>
      <c r="G76" s="89">
        <f>G73+G71</f>
        <v>12972896.95538</v>
      </c>
      <c r="H76" s="56">
        <f>G76-D76</f>
        <v>901401.3146499991</v>
      </c>
      <c r="I76" s="119">
        <f>H76/D76</f>
        <v>0.07467188337529719</v>
      </c>
    </row>
    <row r="77" spans="1:9" ht="12.75">
      <c r="A77" s="104"/>
      <c r="B77" s="157"/>
      <c r="C77" s="158"/>
      <c r="D77" s="159"/>
      <c r="E77" s="123"/>
      <c r="F77" s="105"/>
      <c r="G77" s="124"/>
      <c r="H77" s="105"/>
      <c r="I77" s="131"/>
    </row>
    <row r="78" spans="2:4" ht="15.75">
      <c r="B78" s="126"/>
      <c r="C78" s="127"/>
      <c r="D78" s="111"/>
    </row>
    <row r="79" spans="2:10" ht="15.75">
      <c r="B79" s="126"/>
      <c r="C79" s="127"/>
      <c r="D79" s="111"/>
      <c r="E79" s="208"/>
      <c r="F79" s="207"/>
      <c r="G79" s="207"/>
      <c r="H79" s="207"/>
      <c r="I79" s="209"/>
      <c r="J79" s="174"/>
    </row>
    <row r="80" spans="2:10" ht="15.75">
      <c r="B80" s="126"/>
      <c r="C80" s="127"/>
      <c r="D80" s="111"/>
      <c r="E80" s="208"/>
      <c r="F80" s="210"/>
      <c r="G80" s="210"/>
      <c r="H80" s="210"/>
      <c r="I80" s="209"/>
      <c r="J80" s="174"/>
    </row>
    <row r="81" spans="1:10" ht="12.75">
      <c r="A81"/>
      <c r="B81"/>
      <c r="C81"/>
      <c r="D81"/>
      <c r="E81" s="174"/>
      <c r="F81" s="208"/>
      <c r="G81" s="211"/>
      <c r="H81" s="212"/>
      <c r="I81" s="174"/>
      <c r="J81" s="174"/>
    </row>
    <row r="82" spans="1:10" ht="12.75">
      <c r="A82"/>
      <c r="B82"/>
      <c r="C82"/>
      <c r="D82"/>
      <c r="E82" s="174"/>
      <c r="F82" s="208"/>
      <c r="G82" s="207"/>
      <c r="H82" s="212"/>
      <c r="I82" s="174"/>
      <c r="J82" s="174"/>
    </row>
    <row r="83" spans="1:10" ht="12.75">
      <c r="A83"/>
      <c r="B83"/>
      <c r="C83"/>
      <c r="D83"/>
      <c r="E83" s="174"/>
      <c r="F83" s="174"/>
      <c r="G83" s="213"/>
      <c r="H83" s="212"/>
      <c r="I83" s="174"/>
      <c r="J83" s="174"/>
    </row>
    <row r="84" spans="1:10" ht="12.75">
      <c r="A84"/>
      <c r="B84"/>
      <c r="C84"/>
      <c r="D84" s="108"/>
      <c r="E84" s="174"/>
      <c r="F84" s="174"/>
      <c r="G84" s="207"/>
      <c r="H84" s="207"/>
      <c r="I84" s="214"/>
      <c r="J84" s="174"/>
    </row>
    <row r="85" spans="1:10" ht="12.75">
      <c r="A85"/>
      <c r="B85"/>
      <c r="C85"/>
      <c r="D85"/>
      <c r="E85" s="174"/>
      <c r="F85" s="174"/>
      <c r="G85" s="213"/>
      <c r="H85" s="212"/>
      <c r="I85" s="174"/>
      <c r="J85" s="174"/>
    </row>
    <row r="86" spans="1:10" ht="12.75">
      <c r="A86"/>
      <c r="B86"/>
      <c r="C86"/>
      <c r="D86"/>
      <c r="E86" s="174"/>
      <c r="F86" s="174"/>
      <c r="G86" s="174"/>
      <c r="H86" s="212"/>
      <c r="I86" s="174"/>
      <c r="J86" s="174"/>
    </row>
    <row r="87" spans="1:10" ht="12.75">
      <c r="A87"/>
      <c r="B87"/>
      <c r="C87"/>
      <c r="D87"/>
      <c r="E87" s="174"/>
      <c r="F87" s="174"/>
      <c r="G87" s="213"/>
      <c r="H87" s="215"/>
      <c r="I87" s="174"/>
      <c r="J87" s="174"/>
    </row>
    <row r="88" spans="5:10" ht="15.75">
      <c r="E88" s="208"/>
      <c r="F88" s="207"/>
      <c r="G88" s="207"/>
      <c r="H88" s="207"/>
      <c r="I88" s="214"/>
      <c r="J88" s="174"/>
    </row>
    <row r="89" spans="5:10" ht="15.75">
      <c r="E89" s="208"/>
      <c r="F89" s="207"/>
      <c r="G89" s="207"/>
      <c r="H89" s="207"/>
      <c r="I89" s="214"/>
      <c r="J89" s="174"/>
    </row>
    <row r="94" ht="15.75">
      <c r="E94" s="112"/>
    </row>
    <row r="95" ht="15.75">
      <c r="E95" s="112"/>
    </row>
  </sheetData>
  <mergeCells count="1">
    <mergeCell ref="B19:C19"/>
  </mergeCells>
  <printOptions/>
  <pageMargins left="0.51" right="0.67" top="1.94" bottom="0.85" header="1.5" footer="0.5"/>
  <pageSetup horizontalDpi="600" verticalDpi="600" orientation="landscape" scale="70" r:id="rId3"/>
  <headerFooter alignWithMargins="0">
    <oddHeader>&amp;C&amp;"Arial,Bold"PUGET SOUND ENERGY - GAS 
REVISED NATURAL GAS RATE DESIGN&amp;"Arial,Regular"
TWELVE MONTHS ENDED SEPTEMBER 30, 2003&amp;RExhibit No. ___(JAH-25)
Page &amp;P of &amp;N</oddHeader>
  </headerFooter>
  <rowBreaks count="1" manualBreakCount="1">
    <brk id="3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28"/>
  <sheetViews>
    <sheetView tabSelected="1" workbookViewId="0" topLeftCell="A1">
      <selection activeCell="A22" sqref="A22"/>
    </sheetView>
  </sheetViews>
  <sheetFormatPr defaultColWidth="9.140625" defaultRowHeight="12.75"/>
  <cols>
    <col min="1" max="1" width="9.140625" style="150" customWidth="1"/>
    <col min="2" max="2" width="1.28515625" style="150" customWidth="1"/>
    <col min="3" max="3" width="10.140625" style="150" customWidth="1"/>
    <col min="4" max="4" width="9.7109375" style="150" customWidth="1"/>
    <col min="5" max="5" width="41.140625" style="150" customWidth="1"/>
    <col min="6" max="6" width="12.57421875" style="150" customWidth="1"/>
    <col min="7" max="7" width="11.7109375" style="150" customWidth="1"/>
    <col min="8" max="8" width="10.57421875" style="150" customWidth="1"/>
    <col min="9" max="9" width="14.57421875" style="150" customWidth="1"/>
    <col min="10" max="16384" width="9.140625" style="150" customWidth="1"/>
  </cols>
  <sheetData>
    <row r="1" spans="1:9" ht="25.5">
      <c r="A1" s="165" t="s">
        <v>60</v>
      </c>
      <c r="B1" s="166"/>
      <c r="C1" s="165" t="s">
        <v>58</v>
      </c>
      <c r="D1" s="165" t="s">
        <v>71</v>
      </c>
      <c r="E1" s="165" t="s">
        <v>4</v>
      </c>
      <c r="F1" s="165" t="s">
        <v>69</v>
      </c>
      <c r="G1" s="165" t="s">
        <v>72</v>
      </c>
      <c r="H1" s="165" t="s">
        <v>68</v>
      </c>
      <c r="I1" s="165" t="s">
        <v>73</v>
      </c>
    </row>
    <row r="2" spans="1:9" ht="12.75">
      <c r="A2" s="167">
        <f aca="true" t="shared" si="0" ref="A2:A24">+ROW(A2)-1</f>
        <v>1</v>
      </c>
      <c r="B2" s="166"/>
      <c r="C2" s="168" t="s">
        <v>52</v>
      </c>
      <c r="D2" s="168" t="s">
        <v>53</v>
      </c>
      <c r="E2" s="168" t="s">
        <v>117</v>
      </c>
      <c r="F2" s="168" t="s">
        <v>54</v>
      </c>
      <c r="G2" s="168" t="s">
        <v>55</v>
      </c>
      <c r="H2" s="168" t="s">
        <v>56</v>
      </c>
      <c r="I2" s="168" t="s">
        <v>57</v>
      </c>
    </row>
    <row r="3" spans="1:2" ht="12.75">
      <c r="A3" s="167">
        <f t="shared" si="0"/>
        <v>2</v>
      </c>
      <c r="B3" s="167"/>
    </row>
    <row r="4" spans="1:9" ht="12.75">
      <c r="A4" s="167">
        <f t="shared" si="0"/>
        <v>3</v>
      </c>
      <c r="B4" s="167"/>
      <c r="C4" s="167" t="s">
        <v>74</v>
      </c>
      <c r="D4" s="150" t="s">
        <v>75</v>
      </c>
      <c r="E4" s="150" t="s">
        <v>76</v>
      </c>
      <c r="F4" s="169">
        <v>5.85</v>
      </c>
      <c r="G4" s="181">
        <f aca="true" t="shared" si="1" ref="G4:G9">+F4*(1+0.098)</f>
        <v>6.4233</v>
      </c>
      <c r="H4" s="169">
        <v>6.4</v>
      </c>
      <c r="I4" s="170">
        <f aca="true" t="shared" si="2" ref="I4:I21">(H4-F4)/F4</f>
        <v>0.09401709401709414</v>
      </c>
    </row>
    <row r="5" spans="1:9" ht="12.75">
      <c r="A5" s="167">
        <f t="shared" si="0"/>
        <v>4</v>
      </c>
      <c r="B5" s="167"/>
      <c r="C5" s="167" t="s">
        <v>74</v>
      </c>
      <c r="D5" s="150" t="s">
        <v>77</v>
      </c>
      <c r="E5" s="150" t="s">
        <v>78</v>
      </c>
      <c r="F5" s="169">
        <v>9.4</v>
      </c>
      <c r="G5" s="169">
        <f t="shared" si="1"/>
        <v>10.321200000000001</v>
      </c>
      <c r="H5" s="169">
        <v>10.3</v>
      </c>
      <c r="I5" s="170">
        <f t="shared" si="2"/>
        <v>0.09574468085106387</v>
      </c>
    </row>
    <row r="6" spans="1:9" ht="12.75">
      <c r="A6" s="167">
        <f t="shared" si="0"/>
        <v>5</v>
      </c>
      <c r="B6" s="167"/>
      <c r="C6" s="167" t="s">
        <v>74</v>
      </c>
      <c r="D6" s="150" t="s">
        <v>79</v>
      </c>
      <c r="E6" s="150" t="s">
        <v>80</v>
      </c>
      <c r="F6" s="169">
        <v>13.4</v>
      </c>
      <c r="G6" s="169">
        <f t="shared" si="1"/>
        <v>14.713200000000002</v>
      </c>
      <c r="H6" s="169">
        <v>14.7</v>
      </c>
      <c r="I6" s="170">
        <f t="shared" si="2"/>
        <v>0.09701492537313425</v>
      </c>
    </row>
    <row r="7" spans="1:9" ht="12.75">
      <c r="A7" s="167">
        <f t="shared" si="0"/>
        <v>6</v>
      </c>
      <c r="B7" s="167"/>
      <c r="C7" s="167" t="s">
        <v>74</v>
      </c>
      <c r="D7" s="150" t="s">
        <v>81</v>
      </c>
      <c r="E7" s="150" t="s">
        <v>82</v>
      </c>
      <c r="F7" s="169">
        <v>12</v>
      </c>
      <c r="G7" s="169">
        <f t="shared" si="1"/>
        <v>13.176000000000002</v>
      </c>
      <c r="H7" s="169">
        <v>13.2</v>
      </c>
      <c r="I7" s="170">
        <f t="shared" si="2"/>
        <v>0.09999999999999994</v>
      </c>
    </row>
    <row r="8" spans="1:9" ht="12.75">
      <c r="A8" s="167">
        <f t="shared" si="0"/>
        <v>7</v>
      </c>
      <c r="B8" s="167"/>
      <c r="C8" s="167" t="s">
        <v>74</v>
      </c>
      <c r="D8" s="150" t="s">
        <v>83</v>
      </c>
      <c r="E8" s="150" t="s">
        <v>84</v>
      </c>
      <c r="F8" s="169">
        <v>4.7</v>
      </c>
      <c r="G8" s="169">
        <f t="shared" si="1"/>
        <v>5.1606000000000005</v>
      </c>
      <c r="H8" s="169">
        <v>5.15</v>
      </c>
      <c r="I8" s="170">
        <f t="shared" si="2"/>
        <v>0.09574468085106387</v>
      </c>
    </row>
    <row r="9" spans="1:9" ht="12.75">
      <c r="A9" s="167">
        <f t="shared" si="0"/>
        <v>8</v>
      </c>
      <c r="B9" s="167"/>
      <c r="C9" s="167" t="s">
        <v>74</v>
      </c>
      <c r="D9" s="150" t="s">
        <v>85</v>
      </c>
      <c r="E9" s="150" t="s">
        <v>86</v>
      </c>
      <c r="F9" s="169">
        <v>8.15</v>
      </c>
      <c r="G9" s="169">
        <f t="shared" si="1"/>
        <v>8.9487</v>
      </c>
      <c r="H9" s="169">
        <v>8.9487</v>
      </c>
      <c r="I9" s="170">
        <f t="shared" si="2"/>
        <v>0.09800000000000002</v>
      </c>
    </row>
    <row r="10" spans="1:9" ht="12.75">
      <c r="A10" s="167">
        <f t="shared" si="0"/>
        <v>9</v>
      </c>
      <c r="B10" s="167"/>
      <c r="C10" s="167" t="s">
        <v>87</v>
      </c>
      <c r="D10" s="150" t="s">
        <v>88</v>
      </c>
      <c r="E10" s="150" t="s">
        <v>89</v>
      </c>
      <c r="F10" s="169">
        <v>6.95</v>
      </c>
      <c r="G10" s="169">
        <f>+F10*(1+100%)</f>
        <v>13.9</v>
      </c>
      <c r="H10" s="169">
        <v>13.9</v>
      </c>
      <c r="I10" s="170">
        <f t="shared" si="2"/>
        <v>1</v>
      </c>
    </row>
    <row r="11" spans="1:9" ht="12.75">
      <c r="A11" s="167">
        <f t="shared" si="0"/>
        <v>10</v>
      </c>
      <c r="B11" s="167"/>
      <c r="C11" s="167" t="s">
        <v>87</v>
      </c>
      <c r="D11" s="150" t="s">
        <v>90</v>
      </c>
      <c r="E11" s="150" t="s">
        <v>91</v>
      </c>
      <c r="F11" s="169">
        <v>9.1</v>
      </c>
      <c r="G11" s="169">
        <f aca="true" t="shared" si="3" ref="G11:G17">F11*(1+100%)</f>
        <v>18.2</v>
      </c>
      <c r="H11" s="169">
        <v>18.2</v>
      </c>
      <c r="I11" s="170">
        <f t="shared" si="2"/>
        <v>1</v>
      </c>
    </row>
    <row r="12" spans="1:9" ht="12.75">
      <c r="A12" s="167">
        <f t="shared" si="0"/>
        <v>11</v>
      </c>
      <c r="B12" s="167"/>
      <c r="C12" s="167" t="s">
        <v>87</v>
      </c>
      <c r="D12" s="150" t="s">
        <v>92</v>
      </c>
      <c r="E12" s="150" t="s">
        <v>93</v>
      </c>
      <c r="F12" s="169">
        <v>9.1</v>
      </c>
      <c r="G12" s="169">
        <f t="shared" si="3"/>
        <v>18.2</v>
      </c>
      <c r="H12" s="169">
        <v>18.2</v>
      </c>
      <c r="I12" s="170">
        <f t="shared" si="2"/>
        <v>1</v>
      </c>
    </row>
    <row r="13" spans="1:9" ht="12.75">
      <c r="A13" s="167">
        <f t="shared" si="0"/>
        <v>12</v>
      </c>
      <c r="B13" s="167"/>
      <c r="C13" s="167" t="s">
        <v>87</v>
      </c>
      <c r="D13" s="150" t="s">
        <v>94</v>
      </c>
      <c r="E13" s="150" t="s">
        <v>95</v>
      </c>
      <c r="F13" s="169">
        <v>14.25</v>
      </c>
      <c r="G13" s="169">
        <f t="shared" si="3"/>
        <v>28.5</v>
      </c>
      <c r="H13" s="169">
        <v>28.5</v>
      </c>
      <c r="I13" s="170">
        <f t="shared" si="2"/>
        <v>1</v>
      </c>
    </row>
    <row r="14" spans="1:9" ht="12.75">
      <c r="A14" s="167">
        <f t="shared" si="0"/>
        <v>13</v>
      </c>
      <c r="B14" s="167"/>
      <c r="C14" s="167" t="s">
        <v>87</v>
      </c>
      <c r="D14" s="150" t="s">
        <v>96</v>
      </c>
      <c r="E14" s="150" t="s">
        <v>97</v>
      </c>
      <c r="F14" s="169">
        <v>18.6</v>
      </c>
      <c r="G14" s="169">
        <f t="shared" si="3"/>
        <v>37.2</v>
      </c>
      <c r="H14" s="169">
        <v>37.2</v>
      </c>
      <c r="I14" s="170">
        <f t="shared" si="2"/>
        <v>1</v>
      </c>
    </row>
    <row r="15" spans="1:9" ht="12.75">
      <c r="A15" s="167">
        <f t="shared" si="0"/>
        <v>14</v>
      </c>
      <c r="B15" s="167"/>
      <c r="C15" s="167" t="s">
        <v>87</v>
      </c>
      <c r="D15" s="150" t="s">
        <v>98</v>
      </c>
      <c r="E15" s="150" t="s">
        <v>99</v>
      </c>
      <c r="F15" s="169">
        <v>24.85</v>
      </c>
      <c r="G15" s="169">
        <f t="shared" si="3"/>
        <v>49.7</v>
      </c>
      <c r="H15" s="169">
        <v>49.7</v>
      </c>
      <c r="I15" s="170">
        <f t="shared" si="2"/>
        <v>1</v>
      </c>
    </row>
    <row r="16" spans="1:9" ht="12.75">
      <c r="A16" s="167">
        <f t="shared" si="0"/>
        <v>15</v>
      </c>
      <c r="B16" s="167"/>
      <c r="C16" s="167" t="s">
        <v>87</v>
      </c>
      <c r="D16" s="150" t="s">
        <v>100</v>
      </c>
      <c r="E16" s="150" t="s">
        <v>101</v>
      </c>
      <c r="F16" s="169">
        <v>28.85</v>
      </c>
      <c r="G16" s="169">
        <f t="shared" si="3"/>
        <v>57.7</v>
      </c>
      <c r="H16" s="169">
        <v>57.7</v>
      </c>
      <c r="I16" s="170">
        <f t="shared" si="2"/>
        <v>1</v>
      </c>
    </row>
    <row r="17" spans="1:9" ht="12.75">
      <c r="A17" s="167">
        <f t="shared" si="0"/>
        <v>16</v>
      </c>
      <c r="B17" s="167"/>
      <c r="C17" s="167" t="s">
        <v>87</v>
      </c>
      <c r="D17" s="150" t="s">
        <v>102</v>
      </c>
      <c r="E17" s="150" t="s">
        <v>103</v>
      </c>
      <c r="F17" s="169">
        <v>41</v>
      </c>
      <c r="G17" s="169">
        <f t="shared" si="3"/>
        <v>82</v>
      </c>
      <c r="H17" s="169">
        <v>82</v>
      </c>
      <c r="I17" s="170">
        <f t="shared" si="2"/>
        <v>1</v>
      </c>
    </row>
    <row r="18" spans="1:9" ht="12.75">
      <c r="A18" s="167">
        <f t="shared" si="0"/>
        <v>17</v>
      </c>
      <c r="B18" s="167"/>
      <c r="C18" s="167" t="s">
        <v>104</v>
      </c>
      <c r="D18" s="150" t="s">
        <v>105</v>
      </c>
      <c r="E18" s="150" t="s">
        <v>106</v>
      </c>
      <c r="F18" s="169">
        <v>4.1</v>
      </c>
      <c r="G18" s="169">
        <f>F18*(1+50%)</f>
        <v>6.1499999999999995</v>
      </c>
      <c r="H18" s="169">
        <v>6.15</v>
      </c>
      <c r="I18" s="170">
        <f t="shared" si="2"/>
        <v>0.5000000000000002</v>
      </c>
    </row>
    <row r="19" spans="1:9" ht="12.75">
      <c r="A19" s="167">
        <f t="shared" si="0"/>
        <v>18</v>
      </c>
      <c r="B19" s="167"/>
      <c r="C19" s="167" t="s">
        <v>104</v>
      </c>
      <c r="D19" s="150" t="s">
        <v>107</v>
      </c>
      <c r="E19" s="150" t="s">
        <v>108</v>
      </c>
      <c r="F19" s="169">
        <v>10.9</v>
      </c>
      <c r="G19" s="169">
        <f>F19*(1+50%)</f>
        <v>16.35</v>
      </c>
      <c r="H19" s="169">
        <v>16.35</v>
      </c>
      <c r="I19" s="170">
        <f t="shared" si="2"/>
        <v>0.5000000000000001</v>
      </c>
    </row>
    <row r="20" spans="1:9" ht="12.75">
      <c r="A20" s="167">
        <f t="shared" si="0"/>
        <v>19</v>
      </c>
      <c r="B20" s="167"/>
      <c r="C20" s="167" t="s">
        <v>104</v>
      </c>
      <c r="D20" s="150" t="s">
        <v>109</v>
      </c>
      <c r="E20" s="150" t="s">
        <v>110</v>
      </c>
      <c r="F20" s="169">
        <v>14.75</v>
      </c>
      <c r="G20" s="169">
        <f>F20*(1+50%)</f>
        <v>22.125</v>
      </c>
      <c r="H20" s="169">
        <v>22.15</v>
      </c>
      <c r="I20" s="170">
        <f t="shared" si="2"/>
        <v>0.5016949152542372</v>
      </c>
    </row>
    <row r="21" spans="1:9" ht="12.75">
      <c r="A21" s="167">
        <f t="shared" si="0"/>
        <v>20</v>
      </c>
      <c r="B21" s="167"/>
      <c r="C21" s="167" t="s">
        <v>104</v>
      </c>
      <c r="D21" s="150" t="s">
        <v>111</v>
      </c>
      <c r="E21" s="150" t="s">
        <v>112</v>
      </c>
      <c r="F21" s="169">
        <v>6.2</v>
      </c>
      <c r="G21" s="169">
        <f>F21*(1+50%)</f>
        <v>9.3</v>
      </c>
      <c r="H21" s="169">
        <v>9.3</v>
      </c>
      <c r="I21" s="170">
        <f t="shared" si="2"/>
        <v>0.5000000000000001</v>
      </c>
    </row>
    <row r="22" spans="1:8" ht="12.75">
      <c r="A22" s="167">
        <f t="shared" si="0"/>
        <v>21</v>
      </c>
      <c r="B22" s="167"/>
      <c r="H22" s="171"/>
    </row>
    <row r="23" spans="1:8" ht="12.75">
      <c r="A23" s="167">
        <f t="shared" si="0"/>
        <v>22</v>
      </c>
      <c r="B23" s="167"/>
      <c r="F23" s="172"/>
      <c r="H23" s="173"/>
    </row>
    <row r="24" spans="1:9" ht="12.75">
      <c r="A24" s="167">
        <f t="shared" si="0"/>
        <v>23</v>
      </c>
      <c r="B24" s="167"/>
      <c r="F24" s="231" t="s">
        <v>115</v>
      </c>
      <c r="G24" s="232"/>
      <c r="H24" s="232"/>
      <c r="I24" s="216">
        <v>0.2551500214929731</v>
      </c>
    </row>
    <row r="25" spans="1:9" ht="12.75">
      <c r="A25" s="167"/>
      <c r="B25" s="167"/>
      <c r="F25" s="233" t="s">
        <v>116</v>
      </c>
      <c r="G25" s="234"/>
      <c r="H25" s="234"/>
      <c r="I25" s="217">
        <v>2076235</v>
      </c>
    </row>
    <row r="26" spans="1:2" ht="12.75">
      <c r="A26" s="167"/>
      <c r="B26" s="167"/>
    </row>
    <row r="27" ht="12.75">
      <c r="H27" s="171"/>
    </row>
    <row r="28" ht="12.75">
      <c r="H28" s="171"/>
    </row>
  </sheetData>
  <mergeCells count="2">
    <mergeCell ref="F24:H24"/>
    <mergeCell ref="F25:H25"/>
  </mergeCells>
  <printOptions/>
  <pageMargins left="0.51" right="0.67" top="2.48" bottom="0.85" header="1.5" footer="0.5"/>
  <pageSetup fitToHeight="1" fitToWidth="1" horizontalDpi="600" verticalDpi="600" orientation="landscape" r:id="rId1"/>
  <headerFooter alignWithMargins="0">
    <oddHeader>&amp;C&amp;"Arial,Bold"PUGET SOUND ENERGY - GAS 
REVISED NATURAL GAS RATE DESIGN&amp;"Arial,Regular"
TWELVE MONTHS ENDED SEPTEMBER 30, 2003&amp;RExhibit No. ___(JAH-25)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2004-11-03T08:42:47Z</cp:lastPrinted>
  <dcterms:created xsi:type="dcterms:W3CDTF">2004-03-21T19:15:57Z</dcterms:created>
  <dcterms:modified xsi:type="dcterms:W3CDTF">2004-11-05T01:02:32Z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Testimony</vt:lpwstr>
  </property>
  <property fmtid="{D5CDD505-2E9C-101B-9397-08002B2CF9AE}" pid="3" name="IsHighlyConfidential">
    <vt:lpwstr>0</vt:lpwstr>
  </property>
  <property fmtid="{D5CDD505-2E9C-101B-9397-08002B2CF9AE}" pid="4" name="DocketNumber">
    <vt:lpwstr>040640</vt:lpwstr>
  </property>
  <property fmtid="{D5CDD505-2E9C-101B-9397-08002B2CF9AE}" pid="5" name="IsConfidential">
    <vt:lpwstr>0</vt:lpwstr>
  </property>
  <property fmtid="{D5CDD505-2E9C-101B-9397-08002B2CF9AE}" pid="6" name="Date1">
    <vt:lpwstr>2004-11-03T00:00:00Z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2004-04-05T00:00:00Z</vt:lpwstr>
  </property>
  <property fmtid="{D5CDD505-2E9C-101B-9397-08002B2CF9AE}" pid="9" name="Prefix">
    <vt:lpwstr>UG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150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