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comments1.xml" ContentType="application/vnd.openxmlformats-officedocument.spreadsheetml.comment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Y\AppData\Local\Temp\Workshare\y2vp4ya3.x4u\7\"/>
    </mc:Choice>
  </mc:AlternateContent>
  <xr:revisionPtr revIDLastSave="0" documentId="13_ncr:1_{4BD15FDF-0EE8-485F-A2E8-4B8FBB6AC0C9}" xr6:coauthVersionLast="47" xr6:coauthVersionMax="47" xr10:uidLastSave="{00000000-0000-0000-0000-000000000000}"/>
  <bookViews>
    <workbookView xWindow="1710" yWindow="1710" windowWidth="21600" windowHeight="11100" tabRatio="913" firstSheet="5" activeTab="7" xr2:uid="{00000000-000D-0000-FFFF-FFFF00000000}"/>
  </bookViews>
  <sheets>
    <sheet name="Aug 22 AJE Correction" sheetId="302" r:id="rId1"/>
    <sheet name="RVSD JE UPLOAD" sheetId="300" r:id="rId2"/>
    <sheet name="TAX Interest Rates" sheetId="132" r:id="rId3"/>
    <sheet name="Therm Sales Master" sheetId="289" r:id="rId4"/>
    <sheet name="DEFERRALS" sheetId="4" r:id="rId5"/>
    <sheet name="47WA.2292" sheetId="230" r:id="rId6"/>
    <sheet name="AMORTIZATIONS" sheetId="26" r:id="rId7"/>
    <sheet name="2540.20481" sheetId="288" r:id="rId8"/>
    <sheet name="Protected EDIT Base" sheetId="285" r:id="rId9"/>
    <sheet name="2540.20482" sheetId="290" r:id="rId10"/>
    <sheet name="Protected EDIT Gross up" sheetId="291" r:id="rId11"/>
    <sheet name="2540.20483" sheetId="293" r:id="rId12"/>
    <sheet name="Unprotected EDIT Base" sheetId="296" r:id="rId13"/>
    <sheet name="2540.20484" sheetId="294" r:id="rId14"/>
    <sheet name="Unprotected EDIT Gross up" sheetId="297" r:id="rId15"/>
    <sheet name="====&gt; Unused Tabs" sheetId="301" r:id="rId16"/>
    <sheet name="2540.20485" sheetId="295" r:id="rId17"/>
    <sheet name="Temp Rate Credit Base" sheetId="298" r:id="rId18"/>
    <sheet name="2540.20486" sheetId="292" r:id="rId19"/>
    <sheet name="Temp Rate Credit Gross up" sheetId="299" r:id="rId20"/>
    <sheet name="Aug 18 True-up JE UPLOAD" sheetId="260" r:id="rId21"/>
  </sheets>
  <definedNames>
    <definedName name="_Regression_Int" localSheetId="2" hidden="1">1</definedName>
    <definedName name="_xlnm.Print_Area" localSheetId="7">'2540.20481'!$A$1:$M$62</definedName>
    <definedName name="_xlnm.Print_Area" localSheetId="9">'2540.20482'!$A$1:$M$62</definedName>
    <definedName name="_xlnm.Print_Area" localSheetId="11">'2540.20483'!$A$1:$M$62</definedName>
    <definedName name="_xlnm.Print_Area" localSheetId="13">'2540.20484'!$A$1:$M$62</definedName>
    <definedName name="_xlnm.Print_Area" localSheetId="16">'2540.20485'!$A$1:$H$29</definedName>
    <definedName name="_xlnm.Print_Area" localSheetId="18">'2540.20486'!$A$1:$H$29</definedName>
    <definedName name="_xlnm.Print_Area" localSheetId="5">'47WA.2292'!$A$1:$H$49</definedName>
    <definedName name="_xlnm.Print_Area" localSheetId="8">'Protected EDIT Base'!$A$1:$S$168</definedName>
    <definedName name="_xlnm.Print_Area" localSheetId="10">'Protected EDIT Gross up'!$A$1:$S$168</definedName>
    <definedName name="_xlnm.Print_Area" localSheetId="2">'TAX Interest Rates'!$A$1:$D$69</definedName>
    <definedName name="_xlnm.Print_Area" localSheetId="17">'Temp Rate Credit Base'!$A$1:$S$88</definedName>
    <definedName name="_xlnm.Print_Area" localSheetId="19">'Temp Rate Credit Gross up'!$A$1:$S$88</definedName>
    <definedName name="_xlnm.Print_Area" localSheetId="3">'Therm Sales Master'!$A$1:$V$177</definedName>
    <definedName name="_xlnm.Print_Area" localSheetId="12">'Unprotected EDIT Base'!$A$1:$S$168</definedName>
    <definedName name="_xlnm.Print_Area" localSheetId="14">'Unprotected EDIT Gross up'!$A$1:$S$168</definedName>
    <definedName name="TAXINT18">'TAX Interest Rates'!$A$10:$C$21</definedName>
    <definedName name="TAXINT19">'TAX Interest Rates'!$A$22:$C$33</definedName>
    <definedName name="TAXINT20">'TAX Interest Rates'!$A$34:$C$45</definedName>
    <definedName name="TAXINT21">'TAX Interest Rates'!$A$46:$C$57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D.DeCoria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To define a name:
Formulas ribbon
Highlight area
Define Name
Type in TAX
INTYY
OK
SHOW FORMULAS ON FORMULA RIBBON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D.DeCoria</author>
  </authors>
  <commentList>
    <comment ref="A11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If expense, debit to 47WA.4310.3111. If revenue, credit to 47WA.4190.1333</t>
        </r>
      </text>
    </comment>
  </commentList>
</comments>
</file>

<file path=xl/sharedStrings.xml><?xml version="1.0" encoding="utf-8"?>
<sst xmlns="http://schemas.openxmlformats.org/spreadsheetml/2006/main" count="1146" uniqueCount="141">
  <si>
    <t>WA TAX AMORTIZATIONS:</t>
  </si>
  <si>
    <t>Unit Grid for Import:</t>
  </si>
  <si>
    <t>Corrected AJE</t>
  </si>
  <si>
    <t>Account Number</t>
  </si>
  <si>
    <t>Amount</t>
  </si>
  <si>
    <t>Remark</t>
  </si>
  <si>
    <t>47WA.2540.20481</t>
  </si>
  <si>
    <t>08-22  Amortization of Tax Deferral</t>
  </si>
  <si>
    <t>47WA.2540.20482</t>
  </si>
  <si>
    <t>47WA.2540.20483</t>
  </si>
  <si>
    <t>47WA.2540.20484</t>
  </si>
  <si>
    <t>47WA.4962</t>
  </si>
  <si>
    <t>Core</t>
  </si>
  <si>
    <t>47WA.4962.1</t>
  </si>
  <si>
    <t>Non-Core</t>
  </si>
  <si>
    <t>Original AJE</t>
  </si>
  <si>
    <t>True-up AJE</t>
  </si>
  <si>
    <t>08-22  Tax Amort True-up</t>
  </si>
  <si>
    <t>CASCADE NATURAL GAS CORPORATION</t>
  </si>
  <si>
    <t>STATE OF WASHINGTON</t>
  </si>
  <si>
    <t>TAX Interest Rates</t>
  </si>
  <si>
    <t>Rate of 0% per OPUC Docket UG-170929 Order 06</t>
  </si>
  <si>
    <t>Rates can be found at:</t>
  </si>
  <si>
    <t>http://www.ferc.gov/enforcement/acct-matts/interest-rates.asp</t>
  </si>
  <si>
    <t>Month/ Year</t>
  </si>
  <si>
    <t>Interest Rate</t>
  </si>
  <si>
    <t xml:space="preserve"> # of Days in Month</t>
  </si>
  <si>
    <t>TAXINT18</t>
  </si>
  <si>
    <t>TAXINT19</t>
  </si>
  <si>
    <t>TAXINT20</t>
  </si>
  <si>
    <t>Leap Year</t>
  </si>
  <si>
    <t>TAXINT21</t>
  </si>
  <si>
    <t>TAXINT22</t>
  </si>
  <si>
    <t>Cascade Natural Gas</t>
  </si>
  <si>
    <t>WA Tax Amorization-Therm Sales Master</t>
  </si>
  <si>
    <t>CA1501</t>
  </si>
  <si>
    <t>Total - Less</t>
  </si>
  <si>
    <t>Res Unbilled</t>
  </si>
  <si>
    <t>05LV</t>
  </si>
  <si>
    <t>04LV</t>
  </si>
  <si>
    <t>Com Unbilled</t>
  </si>
  <si>
    <t>511/11LV</t>
  </si>
  <si>
    <t>6631/6632</t>
  </si>
  <si>
    <t>9XX/4840</t>
  </si>
  <si>
    <t>Unbilled</t>
  </si>
  <si>
    <t>Old Rate</t>
  </si>
  <si>
    <t>New Rate</t>
  </si>
  <si>
    <t>A</t>
  </si>
  <si>
    <t>WA-D</t>
  </si>
  <si>
    <t>CA1501A</t>
  </si>
  <si>
    <t>9XX</t>
  </si>
  <si>
    <t>Total</t>
  </si>
  <si>
    <t>New Rates</t>
  </si>
  <si>
    <t>CC</t>
  </si>
  <si>
    <t>BB</t>
  </si>
  <si>
    <t>B</t>
  </si>
  <si>
    <t>Net Therms</t>
  </si>
  <si>
    <t xml:space="preserve">Therms for </t>
  </si>
  <si>
    <t>Amortization</t>
  </si>
  <si>
    <t>Aug CA1501-Jul vs Aug Terms</t>
  </si>
  <si>
    <t>July</t>
  </si>
  <si>
    <t>Aug</t>
  </si>
  <si>
    <t>Therms</t>
  </si>
  <si>
    <t>Therms input to wrong Sales Class - to be corrected in September</t>
  </si>
  <si>
    <t>Therms input to wrong Sales Class - to be corrected in December</t>
  </si>
  <si>
    <t>State:</t>
  </si>
  <si>
    <t>Washington</t>
  </si>
  <si>
    <t>Description:</t>
  </si>
  <si>
    <t>Tax Reform</t>
  </si>
  <si>
    <t>Account number:</t>
  </si>
  <si>
    <t>47WA.2292</t>
  </si>
  <si>
    <t>Class of customers:</t>
  </si>
  <si>
    <t>Deferral period:</t>
  </si>
  <si>
    <t>1/1/18 to 7/31/18</t>
  </si>
  <si>
    <t>Amortization period:</t>
  </si>
  <si>
    <t>N/A</t>
  </si>
  <si>
    <t>Narrative:</t>
  </si>
  <si>
    <t>This records the deferral of the Protected EDIT, Unprotected EDIT and Temporary FIT Rate Credit.</t>
  </si>
  <si>
    <t>Debit (Credit)</t>
  </si>
  <si>
    <t>Rate</t>
  </si>
  <si>
    <t>Deferral</t>
  </si>
  <si>
    <t>Interest</t>
  </si>
  <si>
    <t>Adjustments</t>
  </si>
  <si>
    <t>Deferred Balance</t>
  </si>
  <si>
    <t>General Ledger Balance</t>
  </si>
  <si>
    <t>Difference to G/L Balance</t>
  </si>
  <si>
    <t>Reconciled By</t>
  </si>
  <si>
    <t>Date Reconciled</t>
  </si>
  <si>
    <t>Balance forward 10/31/2013</t>
  </si>
  <si>
    <t>C. Ryan</t>
  </si>
  <si>
    <t>Balance transferred to DG01282</t>
  </si>
  <si>
    <t>Balance Balance</t>
  </si>
  <si>
    <t>Transfer to 47WA.2540.20481</t>
  </si>
  <si>
    <t>Transfer to 47WA.2540.20482</t>
  </si>
  <si>
    <t>Transfer to 47WA.2540.20483</t>
  </si>
  <si>
    <t>Transfer to 47WA.2540.20484</t>
  </si>
  <si>
    <t>Transfer to 47WA.2540.20485</t>
  </si>
  <si>
    <t>Transfer to 47WA.2540.20486</t>
  </si>
  <si>
    <t>T Durado</t>
  </si>
  <si>
    <t>Protected Excess Deferred Income Taxes-Base</t>
  </si>
  <si>
    <t>8/1/18 to Life of Assets</t>
  </si>
  <si>
    <t>Amortization of previously deferred Proteccted Excess Deferred Income Taxes</t>
  </si>
  <si>
    <t>Balance transferred from 47WA.2292</t>
  </si>
  <si>
    <t>Various</t>
  </si>
  <si>
    <t>Prorated</t>
  </si>
  <si>
    <t>PGA</t>
  </si>
  <si>
    <t>Protected Excess Deferred Income Taxes-Gross up</t>
  </si>
  <si>
    <t>Aug '22-Process change to include Unbilled therms.
Sep '22-Adjust Formula to add Sep Unbilled and Reversal of Aug Unbilled Therms.</t>
  </si>
  <si>
    <t>True-up of GU caused by 8/1/20 WA Rate Case</t>
  </si>
  <si>
    <t>Unprotected Excess Deferred Income Taxes-Base</t>
  </si>
  <si>
    <t>July '22-Process change to include Unbilled therms.
Aug '22-Adjust Formula to add Aug Unbilled and Reversal of Jul Unbilled Therms.</t>
  </si>
  <si>
    <t>8/1/18 to 7/31/28</t>
  </si>
  <si>
    <t>Amortization of previously deferred Unproteccted Excess Deferred Income Taxes</t>
  </si>
  <si>
    <t>Unprotected Excess Deferred Income Taxes-Gross up</t>
  </si>
  <si>
    <t>Amortization of previously deferred Unproteccted Excess Deferred Income Taxes-Gross up</t>
  </si>
  <si>
    <t>Temporary FIT Rate Credit-Base</t>
  </si>
  <si>
    <t>47WA.2540.20485</t>
  </si>
  <si>
    <t>8/1/18 to 10/31/19</t>
  </si>
  <si>
    <t>Amortization of previously deferred Temporary FIT Rate Credit-Base</t>
  </si>
  <si>
    <t>Temporary FIT Rate Credit Gross up</t>
  </si>
  <si>
    <t>47WA.2540.20486</t>
  </si>
  <si>
    <t>Amortization of previously deferred Temporary FIT Rate Credit Gross up</t>
  </si>
  <si>
    <t xml:space="preserve"> </t>
  </si>
  <si>
    <t>Unit Grid for Import: I3:P36</t>
  </si>
  <si>
    <t xml:space="preserve">Original </t>
  </si>
  <si>
    <t>Corrected</t>
  </si>
  <si>
    <t>True-up</t>
  </si>
  <si>
    <t>47WA.4002.4800</t>
  </si>
  <si>
    <t>47WA.4002.4810</t>
  </si>
  <si>
    <t>47WA.4002.4809</t>
  </si>
  <si>
    <t>47WA.4002.4811</t>
  </si>
  <si>
    <t>47WA.4002.4813</t>
  </si>
  <si>
    <t>47WA.4890.4861</t>
  </si>
  <si>
    <t>47WA.4890.4863</t>
  </si>
  <si>
    <t>CA 1501</t>
  </si>
  <si>
    <t xml:space="preserve">  Protected EDIT</t>
  </si>
  <si>
    <t xml:space="preserve">  Unprotected EDIT</t>
  </si>
  <si>
    <t xml:space="preserve">  Temp FIT Credits</t>
  </si>
  <si>
    <t>CA 1501A</t>
  </si>
  <si>
    <t>Corrected Amount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</si>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</sst>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_);\(#,##0.0000\)"/>
    <numFmt numFmtId="165" formatCode="#,##0.00000_);\(#,##0.00000\)"/>
    <numFmt numFmtId="166" formatCode="#,##0.0_);\(#,##0.0\)"/>
    <numFmt numFmtId="167" formatCode="_(* #,##0_);_(* \(#,##0\);_(* &quot;-&quot;??_);_(@_)"/>
    <numFmt numFmtId="168" formatCode="mm/dd/yy;@"/>
    <numFmt numFmtId="169" formatCode="[$-409]mmm\-yy;@"/>
    <numFmt numFmtId="170" formatCode="m/d/yy;@"/>
    <numFmt numFmtId="171" formatCode="0_);\(0\)"/>
    <numFmt numFmtId="172" formatCode="#,##0.000000_);\(#,##0.000000\)"/>
  </numFmts>
  <fonts count="35" x14ac:knownFonts="1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2"/>
      <name val="Helv"/>
    </font>
    <font>
      <u/>
      <sz val="9.6"/>
      <color indexed="12"/>
      <name val="Helv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6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6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0070C0"/>
      <name val="Arial"/>
      <family val="2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39" fontId="0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39" fontId="7" fillId="0" borderId="0"/>
    <xf numFmtId="0" fontId="5" fillId="0" borderId="0"/>
    <xf numFmtId="10" fontId="9" fillId="0" borderId="0"/>
    <xf numFmtId="166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21">
    <xf numFmtId="39" fontId="0" fillId="0" borderId="0" xfId="0"/>
    <xf numFmtId="164" fontId="0" fillId="0" borderId="0" xfId="0" quotePrefix="1" applyNumberFormat="1"/>
    <xf numFmtId="39" fontId="11" fillId="0" borderId="0" xfId="0" applyFont="1"/>
    <xf numFmtId="0" fontId="5" fillId="0" borderId="0" xfId="11"/>
    <xf numFmtId="17" fontId="12" fillId="2" borderId="0" xfId="11" applyNumberFormat="1" applyFont="1" applyFill="1"/>
    <xf numFmtId="166" fontId="12" fillId="0" borderId="1" xfId="13" applyFont="1" applyBorder="1" applyAlignment="1">
      <alignment horizontal="center" wrapText="1"/>
    </xf>
    <xf numFmtId="44" fontId="12" fillId="0" borderId="1" xfId="6" applyFont="1" applyBorder="1" applyAlignment="1">
      <alignment horizontal="center" wrapText="1"/>
    </xf>
    <xf numFmtId="39" fontId="11" fillId="0" borderId="0" xfId="0" applyFont="1" applyAlignment="1">
      <alignment horizontal="left"/>
    </xf>
    <xf numFmtId="39" fontId="12" fillId="0" borderId="1" xfId="0" applyFont="1" applyBorder="1" applyAlignment="1">
      <alignment horizontal="center" wrapText="1"/>
    </xf>
    <xf numFmtId="39" fontId="14" fillId="0" borderId="0" xfId="0" applyFont="1" applyProtection="1">
      <protection locked="0"/>
    </xf>
    <xf numFmtId="39" fontId="15" fillId="0" borderId="0" xfId="0" applyFont="1"/>
    <xf numFmtId="39" fontId="11" fillId="0" borderId="0" xfId="0" applyFont="1" applyAlignment="1">
      <alignment horizontal="right"/>
    </xf>
    <xf numFmtId="10" fontId="11" fillId="0" borderId="0" xfId="14" applyNumberFormat="1" applyFont="1" applyAlignment="1">
      <alignment horizontal="center"/>
    </xf>
    <xf numFmtId="10" fontId="11" fillId="0" borderId="1" xfId="14" applyNumberFormat="1" applyFont="1" applyBorder="1" applyAlignment="1">
      <alignment horizontal="center"/>
    </xf>
    <xf numFmtId="39" fontId="16" fillId="0" borderId="0" xfId="0" applyFont="1" applyAlignment="1">
      <alignment horizontal="left"/>
    </xf>
    <xf numFmtId="39" fontId="17" fillId="0" borderId="0" xfId="7" applyNumberFormat="1" applyFont="1" applyAlignment="1" applyProtection="1">
      <alignment horizontal="left"/>
    </xf>
    <xf numFmtId="37" fontId="11" fillId="0" borderId="1" xfId="0" applyNumberFormat="1" applyFont="1" applyBorder="1" applyAlignment="1">
      <alignment horizontal="center"/>
    </xf>
    <xf numFmtId="37" fontId="11" fillId="0" borderId="0" xfId="0" applyNumberFormat="1" applyFont="1" applyAlignment="1">
      <alignment horizontal="center"/>
    </xf>
    <xf numFmtId="37" fontId="11" fillId="0" borderId="3" xfId="0" applyNumberFormat="1" applyFont="1" applyBorder="1" applyAlignment="1">
      <alignment horizontal="center"/>
    </xf>
    <xf numFmtId="39" fontId="12" fillId="0" borderId="1" xfId="0" applyFont="1" applyBorder="1" applyAlignment="1">
      <alignment horizontal="center"/>
    </xf>
    <xf numFmtId="0" fontId="11" fillId="0" borderId="0" xfId="11" applyFont="1"/>
    <xf numFmtId="43" fontId="18" fillId="0" borderId="0" xfId="1" applyFont="1"/>
    <xf numFmtId="43" fontId="5" fillId="0" borderId="0" xfId="11" applyNumberFormat="1"/>
    <xf numFmtId="17" fontId="11" fillId="0" borderId="0" xfId="0" applyNumberFormat="1" applyFont="1" applyAlignment="1">
      <alignment horizontal="right"/>
    </xf>
    <xf numFmtId="43" fontId="11" fillId="0" borderId="0" xfId="1" applyFont="1"/>
    <xf numFmtId="39" fontId="11" fillId="0" borderId="0" xfId="0" applyFont="1" applyAlignment="1">
      <alignment horizontal="center"/>
    </xf>
    <xf numFmtId="168" fontId="11" fillId="0" borderId="0" xfId="0" applyNumberFormat="1" applyFont="1" applyAlignment="1">
      <alignment horizontal="center"/>
    </xf>
    <xf numFmtId="0" fontId="11" fillId="0" borderId="0" xfId="9" applyFont="1"/>
    <xf numFmtId="17" fontId="11" fillId="0" borderId="0" xfId="9" applyNumberFormat="1" applyFont="1"/>
    <xf numFmtId="39" fontId="11" fillId="0" borderId="0" xfId="9" applyNumberFormat="1" applyFont="1"/>
    <xf numFmtId="0" fontId="13" fillId="0" borderId="0" xfId="9" applyFont="1"/>
    <xf numFmtId="39" fontId="11" fillId="0" borderId="0" xfId="9" applyNumberFormat="1" applyFont="1" applyAlignment="1">
      <alignment horizontal="fill"/>
    </xf>
    <xf numFmtId="39" fontId="13" fillId="0" borderId="0" xfId="9" applyNumberFormat="1" applyFont="1"/>
    <xf numFmtId="39" fontId="8" fillId="0" borderId="0" xfId="7" applyNumberFormat="1" applyAlignment="1" applyProtection="1">
      <alignment horizontal="left"/>
    </xf>
    <xf numFmtId="39" fontId="11" fillId="0" borderId="0" xfId="0" applyFont="1" applyAlignment="1">
      <alignment horizontal="left" vertical="top"/>
    </xf>
    <xf numFmtId="39" fontId="11" fillId="0" borderId="0" xfId="0" applyFont="1" applyAlignment="1">
      <alignment horizontal="left" wrapText="1"/>
    </xf>
    <xf numFmtId="39" fontId="11" fillId="0" borderId="0" xfId="0" applyFont="1" applyAlignment="1" applyProtection="1">
      <alignment horizontal="left"/>
      <protection locked="0"/>
    </xf>
    <xf numFmtId="43" fontId="13" fillId="0" borderId="0" xfId="1" applyFont="1"/>
    <xf numFmtId="170" fontId="11" fillId="0" borderId="0" xfId="0" applyNumberFormat="1" applyFont="1"/>
    <xf numFmtId="39" fontId="12" fillId="0" borderId="0" xfId="12" applyNumberFormat="1" applyFont="1"/>
    <xf numFmtId="39" fontId="22" fillId="0" borderId="0" xfId="0" applyFont="1"/>
    <xf numFmtId="169" fontId="22" fillId="0" borderId="0" xfId="0" applyNumberFormat="1" applyFont="1"/>
    <xf numFmtId="37" fontId="22" fillId="0" borderId="14" xfId="0" applyNumberFormat="1" applyFont="1" applyBorder="1" applyAlignment="1">
      <alignment horizontal="center"/>
    </xf>
    <xf numFmtId="167" fontId="22" fillId="0" borderId="0" xfId="1" applyNumberFormat="1" applyFont="1"/>
    <xf numFmtId="43" fontId="22" fillId="0" borderId="0" xfId="1" applyFont="1" applyAlignment="1">
      <alignment horizontal="center"/>
    </xf>
    <xf numFmtId="39" fontId="22" fillId="0" borderId="14" xfId="0" applyFont="1" applyBorder="1" applyAlignment="1">
      <alignment horizontal="center"/>
    </xf>
    <xf numFmtId="37" fontId="11" fillId="0" borderId="0" xfId="9" applyNumberFormat="1" applyFont="1"/>
    <xf numFmtId="39" fontId="11" fillId="0" borderId="0" xfId="9" applyNumberFormat="1" applyFont="1" applyAlignment="1">
      <alignment horizontal="center"/>
    </xf>
    <xf numFmtId="37" fontId="22" fillId="0" borderId="0" xfId="0" applyNumberFormat="1" applyFont="1"/>
    <xf numFmtId="165" fontId="22" fillId="0" borderId="0" xfId="0" applyNumberFormat="1" applyFont="1"/>
    <xf numFmtId="39" fontId="22" fillId="0" borderId="0" xfId="0" applyFont="1" applyAlignment="1">
      <alignment horizontal="center"/>
    </xf>
    <xf numFmtId="171" fontId="22" fillId="0" borderId="14" xfId="0" applyNumberFormat="1" applyFont="1" applyBorder="1" applyAlignment="1">
      <alignment horizontal="center"/>
    </xf>
    <xf numFmtId="172" fontId="22" fillId="0" borderId="0" xfId="0" applyNumberFormat="1" applyFont="1"/>
    <xf numFmtId="39" fontId="22" fillId="0" borderId="3" xfId="0" applyFont="1" applyBorder="1" applyAlignment="1">
      <alignment horizontal="center"/>
    </xf>
    <xf numFmtId="39" fontId="22" fillId="0" borderId="1" xfId="0" applyFont="1" applyBorder="1" applyAlignment="1">
      <alignment horizontal="center"/>
    </xf>
    <xf numFmtId="39" fontId="22" fillId="0" borderId="1" xfId="0" applyFont="1" applyBorder="1"/>
    <xf numFmtId="0" fontId="22" fillId="0" borderId="1" xfId="0" applyNumberFormat="1" applyFont="1" applyBorder="1" applyAlignment="1">
      <alignment horizontal="center"/>
    </xf>
    <xf numFmtId="37" fontId="22" fillId="0" borderId="26" xfId="0" applyNumberFormat="1" applyFont="1" applyBorder="1" applyAlignment="1">
      <alignment horizontal="center"/>
    </xf>
    <xf numFmtId="167" fontId="22" fillId="0" borderId="9" xfId="1" applyNumberFormat="1" applyFont="1" applyBorder="1"/>
    <xf numFmtId="37" fontId="22" fillId="0" borderId="27" xfId="0" applyNumberFormat="1" applyFont="1" applyBorder="1" applyAlignment="1">
      <alignment horizontal="center"/>
    </xf>
    <xf numFmtId="167" fontId="22" fillId="0" borderId="12" xfId="1" applyNumberFormat="1" applyFont="1" applyBorder="1"/>
    <xf numFmtId="171" fontId="22" fillId="0" borderId="27" xfId="0" applyNumberFormat="1" applyFont="1" applyBorder="1" applyAlignment="1">
      <alignment horizontal="center"/>
    </xf>
    <xf numFmtId="171" fontId="22" fillId="0" borderId="26" xfId="0" applyNumberFormat="1" applyFont="1" applyBorder="1" applyAlignment="1">
      <alignment horizontal="center"/>
    </xf>
    <xf numFmtId="0" fontId="22" fillId="0" borderId="12" xfId="0" applyNumberFormat="1" applyFont="1" applyBorder="1" applyAlignment="1">
      <alignment horizontal="center"/>
    </xf>
    <xf numFmtId="0" fontId="22" fillId="0" borderId="13" xfId="0" applyNumberFormat="1" applyFont="1" applyBorder="1" applyAlignment="1">
      <alignment horizontal="center"/>
    </xf>
    <xf numFmtId="0" fontId="22" fillId="3" borderId="3" xfId="11" applyFont="1" applyFill="1" applyBorder="1"/>
    <xf numFmtId="43" fontId="26" fillId="3" borderId="1" xfId="1" applyFont="1" applyFill="1" applyBorder="1" applyAlignment="1">
      <alignment vertical="top"/>
    </xf>
    <xf numFmtId="0" fontId="22" fillId="3" borderId="1" xfId="11" applyFont="1" applyFill="1" applyBorder="1" applyAlignment="1">
      <alignment vertical="top"/>
    </xf>
    <xf numFmtId="0" fontId="22" fillId="3" borderId="0" xfId="11" applyFont="1" applyFill="1" applyAlignment="1">
      <alignment vertical="top"/>
    </xf>
    <xf numFmtId="43" fontId="26" fillId="3" borderId="0" xfId="1" applyFont="1" applyFill="1"/>
    <xf numFmtId="0" fontId="22" fillId="3" borderId="0" xfId="11" applyFont="1" applyFill="1"/>
    <xf numFmtId="43" fontId="26" fillId="3" borderId="3" xfId="1" applyFont="1" applyFill="1" applyBorder="1"/>
    <xf numFmtId="39" fontId="22" fillId="0" borderId="2" xfId="0" applyFont="1" applyBorder="1"/>
    <xf numFmtId="43" fontId="25" fillId="0" borderId="0" xfId="1" applyFont="1"/>
    <xf numFmtId="0" fontId="22" fillId="0" borderId="0" xfId="11" applyFont="1"/>
    <xf numFmtId="0" fontId="24" fillId="0" borderId="0" xfId="11" applyFont="1"/>
    <xf numFmtId="169" fontId="11" fillId="0" borderId="8" xfId="11" applyNumberFormat="1" applyFont="1" applyBorder="1" applyAlignment="1">
      <alignment horizontal="center" vertical="top"/>
    </xf>
    <xf numFmtId="169" fontId="11" fillId="0" borderId="10" xfId="11" applyNumberFormat="1" applyFont="1" applyBorder="1" applyAlignment="1">
      <alignment horizontal="center" vertical="top"/>
    </xf>
    <xf numFmtId="0" fontId="20" fillId="0" borderId="0" xfId="11" applyFont="1" applyAlignment="1">
      <alignment horizontal="left"/>
    </xf>
    <xf numFmtId="167" fontId="22" fillId="4" borderId="0" xfId="1" applyNumberFormat="1" applyFont="1" applyFill="1"/>
    <xf numFmtId="37" fontId="22" fillId="0" borderId="0" xfId="0" applyNumberFormat="1" applyFont="1" applyAlignment="1">
      <alignment horizontal="center"/>
    </xf>
    <xf numFmtId="0" fontId="20" fillId="0" borderId="0" xfId="11" applyFont="1" applyAlignment="1">
      <alignment horizontal="center"/>
    </xf>
    <xf numFmtId="0" fontId="19" fillId="0" borderId="0" xfId="11" applyFont="1" applyAlignment="1">
      <alignment horizontal="left" vertical="center"/>
    </xf>
    <xf numFmtId="39" fontId="11" fillId="0" borderId="2" xfId="0" applyFont="1" applyBorder="1"/>
    <xf numFmtId="39" fontId="22" fillId="5" borderId="0" xfId="0" applyFont="1" applyFill="1"/>
    <xf numFmtId="171" fontId="22" fillId="0" borderId="0" xfId="0" applyNumberFormat="1" applyFont="1" applyAlignment="1">
      <alignment horizontal="center"/>
    </xf>
    <xf numFmtId="172" fontId="22" fillId="5" borderId="0" xfId="0" applyNumberFormat="1" applyFont="1" applyFill="1"/>
    <xf numFmtId="37" fontId="22" fillId="0" borderId="29" xfId="0" applyNumberFormat="1" applyFont="1" applyBorder="1" applyAlignment="1">
      <alignment horizontal="center"/>
    </xf>
    <xf numFmtId="167" fontId="22" fillId="0" borderId="8" xfId="1" applyNumberFormat="1" applyFont="1" applyBorder="1"/>
    <xf numFmtId="167" fontId="22" fillId="5" borderId="8" xfId="1" applyNumberFormat="1" applyFont="1" applyFill="1" applyBorder="1"/>
    <xf numFmtId="0" fontId="22" fillId="0" borderId="8" xfId="0" applyNumberFormat="1" applyFont="1" applyBorder="1" applyAlignment="1">
      <alignment horizontal="center"/>
    </xf>
    <xf numFmtId="167" fontId="22" fillId="4" borderId="8" xfId="1" applyNumberFormat="1" applyFont="1" applyFill="1" applyBorder="1"/>
    <xf numFmtId="171" fontId="22" fillId="0" borderId="29" xfId="0" applyNumberFormat="1" applyFont="1" applyBorder="1" applyAlignment="1">
      <alignment horizontal="center"/>
    </xf>
    <xf numFmtId="39" fontId="22" fillId="0" borderId="8" xfId="0" applyFont="1" applyBorder="1"/>
    <xf numFmtId="39" fontId="22" fillId="0" borderId="29" xfId="0" applyFont="1" applyBorder="1" applyAlignment="1">
      <alignment horizontal="center"/>
    </xf>
    <xf numFmtId="39" fontId="22" fillId="6" borderId="0" xfId="0" applyFont="1" applyFill="1"/>
    <xf numFmtId="167" fontId="22" fillId="6" borderId="8" xfId="1" applyNumberFormat="1" applyFont="1" applyFill="1" applyBorder="1"/>
    <xf numFmtId="43" fontId="22" fillId="0" borderId="0" xfId="1" applyFont="1"/>
    <xf numFmtId="43" fontId="22" fillId="0" borderId="8" xfId="1" applyFont="1" applyBorder="1"/>
    <xf numFmtId="39" fontId="12" fillId="0" borderId="0" xfId="0" applyFont="1" applyAlignment="1">
      <alignment horizontal="center" wrapText="1"/>
    </xf>
    <xf numFmtId="167" fontId="22" fillId="0" borderId="0" xfId="1" applyNumberFormat="1" applyFont="1" applyBorder="1"/>
    <xf numFmtId="169" fontId="11" fillId="0" borderId="6" xfId="11" applyNumberFormat="1" applyFont="1" applyBorder="1" applyAlignment="1">
      <alignment horizontal="center" vertical="top"/>
    </xf>
    <xf numFmtId="10" fontId="11" fillId="0" borderId="3" xfId="14" applyNumberFormat="1" applyFont="1" applyBorder="1" applyAlignment="1">
      <alignment horizontal="center"/>
    </xf>
    <xf numFmtId="37" fontId="11" fillId="0" borderId="7" xfId="0" applyNumberFormat="1" applyFont="1" applyBorder="1" applyAlignment="1">
      <alignment horizontal="center"/>
    </xf>
    <xf numFmtId="10" fontId="11" fillId="0" borderId="0" xfId="14" applyNumberFormat="1" applyFont="1" applyBorder="1" applyAlignment="1">
      <alignment horizontal="center"/>
    </xf>
    <xf numFmtId="37" fontId="11" fillId="0" borderId="9" xfId="0" applyNumberFormat="1" applyFont="1" applyBorder="1" applyAlignment="1">
      <alignment horizontal="center"/>
    </xf>
    <xf numFmtId="37" fontId="11" fillId="0" borderId="28" xfId="0" applyNumberFormat="1" applyFont="1" applyBorder="1" applyAlignment="1">
      <alignment horizontal="center"/>
    </xf>
    <xf numFmtId="37" fontId="11" fillId="4" borderId="9" xfId="0" applyNumberFormat="1" applyFont="1" applyFill="1" applyBorder="1" applyAlignment="1">
      <alignment horizontal="center"/>
    </xf>
    <xf numFmtId="17" fontId="19" fillId="2" borderId="0" xfId="11" applyNumberFormat="1" applyFont="1" applyFill="1"/>
    <xf numFmtId="0" fontId="28" fillId="0" borderId="0" xfId="11" applyFont="1"/>
    <xf numFmtId="39" fontId="29" fillId="0" borderId="0" xfId="0" applyFont="1"/>
    <xf numFmtId="166" fontId="19" fillId="0" borderId="1" xfId="13" applyFont="1" applyBorder="1" applyAlignment="1">
      <alignment horizontal="center" wrapText="1"/>
    </xf>
    <xf numFmtId="44" fontId="19" fillId="0" borderId="1" xfId="6" applyFont="1" applyBorder="1" applyAlignment="1">
      <alignment horizontal="center" wrapText="1"/>
    </xf>
    <xf numFmtId="0" fontId="29" fillId="0" borderId="0" xfId="11" applyFont="1"/>
    <xf numFmtId="43" fontId="31" fillId="0" borderId="0" xfId="1" applyFont="1"/>
    <xf numFmtId="0" fontId="29" fillId="3" borderId="3" xfId="11" applyFont="1" applyFill="1" applyBorder="1"/>
    <xf numFmtId="0" fontId="29" fillId="3" borderId="0" xfId="11" applyFont="1" applyFill="1"/>
    <xf numFmtId="43" fontId="29" fillId="3" borderId="0" xfId="1" applyFont="1" applyFill="1"/>
    <xf numFmtId="0" fontId="30" fillId="0" borderId="0" xfId="11" applyFont="1" applyAlignment="1">
      <alignment horizontal="left"/>
    </xf>
    <xf numFmtId="167" fontId="22" fillId="0" borderId="0" xfId="1" applyNumberFormat="1" applyFont="1" applyAlignment="1">
      <alignment horizontal="center"/>
    </xf>
    <xf numFmtId="167" fontId="22" fillId="0" borderId="8" xfId="1" applyNumberFormat="1" applyFont="1" applyBorder="1" applyAlignment="1">
      <alignment horizontal="center"/>
    </xf>
    <xf numFmtId="169" fontId="32" fillId="0" borderId="0" xfId="0" applyNumberFormat="1" applyFont="1"/>
    <xf numFmtId="167" fontId="32" fillId="0" borderId="0" xfId="1" applyNumberFormat="1" applyFont="1" applyAlignment="1">
      <alignment horizontal="center"/>
    </xf>
    <xf numFmtId="167" fontId="32" fillId="0" borderId="0" xfId="1" applyNumberFormat="1" applyFont="1"/>
    <xf numFmtId="39" fontId="32" fillId="0" borderId="0" xfId="0" applyFont="1"/>
    <xf numFmtId="171" fontId="22" fillId="0" borderId="29" xfId="0" quotePrefix="1" applyNumberFormat="1" applyFont="1" applyBorder="1" applyAlignment="1">
      <alignment horizontal="center"/>
    </xf>
    <xf numFmtId="169" fontId="11" fillId="0" borderId="0" xfId="11" applyNumberFormat="1" applyFont="1" applyAlignment="1">
      <alignment horizontal="center" vertical="top"/>
    </xf>
    <xf numFmtId="167" fontId="32" fillId="0" borderId="0" xfId="1" applyNumberFormat="1" applyFont="1" applyAlignment="1">
      <alignment vertical="center"/>
    </xf>
    <xf numFmtId="170" fontId="11" fillId="0" borderId="0" xfId="0" applyNumberFormat="1" applyFont="1" applyAlignment="1">
      <alignment horizontal="center"/>
    </xf>
    <xf numFmtId="43" fontId="11" fillId="4" borderId="0" xfId="1" applyFont="1" applyFill="1"/>
    <xf numFmtId="39" fontId="11" fillId="4" borderId="0" xfId="0" applyFont="1" applyFill="1"/>
    <xf numFmtId="39" fontId="11" fillId="0" borderId="0" xfId="9" applyNumberFormat="1" applyFont="1" applyAlignment="1" applyProtection="1">
      <alignment horizontal="left"/>
      <protection locked="0"/>
    </xf>
    <xf numFmtId="39" fontId="11" fillId="0" borderId="0" xfId="9" applyNumberFormat="1" applyFont="1" applyAlignment="1">
      <alignment horizontal="left" vertical="top" wrapText="1"/>
    </xf>
    <xf numFmtId="39" fontId="12" fillId="7" borderId="1" xfId="0" applyFont="1" applyFill="1" applyBorder="1" applyAlignment="1">
      <alignment horizontal="center" wrapText="1"/>
    </xf>
    <xf numFmtId="39" fontId="11" fillId="7" borderId="0" xfId="9" applyNumberFormat="1" applyFont="1" applyFill="1"/>
    <xf numFmtId="39" fontId="13" fillId="7" borderId="0" xfId="9" applyNumberFormat="1" applyFont="1" applyFill="1"/>
    <xf numFmtId="0" fontId="11" fillId="0" borderId="13" xfId="0" applyNumberFormat="1" applyFont="1" applyBorder="1" applyAlignment="1">
      <alignment horizontal="center"/>
    </xf>
    <xf numFmtId="0" fontId="11" fillId="0" borderId="12" xfId="0" applyNumberFormat="1" applyFont="1" applyBorder="1" applyAlignment="1">
      <alignment horizontal="center"/>
    </xf>
    <xf numFmtId="37" fontId="11" fillId="0" borderId="27" xfId="0" applyNumberFormat="1" applyFont="1" applyBorder="1" applyAlignment="1">
      <alignment horizontal="center"/>
    </xf>
    <xf numFmtId="37" fontId="11" fillId="0" borderId="14" xfId="0" applyNumberFormat="1" applyFont="1" applyBorder="1" applyAlignment="1">
      <alignment horizontal="center"/>
    </xf>
    <xf numFmtId="37" fontId="11" fillId="0" borderId="26" xfId="0" applyNumberFormat="1" applyFont="1" applyBorder="1" applyAlignment="1">
      <alignment horizontal="center"/>
    </xf>
    <xf numFmtId="171" fontId="11" fillId="0" borderId="27" xfId="0" quotePrefix="1" applyNumberFormat="1" applyFont="1" applyBorder="1" applyAlignment="1">
      <alignment horizontal="center"/>
    </xf>
    <xf numFmtId="171" fontId="11" fillId="0" borderId="14" xfId="0" applyNumberFormat="1" applyFont="1" applyBorder="1" applyAlignment="1">
      <alignment horizontal="center"/>
    </xf>
    <xf numFmtId="171" fontId="11" fillId="0" borderId="26" xfId="0" applyNumberFormat="1" applyFont="1" applyBorder="1" applyAlignment="1">
      <alignment horizontal="center"/>
    </xf>
    <xf numFmtId="39" fontId="11" fillId="0" borderId="14" xfId="0" applyFont="1" applyBorder="1" applyAlignment="1">
      <alignment horizontal="center"/>
    </xf>
    <xf numFmtId="169" fontId="11" fillId="0" borderId="0" xfId="0" applyNumberFormat="1" applyFont="1"/>
    <xf numFmtId="167" fontId="11" fillId="0" borderId="12" xfId="1" applyNumberFormat="1" applyFont="1" applyBorder="1"/>
    <xf numFmtId="167" fontId="11" fillId="0" borderId="0" xfId="1" applyNumberFormat="1" applyFont="1"/>
    <xf numFmtId="167" fontId="11" fillId="0" borderId="9" xfId="1" applyNumberFormat="1" applyFont="1" applyBorder="1"/>
    <xf numFmtId="37" fontId="11" fillId="0" borderId="0" xfId="0" applyNumberFormat="1" applyFont="1"/>
    <xf numFmtId="39" fontId="11" fillId="0" borderId="1" xfId="0" applyFont="1" applyBorder="1"/>
    <xf numFmtId="172" fontId="11" fillId="0" borderId="0" xfId="0" applyNumberFormat="1" applyFont="1"/>
    <xf numFmtId="165" fontId="11" fillId="0" borderId="0" xfId="0" applyNumberFormat="1" applyFont="1"/>
    <xf numFmtId="43" fontId="11" fillId="0" borderId="0" xfId="1" applyFont="1" applyAlignment="1">
      <alignment horizontal="center"/>
    </xf>
    <xf numFmtId="171" fontId="11" fillId="0" borderId="27" xfId="0" applyNumberFormat="1" applyFont="1" applyBorder="1" applyAlignment="1">
      <alignment horizontal="center"/>
    </xf>
    <xf numFmtId="167" fontId="11" fillId="0" borderId="0" xfId="1" applyNumberFormat="1" applyFont="1" applyBorder="1"/>
    <xf numFmtId="43" fontId="29" fillId="3" borderId="3" xfId="1" applyFont="1" applyFill="1" applyBorder="1"/>
    <xf numFmtId="0" fontId="33" fillId="0" borderId="0" xfId="11" applyFont="1"/>
    <xf numFmtId="167" fontId="22" fillId="0" borderId="0" xfId="1" applyNumberFormat="1" applyFont="1" applyBorder="1" applyAlignment="1">
      <alignment horizontal="center"/>
    </xf>
    <xf numFmtId="167" fontId="22" fillId="8" borderId="0" xfId="1" applyNumberFormat="1" applyFont="1" applyFill="1"/>
    <xf numFmtId="167" fontId="22" fillId="9" borderId="0" xfId="1" applyNumberFormat="1" applyFont="1" applyFill="1"/>
    <xf numFmtId="39" fontId="22" fillId="0" borderId="8" xfId="0" applyFont="1" applyBorder="1" applyAlignment="1">
      <alignment horizontal="center"/>
    </xf>
    <xf numFmtId="39" fontId="22" fillId="0" borderId="10" xfId="0" applyFont="1" applyBorder="1" applyAlignment="1">
      <alignment horizontal="center"/>
    </xf>
    <xf numFmtId="37" fontId="11" fillId="8" borderId="0" xfId="9" applyNumberFormat="1" applyFont="1" applyFill="1"/>
    <xf numFmtId="167" fontId="11" fillId="8" borderId="12" xfId="1" applyNumberFormat="1" applyFont="1" applyFill="1" applyBorder="1"/>
    <xf numFmtId="167" fontId="11" fillId="8" borderId="0" xfId="1" applyNumberFormat="1" applyFont="1" applyFill="1"/>
    <xf numFmtId="43" fontId="34" fillId="0" borderId="0" xfId="1" applyFont="1"/>
    <xf numFmtId="39" fontId="34" fillId="0" borderId="0" xfId="0" applyFont="1"/>
    <xf numFmtId="167" fontId="11" fillId="0" borderId="12" xfId="1" applyNumberFormat="1" applyFont="1" applyFill="1" applyBorder="1"/>
    <xf numFmtId="167" fontId="11" fillId="0" borderId="0" xfId="1" applyNumberFormat="1" applyFont="1" applyFill="1"/>
    <xf numFmtId="167" fontId="11" fillId="0" borderId="9" xfId="1" applyNumberFormat="1" applyFont="1" applyFill="1" applyBorder="1"/>
    <xf numFmtId="43" fontId="34" fillId="0" borderId="0" xfId="1" applyFont="1" applyAlignment="1">
      <alignment horizontal="center"/>
    </xf>
    <xf numFmtId="0" fontId="19" fillId="0" borderId="19" xfId="11" applyFont="1" applyBorder="1" applyAlignment="1">
      <alignment horizontal="center" vertical="center"/>
    </xf>
    <xf numFmtId="0" fontId="19" fillId="0" borderId="0" xfId="11" applyFont="1" applyAlignment="1">
      <alignment horizontal="center" vertical="center"/>
    </xf>
    <xf numFmtId="0" fontId="27" fillId="0" borderId="0" xfId="11" applyFont="1" applyAlignment="1">
      <alignment horizontal="left"/>
    </xf>
    <xf numFmtId="0" fontId="30" fillId="0" borderId="1" xfId="11" applyFont="1" applyBorder="1" applyAlignment="1">
      <alignment horizontal="center"/>
    </xf>
    <xf numFmtId="39" fontId="11" fillId="0" borderId="11" xfId="0" applyFont="1" applyBorder="1" applyAlignment="1">
      <alignment horizontal="center" vertical="center" textRotation="90"/>
    </xf>
    <xf numFmtId="39" fontId="11" fillId="0" borderId="12" xfId="0" applyFont="1" applyBorder="1" applyAlignment="1">
      <alignment horizontal="center" vertical="center" textRotation="90"/>
    </xf>
    <xf numFmtId="39" fontId="11" fillId="0" borderId="13" xfId="0" applyFont="1" applyBorder="1" applyAlignment="1">
      <alignment horizontal="center" vertical="center" textRotation="90"/>
    </xf>
    <xf numFmtId="0" fontId="22" fillId="0" borderId="10" xfId="0" applyNumberFormat="1" applyFont="1" applyBorder="1" applyAlignment="1">
      <alignment horizontal="center"/>
    </xf>
    <xf numFmtId="0" fontId="22" fillId="0" borderId="1" xfId="0" applyNumberFormat="1" applyFont="1" applyBorder="1" applyAlignment="1">
      <alignment horizontal="center"/>
    </xf>
    <xf numFmtId="39" fontId="23" fillId="0" borderId="0" xfId="0" applyFont="1" applyAlignment="1">
      <alignment horizontal="left"/>
    </xf>
    <xf numFmtId="39" fontId="22" fillId="0" borderId="0" xfId="0" applyFont="1" applyAlignment="1">
      <alignment horizontal="center"/>
    </xf>
    <xf numFmtId="167" fontId="22" fillId="0" borderId="14" xfId="1" applyNumberFormat="1" applyFont="1" applyBorder="1" applyAlignment="1">
      <alignment horizontal="center"/>
    </xf>
    <xf numFmtId="167" fontId="22" fillId="0" borderId="0" xfId="1" applyNumberFormat="1" applyFont="1" applyAlignment="1">
      <alignment horizontal="center"/>
    </xf>
    <xf numFmtId="39" fontId="11" fillId="0" borderId="8" xfId="0" applyFont="1" applyBorder="1" applyAlignment="1">
      <alignment horizontal="left"/>
    </xf>
    <xf numFmtId="39" fontId="11" fillId="0" borderId="0" xfId="0" applyFont="1" applyAlignment="1">
      <alignment horizontal="left"/>
    </xf>
    <xf numFmtId="39" fontId="11" fillId="0" borderId="3" xfId="0" applyFont="1" applyBorder="1" applyAlignment="1" applyProtection="1">
      <alignment horizontal="left"/>
      <protection locked="0"/>
    </xf>
    <xf numFmtId="39" fontId="11" fillId="0" borderId="7" xfId="0" applyFont="1" applyBorder="1" applyAlignment="1" applyProtection="1">
      <alignment horizontal="left"/>
      <protection locked="0"/>
    </xf>
    <xf numFmtId="39" fontId="11" fillId="0" borderId="0" xfId="0" applyFont="1" applyAlignment="1" applyProtection="1">
      <alignment horizontal="left"/>
      <protection locked="0"/>
    </xf>
    <xf numFmtId="39" fontId="11" fillId="0" borderId="9" xfId="0" applyFont="1" applyBorder="1" applyAlignment="1" applyProtection="1">
      <alignment horizontal="left"/>
      <protection locked="0"/>
    </xf>
    <xf numFmtId="39" fontId="11" fillId="0" borderId="6" xfId="0" applyFont="1" applyBorder="1" applyAlignment="1">
      <alignment horizontal="left"/>
    </xf>
    <xf numFmtId="39" fontId="11" fillId="0" borderId="3" xfId="0" applyFont="1" applyBorder="1" applyAlignment="1">
      <alignment horizontal="left"/>
    </xf>
    <xf numFmtId="39" fontId="11" fillId="0" borderId="0" xfId="0" applyFont="1" applyAlignment="1">
      <alignment horizontal="right"/>
    </xf>
    <xf numFmtId="39" fontId="21" fillId="0" borderId="0" xfId="0" applyFont="1" applyAlignment="1">
      <alignment horizontal="center"/>
    </xf>
    <xf numFmtId="39" fontId="11" fillId="0" borderId="20" xfId="0" applyFont="1" applyBorder="1" applyAlignment="1">
      <alignment horizontal="left" vertical="top"/>
    </xf>
    <xf numFmtId="39" fontId="11" fillId="0" borderId="21" xfId="0" applyFont="1" applyBorder="1" applyAlignment="1">
      <alignment horizontal="left" vertical="top"/>
    </xf>
    <xf numFmtId="39" fontId="11" fillId="0" borderId="21" xfId="0" applyFont="1" applyBorder="1" applyAlignment="1">
      <alignment horizontal="left" vertical="top" wrapText="1"/>
    </xf>
    <xf numFmtId="39" fontId="11" fillId="0" borderId="22" xfId="0" applyFont="1" applyBorder="1" applyAlignment="1">
      <alignment horizontal="left" vertical="top" wrapText="1"/>
    </xf>
    <xf numFmtId="17" fontId="11" fillId="0" borderId="0" xfId="0" applyNumberFormat="1" applyFont="1" applyAlignment="1">
      <alignment horizontal="right"/>
    </xf>
    <xf numFmtId="0" fontId="11" fillId="0" borderId="0" xfId="19" applyFont="1" applyAlignment="1">
      <alignment horizontal="center" vertical="center" wrapText="1"/>
    </xf>
    <xf numFmtId="39" fontId="11" fillId="0" borderId="23" xfId="0" applyFont="1" applyBorder="1" applyAlignment="1">
      <alignment horizontal="left" vertical="top"/>
    </xf>
    <xf numFmtId="39" fontId="11" fillId="0" borderId="24" xfId="0" applyFont="1" applyBorder="1" applyAlignment="1">
      <alignment horizontal="left" vertical="top"/>
    </xf>
    <xf numFmtId="39" fontId="11" fillId="0" borderId="24" xfId="9" applyNumberFormat="1" applyFont="1" applyBorder="1" applyAlignment="1">
      <alignment horizontal="left" vertical="top" wrapText="1"/>
    </xf>
    <xf numFmtId="39" fontId="11" fillId="0" borderId="25" xfId="9" applyNumberFormat="1" applyFont="1" applyBorder="1" applyAlignment="1">
      <alignment horizontal="left" vertical="top" wrapText="1"/>
    </xf>
    <xf numFmtId="39" fontId="11" fillId="0" borderId="0" xfId="9" applyNumberFormat="1" applyFont="1" applyAlignment="1">
      <alignment horizontal="right"/>
    </xf>
    <xf numFmtId="39" fontId="11" fillId="0" borderId="19" xfId="0" applyFont="1" applyBorder="1" applyAlignment="1">
      <alignment horizontal="left"/>
    </xf>
    <xf numFmtId="39" fontId="11" fillId="0" borderId="0" xfId="9" applyNumberFormat="1" applyFont="1" applyAlignment="1" applyProtection="1">
      <alignment horizontal="left"/>
      <protection locked="0"/>
    </xf>
    <xf numFmtId="39" fontId="11" fillId="0" borderId="4" xfId="9" applyNumberFormat="1" applyFont="1" applyBorder="1" applyAlignment="1" applyProtection="1">
      <alignment horizontal="left"/>
      <protection locked="0"/>
    </xf>
    <xf numFmtId="39" fontId="11" fillId="0" borderId="17" xfId="0" applyFont="1" applyBorder="1" applyAlignment="1">
      <alignment horizontal="left"/>
    </xf>
    <xf numFmtId="39" fontId="11" fillId="0" borderId="5" xfId="0" applyFont="1" applyBorder="1" applyAlignment="1">
      <alignment horizontal="left"/>
    </xf>
    <xf numFmtId="39" fontId="11" fillId="0" borderId="5" xfId="9" applyNumberFormat="1" applyFont="1" applyBorder="1" applyAlignment="1" applyProtection="1">
      <alignment horizontal="left"/>
      <protection locked="0"/>
    </xf>
    <xf numFmtId="39" fontId="11" fillId="0" borderId="18" xfId="9" applyNumberFormat="1" applyFont="1" applyBorder="1" applyAlignment="1" applyProtection="1">
      <alignment horizontal="left"/>
      <protection locked="0"/>
    </xf>
    <xf numFmtId="0" fontId="11" fillId="0" borderId="10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28" xfId="0" applyNumberFormat="1" applyFont="1" applyBorder="1" applyAlignment="1">
      <alignment horizontal="center"/>
    </xf>
    <xf numFmtId="0" fontId="11" fillId="8" borderId="0" xfId="19" applyFont="1" applyFill="1" applyAlignment="1">
      <alignment horizontal="center" vertical="center" wrapText="1"/>
    </xf>
    <xf numFmtId="0" fontId="22" fillId="0" borderId="28" xfId="0" applyNumberFormat="1" applyFont="1" applyBorder="1" applyAlignment="1">
      <alignment horizontal="center"/>
    </xf>
    <xf numFmtId="0" fontId="20" fillId="0" borderId="0" xfId="11" applyFont="1" applyAlignment="1">
      <alignment horizontal="left"/>
    </xf>
    <xf numFmtId="0" fontId="19" fillId="0" borderId="16" xfId="11" applyFont="1" applyBorder="1" applyAlignment="1">
      <alignment horizontal="left" vertical="center"/>
    </xf>
    <xf numFmtId="0" fontId="19" fillId="0" borderId="15" xfId="11" applyFont="1" applyBorder="1" applyAlignment="1">
      <alignment horizontal="left" vertical="center"/>
    </xf>
  </cellXfs>
  <cellStyles count="22">
    <cellStyle name="Comma" xfId="1" builtinId="3"/>
    <cellStyle name="Comma 2" xfId="2" xr:uid="{00000000-0005-0000-0000-000001000000}"/>
    <cellStyle name="Comma 2 2" xfId="3" xr:uid="{00000000-0005-0000-0000-000002000000}"/>
    <cellStyle name="Comma 2 3" xfId="16" xr:uid="{00000000-0005-0000-0000-000003000000}"/>
    <cellStyle name="Comma 2 3 2" xfId="20" xr:uid="{00000000-0005-0000-0000-000004000000}"/>
    <cellStyle name="Comma 2 4" xfId="18" xr:uid="{00000000-0005-0000-0000-000005000000}"/>
    <cellStyle name="Comma 3" xfId="4" xr:uid="{00000000-0005-0000-0000-000006000000}"/>
    <cellStyle name="Currency 2" xfId="5" xr:uid="{00000000-0005-0000-0000-000007000000}"/>
    <cellStyle name="Currency 3" xfId="6" xr:uid="{00000000-0005-0000-0000-000008000000}"/>
    <cellStyle name="Hyperlink" xfId="7" builtinId="8"/>
    <cellStyle name="Hyperlink 2" xfId="8" xr:uid="{00000000-0005-0000-0000-00000A000000}"/>
    <cellStyle name="Normal" xfId="0" builtinId="0"/>
    <cellStyle name="Normal 2" xfId="9" xr:uid="{00000000-0005-0000-0000-00000C000000}"/>
    <cellStyle name="Normal 2 2" xfId="10" xr:uid="{00000000-0005-0000-0000-00000D000000}"/>
    <cellStyle name="Normal 2 3" xfId="17" xr:uid="{00000000-0005-0000-0000-00000E000000}"/>
    <cellStyle name="Normal 2 3 2" xfId="21" xr:uid="{00000000-0005-0000-0000-00000F000000}"/>
    <cellStyle name="Normal 2 4" xfId="19" xr:uid="{00000000-0005-0000-0000-000010000000}"/>
    <cellStyle name="Normal 3" xfId="11" xr:uid="{00000000-0005-0000-0000-000011000000}"/>
    <cellStyle name="Normal_2002" xfId="12" xr:uid="{00000000-0005-0000-0000-000012000000}"/>
    <cellStyle name="Normal_JE Upload  2" xfId="13" xr:uid="{00000000-0005-0000-0000-000013000000}"/>
    <cellStyle name="Percent" xfId="14" builtinId="5"/>
    <cellStyle name="Percent 2" xfId="15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8" Type="http://schemas.openxmlformats.org/officeDocument/2006/relationships/worksheet" Target="worksheets/sheet8.xml"/><Relationship Id="rId26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7" Type="http://schemas.openxmlformats.org/officeDocument/2006/relationships/worksheet" Target="worksheets/sheet7.xml"/><Relationship Id="rId16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2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worksheet" Target="worksheets/sheet11.xml"/><Relationship Id="rId6" Type="http://schemas.openxmlformats.org/officeDocument/2006/relationships/worksheet" Target="worksheets/sheet6.xml"/><Relationship Id="rId23" Type="http://schemas.openxmlformats.org/officeDocument/2006/relationships/styles" Target="styles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22" Type="http://schemas.openxmlformats.org/officeDocument/2006/relationships/theme" Target="theme/theme1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5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20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printerSettings" Target="../printerSettings/printerSettings3.bin" />
  <Relationship Id="rId1" Type="http://schemas.openxmlformats.org/officeDocument/2006/relationships/hyperlink" Target="http://www.ferc.gov/enforcement/acct-matts/interest-rates.asp" TargetMode="External" />
  <Relationship Id="rId4" Type="http://schemas.openxmlformats.org/officeDocument/2006/relationships/comments" Target="../comments1.xml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6E5C-7F45-4A05-A1D6-59FA9B6DB8AC}">
  <dimension ref="A1:N34"/>
  <sheetViews>
    <sheetView topLeftCell="A7" zoomScaleNormal="100" zoomScaleSheetLayoutView="100" workbookViewId="0">
      <selection activeCell="A29" sqref="A29:H34"/>
    </sheetView>
  </sheetViews>
  <sheetFormatPr defaultColWidth="8.88671875" defaultRowHeight="18.75" x14ac:dyDescent="0.3"/>
  <cols>
    <col min="1" max="1" width="15" style="110" customWidth="1"/>
    <col min="2" max="2" width="2.6640625" style="110" customWidth="1"/>
    <col min="3" max="3" width="2.6640625" style="110" bestFit="1" customWidth="1"/>
    <col min="4" max="4" width="14.21875" style="110" bestFit="1" customWidth="1"/>
    <col min="5" max="5" width="1.77734375" style="110" customWidth="1"/>
    <col min="6" max="6" width="2.109375" style="110" customWidth="1"/>
    <col min="7" max="7" width="2.21875" style="110" customWidth="1"/>
    <col min="8" max="8" width="31.44140625" style="110" customWidth="1"/>
    <col min="9" max="9" width="5.6640625" style="110" customWidth="1"/>
    <col min="10" max="10" width="7.21875" style="110" customWidth="1"/>
    <col min="11" max="11" width="8.5546875" style="110" customWidth="1"/>
    <col min="12" max="12" width="8.21875" style="110" bestFit="1" customWidth="1"/>
    <col min="13" max="16384" width="8.88671875" style="110"/>
  </cols>
  <sheetData>
    <row r="1" spans="1:14" x14ac:dyDescent="0.3">
      <c r="A1" s="108">
        <f>'TAX Interest Rates'!A65</f>
        <v>44804</v>
      </c>
      <c r="B1" s="109"/>
      <c r="C1" s="109"/>
      <c r="D1" s="109"/>
      <c r="E1" s="109"/>
      <c r="F1" s="109"/>
      <c r="G1" s="109"/>
      <c r="H1" s="109"/>
    </row>
    <row r="2" spans="1:14" ht="27" customHeight="1" x14ac:dyDescent="0.3">
      <c r="A2" s="172" t="s">
        <v>0</v>
      </c>
      <c r="B2" s="173"/>
      <c r="C2" s="173"/>
      <c r="D2" s="173"/>
      <c r="E2" s="173"/>
      <c r="F2" s="173"/>
      <c r="G2" s="173"/>
      <c r="H2" s="173"/>
    </row>
    <row r="3" spans="1:14" x14ac:dyDescent="0.3">
      <c r="A3" s="174" t="s">
        <v>1</v>
      </c>
      <c r="B3" s="174"/>
      <c r="C3" s="174"/>
      <c r="D3" s="174"/>
      <c r="E3" s="174"/>
      <c r="F3" s="174"/>
      <c r="G3" s="174"/>
      <c r="H3" s="174"/>
      <c r="I3" s="174"/>
    </row>
    <row r="4" spans="1:14" x14ac:dyDescent="0.3">
      <c r="A4" s="118"/>
      <c r="B4" s="118"/>
      <c r="C4" s="118"/>
      <c r="D4" s="118"/>
      <c r="E4" s="118"/>
      <c r="F4" s="118"/>
      <c r="G4" s="118"/>
      <c r="H4" s="118"/>
      <c r="I4" s="118"/>
    </row>
    <row r="5" spans="1:14" x14ac:dyDescent="0.3">
      <c r="A5" s="175" t="s">
        <v>2</v>
      </c>
      <c r="B5" s="175"/>
      <c r="C5" s="175"/>
      <c r="D5" s="175"/>
      <c r="E5" s="175"/>
      <c r="F5" s="175"/>
      <c r="G5" s="175"/>
      <c r="H5" s="175"/>
      <c r="I5" s="118"/>
    </row>
    <row r="6" spans="1:14" ht="37.5" x14ac:dyDescent="0.3">
      <c r="A6" s="111" t="s">
        <v>3</v>
      </c>
      <c r="B6" s="111"/>
      <c r="C6" s="111"/>
      <c r="D6" s="112" t="s">
        <v>4</v>
      </c>
      <c r="E6" s="111"/>
      <c r="F6" s="111"/>
      <c r="G6" s="111"/>
      <c r="H6" s="111" t="s">
        <v>5</v>
      </c>
      <c r="I6" s="109"/>
    </row>
    <row r="7" spans="1:14" x14ac:dyDescent="0.3">
      <c r="A7" s="113" t="s">
        <v>6</v>
      </c>
      <c r="B7" s="109"/>
      <c r="C7" s="109"/>
      <c r="D7" s="114">
        <v>72639.960000000006</v>
      </c>
      <c r="E7" s="109"/>
      <c r="F7" s="157"/>
      <c r="G7" s="109"/>
      <c r="H7" s="113" t="s">
        <v>7</v>
      </c>
      <c r="I7" s="109"/>
    </row>
    <row r="8" spans="1:14" x14ac:dyDescent="0.3">
      <c r="A8" s="113" t="s">
        <v>8</v>
      </c>
      <c r="B8" s="109"/>
      <c r="C8" s="109"/>
      <c r="D8" s="114">
        <v>23860.9</v>
      </c>
      <c r="E8" s="109"/>
      <c r="F8" s="157"/>
      <c r="G8" s="109"/>
      <c r="H8" s="113" t="s">
        <v>7</v>
      </c>
      <c r="I8" s="109"/>
    </row>
    <row r="9" spans="1:14" x14ac:dyDescent="0.3">
      <c r="A9" s="113" t="s">
        <v>9</v>
      </c>
      <c r="B9" s="109"/>
      <c r="C9" s="109"/>
      <c r="D9" s="114">
        <v>26536.84</v>
      </c>
      <c r="E9" s="109"/>
      <c r="F9" s="157"/>
      <c r="G9" s="109"/>
      <c r="H9" s="113" t="s">
        <v>7</v>
      </c>
      <c r="I9" s="109"/>
    </row>
    <row r="10" spans="1:14" x14ac:dyDescent="0.3">
      <c r="A10" s="113" t="s">
        <v>10</v>
      </c>
      <c r="B10" s="109"/>
      <c r="C10" s="109"/>
      <c r="D10" s="114">
        <v>8898.8000000000011</v>
      </c>
      <c r="E10" s="109"/>
      <c r="F10" s="157"/>
      <c r="G10" s="109"/>
      <c r="H10" s="113" t="s">
        <v>7</v>
      </c>
      <c r="I10" s="109"/>
    </row>
    <row r="11" spans="1:14" x14ac:dyDescent="0.3">
      <c r="A11" s="115" t="s">
        <v>11</v>
      </c>
      <c r="B11" s="115"/>
      <c r="C11" s="115"/>
      <c r="D11" s="156">
        <v>-77937.22</v>
      </c>
      <c r="E11" s="115"/>
      <c r="F11" s="115"/>
      <c r="G11" s="115"/>
      <c r="H11" s="115" t="s">
        <v>7</v>
      </c>
      <c r="I11" s="110" t="s">
        <v>12</v>
      </c>
      <c r="K11" s="114"/>
      <c r="L11" s="114"/>
      <c r="M11" s="114"/>
      <c r="N11" s="114"/>
    </row>
    <row r="12" spans="1:14" x14ac:dyDescent="0.3">
      <c r="A12" s="116" t="s">
        <v>13</v>
      </c>
      <c r="B12" s="117"/>
      <c r="C12" s="117"/>
      <c r="D12" s="117">
        <v>-53999.28</v>
      </c>
      <c r="E12" s="117"/>
      <c r="F12" s="117"/>
      <c r="G12" s="117"/>
      <c r="H12" s="116" t="s">
        <v>7</v>
      </c>
      <c r="I12" s="110" t="s">
        <v>14</v>
      </c>
    </row>
    <row r="13" spans="1:14" x14ac:dyDescent="0.3">
      <c r="A13" s="113"/>
      <c r="B13" s="109"/>
      <c r="C13" s="109"/>
      <c r="D13" s="22">
        <f>SUM(D7:D12)</f>
        <v>0</v>
      </c>
      <c r="E13" s="109"/>
      <c r="F13" s="109"/>
      <c r="G13" s="109"/>
      <c r="H13" s="113"/>
    </row>
    <row r="16" spans="1:14" x14ac:dyDescent="0.3">
      <c r="A16" s="175" t="s">
        <v>15</v>
      </c>
      <c r="B16" s="175"/>
      <c r="C16" s="175"/>
      <c r="D16" s="175"/>
      <c r="E16" s="175"/>
      <c r="F16" s="175"/>
      <c r="G16" s="175"/>
      <c r="H16" s="175"/>
    </row>
    <row r="17" spans="1:8" ht="37.5" x14ac:dyDescent="0.3">
      <c r="A17" s="111" t="s">
        <v>3</v>
      </c>
      <c r="B17" s="111"/>
      <c r="C17" s="111"/>
      <c r="D17" s="112" t="s">
        <v>4</v>
      </c>
      <c r="E17" s="111"/>
      <c r="F17" s="111"/>
      <c r="G17" s="111"/>
      <c r="H17" s="111" t="s">
        <v>5</v>
      </c>
    </row>
    <row r="18" spans="1:8" x14ac:dyDescent="0.3">
      <c r="A18" s="113" t="s">
        <v>6</v>
      </c>
      <c r="B18" s="109"/>
      <c r="C18" s="109"/>
      <c r="D18" s="114">
        <v>61483.68</v>
      </c>
      <c r="E18" s="109"/>
      <c r="F18" s="157"/>
      <c r="G18" s="109"/>
      <c r="H18" s="113" t="s">
        <v>7</v>
      </c>
    </row>
    <row r="19" spans="1:8" x14ac:dyDescent="0.3">
      <c r="A19" s="113" t="s">
        <v>8</v>
      </c>
      <c r="B19" s="109"/>
      <c r="C19" s="109"/>
      <c r="D19" s="114">
        <v>23860.9</v>
      </c>
      <c r="E19" s="109"/>
      <c r="F19" s="157"/>
      <c r="G19" s="109"/>
      <c r="H19" s="113" t="s">
        <v>7</v>
      </c>
    </row>
    <row r="20" spans="1:8" x14ac:dyDescent="0.3">
      <c r="A20" s="113" t="s">
        <v>9</v>
      </c>
      <c r="B20" s="109"/>
      <c r="C20" s="109"/>
      <c r="D20" s="114">
        <v>22373.01</v>
      </c>
      <c r="E20" s="109"/>
      <c r="F20" s="157"/>
      <c r="G20" s="109"/>
      <c r="H20" s="113" t="s">
        <v>7</v>
      </c>
    </row>
    <row r="21" spans="1:8" x14ac:dyDescent="0.3">
      <c r="A21" s="113" t="s">
        <v>10</v>
      </c>
      <c r="B21" s="109"/>
      <c r="C21" s="109"/>
      <c r="D21" s="114">
        <v>8898.8000000000011</v>
      </c>
      <c r="E21" s="109"/>
      <c r="F21" s="157"/>
      <c r="G21" s="109"/>
      <c r="H21" s="113" t="s">
        <v>7</v>
      </c>
    </row>
    <row r="22" spans="1:8" x14ac:dyDescent="0.3">
      <c r="A22" s="115" t="s">
        <v>11</v>
      </c>
      <c r="B22" s="115"/>
      <c r="C22" s="115"/>
      <c r="D22" s="156">
        <v>-62617.11</v>
      </c>
      <c r="E22" s="115"/>
      <c r="F22" s="115"/>
      <c r="G22" s="115"/>
      <c r="H22" s="115" t="s">
        <v>7</v>
      </c>
    </row>
    <row r="23" spans="1:8" x14ac:dyDescent="0.3">
      <c r="A23" s="116" t="s">
        <v>13</v>
      </c>
      <c r="B23" s="117"/>
      <c r="C23" s="117"/>
      <c r="D23" s="117">
        <v>-53999.28</v>
      </c>
      <c r="E23" s="117"/>
      <c r="F23" s="117"/>
      <c r="G23" s="117"/>
      <c r="H23" s="116" t="s">
        <v>7</v>
      </c>
    </row>
    <row r="27" spans="1:8" x14ac:dyDescent="0.3">
      <c r="A27" s="175" t="s">
        <v>16</v>
      </c>
      <c r="B27" s="175"/>
      <c r="C27" s="175"/>
      <c r="D27" s="175"/>
      <c r="E27" s="175"/>
      <c r="F27" s="175"/>
      <c r="G27" s="175"/>
      <c r="H27" s="175"/>
    </row>
    <row r="28" spans="1:8" ht="37.5" x14ac:dyDescent="0.3">
      <c r="A28" s="111" t="s">
        <v>3</v>
      </c>
      <c r="B28" s="111"/>
      <c r="C28" s="111"/>
      <c r="D28" s="112" t="s">
        <v>4</v>
      </c>
      <c r="E28" s="111"/>
      <c r="F28" s="111"/>
      <c r="G28" s="111"/>
      <c r="H28" s="111" t="s">
        <v>5</v>
      </c>
    </row>
    <row r="29" spans="1:8" x14ac:dyDescent="0.3">
      <c r="A29" s="113" t="s">
        <v>6</v>
      </c>
      <c r="B29" s="109"/>
      <c r="C29" s="109"/>
      <c r="D29" s="114">
        <f>+D7-D18</f>
        <v>11156.280000000006</v>
      </c>
      <c r="E29" s="109"/>
      <c r="F29" s="157"/>
      <c r="G29" s="109"/>
      <c r="H29" s="113" t="s">
        <v>17</v>
      </c>
    </row>
    <row r="30" spans="1:8" x14ac:dyDescent="0.3">
      <c r="A30" s="113" t="s">
        <v>8</v>
      </c>
      <c r="B30" s="109"/>
      <c r="C30" s="109"/>
      <c r="D30" s="114">
        <f t="shared" ref="D30:D34" si="0">+D8-D19</f>
        <v>0</v>
      </c>
      <c r="E30" s="109"/>
      <c r="F30" s="157"/>
      <c r="G30" s="109"/>
      <c r="H30" s="113" t="s">
        <v>17</v>
      </c>
    </row>
    <row r="31" spans="1:8" x14ac:dyDescent="0.3">
      <c r="A31" s="113" t="s">
        <v>9</v>
      </c>
      <c r="B31" s="109"/>
      <c r="C31" s="109"/>
      <c r="D31" s="114">
        <f t="shared" si="0"/>
        <v>4163.8300000000017</v>
      </c>
      <c r="E31" s="109"/>
      <c r="F31" s="157"/>
      <c r="G31" s="109"/>
      <c r="H31" s="113" t="s">
        <v>17</v>
      </c>
    </row>
    <row r="32" spans="1:8" x14ac:dyDescent="0.3">
      <c r="A32" s="113" t="s">
        <v>10</v>
      </c>
      <c r="B32" s="109"/>
      <c r="C32" s="109"/>
      <c r="D32" s="114">
        <f t="shared" si="0"/>
        <v>0</v>
      </c>
      <c r="E32" s="109"/>
      <c r="F32" s="157"/>
      <c r="G32" s="109"/>
      <c r="H32" s="113" t="s">
        <v>17</v>
      </c>
    </row>
    <row r="33" spans="1:8" x14ac:dyDescent="0.3">
      <c r="A33" s="115" t="s">
        <v>11</v>
      </c>
      <c r="B33" s="115"/>
      <c r="C33" s="115"/>
      <c r="D33" s="156">
        <f t="shared" si="0"/>
        <v>-15320.11</v>
      </c>
      <c r="E33" s="115"/>
      <c r="F33" s="115"/>
      <c r="G33" s="115"/>
      <c r="H33" s="113" t="s">
        <v>17</v>
      </c>
    </row>
    <row r="34" spans="1:8" x14ac:dyDescent="0.3">
      <c r="A34" s="116" t="s">
        <v>13</v>
      </c>
      <c r="B34" s="117"/>
      <c r="C34" s="117"/>
      <c r="D34" s="117">
        <f t="shared" si="0"/>
        <v>0</v>
      </c>
      <c r="E34" s="117"/>
      <c r="F34" s="117"/>
      <c r="G34" s="117"/>
      <c r="H34" s="113" t="s">
        <v>17</v>
      </c>
    </row>
  </sheetData>
  <mergeCells count="5">
    <mergeCell ref="A2:H2"/>
    <mergeCell ref="A3:I3"/>
    <mergeCell ref="A5:H5"/>
    <mergeCell ref="A16:H16"/>
    <mergeCell ref="A27:H27"/>
  </mergeCells>
  <pageMargins left="0.5" right="0.25" top="0.5" bottom="0.75" header="0.3" footer="0.3"/>
  <pageSetup scale="74" orientation="landscape" cellComments="asDisplayed" r:id="rId1"/>
  <headerFooter>
    <oddFooter>&amp;LWA Tax Amortization&amp;C&amp;A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4"/>
  <sheetViews>
    <sheetView view="pageBreakPreview" topLeftCell="A7" zoomScaleNormal="100" zoomScaleSheetLayoutView="100" workbookViewId="0">
      <selection activeCell="N65" sqref="N65"/>
    </sheetView>
  </sheetViews>
  <sheetFormatPr defaultColWidth="8.88671875" defaultRowHeight="12.75" x14ac:dyDescent="0.2"/>
  <cols>
    <col min="1" max="2" width="8.88671875" style="2"/>
    <col min="3" max="3" width="10.109375" style="2" customWidth="1"/>
    <col min="4" max="4" width="8.88671875" style="2"/>
    <col min="5" max="5" width="10.21875" style="2" customWidth="1"/>
    <col min="6" max="6" width="8.88671875" style="2"/>
    <col min="7" max="7" width="13.109375" style="2" customWidth="1"/>
    <col min="8" max="8" width="11.6640625" style="2" customWidth="1"/>
    <col min="9" max="9" width="1.21875" style="2" customWidth="1"/>
    <col min="10" max="10" width="10.77734375" style="2" customWidth="1"/>
    <col min="11" max="11" width="9.88671875" style="2" customWidth="1"/>
    <col min="12" max="12" width="9" style="25" bestFit="1" customWidth="1"/>
    <col min="13" max="13" width="10.33203125" style="25" bestFit="1" customWidth="1"/>
    <col min="14" max="14" width="30" style="2" customWidth="1"/>
    <col min="15" max="16384" width="8.88671875" style="2"/>
  </cols>
  <sheetData>
    <row r="1" spans="1:13" x14ac:dyDescent="0.2">
      <c r="A1" s="209" t="s">
        <v>65</v>
      </c>
      <c r="B1" s="210"/>
      <c r="C1" s="211" t="s">
        <v>66</v>
      </c>
      <c r="D1" s="211"/>
      <c r="E1" s="211"/>
      <c r="F1" s="211"/>
      <c r="G1" s="211"/>
      <c r="H1" s="212"/>
      <c r="I1" s="131"/>
      <c r="J1" s="27"/>
    </row>
    <row r="2" spans="1:13" x14ac:dyDescent="0.2">
      <c r="A2" s="206" t="s">
        <v>67</v>
      </c>
      <c r="B2" s="186"/>
      <c r="C2" s="207" t="s">
        <v>106</v>
      </c>
      <c r="D2" s="207"/>
      <c r="E2" s="207"/>
      <c r="F2" s="207"/>
      <c r="G2" s="207"/>
      <c r="H2" s="208"/>
      <c r="I2" s="131"/>
      <c r="J2" s="27"/>
    </row>
    <row r="3" spans="1:13" x14ac:dyDescent="0.2">
      <c r="A3" s="206" t="s">
        <v>69</v>
      </c>
      <c r="B3" s="186"/>
      <c r="C3" s="207" t="s">
        <v>8</v>
      </c>
      <c r="D3" s="207"/>
      <c r="E3" s="207"/>
      <c r="F3" s="207"/>
      <c r="G3" s="207"/>
      <c r="H3" s="208"/>
      <c r="I3" s="131"/>
      <c r="J3" s="27"/>
    </row>
    <row r="4" spans="1:13" x14ac:dyDescent="0.2">
      <c r="A4" s="206" t="s">
        <v>71</v>
      </c>
      <c r="B4" s="186"/>
      <c r="C4" s="207"/>
      <c r="D4" s="207"/>
      <c r="E4" s="207"/>
      <c r="F4" s="207"/>
      <c r="G4" s="207"/>
      <c r="H4" s="208"/>
      <c r="I4" s="131"/>
      <c r="J4" s="216" t="s">
        <v>107</v>
      </c>
      <c r="K4" s="216"/>
      <c r="L4" s="216"/>
      <c r="M4" s="216"/>
    </row>
    <row r="5" spans="1:13" x14ac:dyDescent="0.2">
      <c r="A5" s="206" t="s">
        <v>72</v>
      </c>
      <c r="B5" s="186"/>
      <c r="C5" s="207" t="s">
        <v>75</v>
      </c>
      <c r="D5" s="207"/>
      <c r="E5" s="207"/>
      <c r="F5" s="207"/>
      <c r="G5" s="207"/>
      <c r="H5" s="208"/>
      <c r="I5" s="131"/>
      <c r="J5" s="216"/>
      <c r="K5" s="216"/>
      <c r="L5" s="216"/>
      <c r="M5" s="216"/>
    </row>
    <row r="6" spans="1:13" x14ac:dyDescent="0.2">
      <c r="A6" s="206" t="s">
        <v>74</v>
      </c>
      <c r="B6" s="186"/>
      <c r="C6" s="207" t="s">
        <v>100</v>
      </c>
      <c r="D6" s="207"/>
      <c r="E6" s="207"/>
      <c r="F6" s="207"/>
      <c r="G6" s="207"/>
      <c r="H6" s="208"/>
      <c r="I6" s="131"/>
      <c r="J6" s="216"/>
      <c r="K6" s="216"/>
      <c r="L6" s="216"/>
      <c r="M6" s="216"/>
    </row>
    <row r="7" spans="1:13" ht="13.5" thickBot="1" x14ac:dyDescent="0.25">
      <c r="A7" s="201" t="s">
        <v>76</v>
      </c>
      <c r="B7" s="202"/>
      <c r="C7" s="203" t="s">
        <v>101</v>
      </c>
      <c r="D7" s="203"/>
      <c r="E7" s="203"/>
      <c r="F7" s="203"/>
      <c r="G7" s="203"/>
      <c r="H7" s="204"/>
      <c r="I7" s="132"/>
      <c r="J7" s="30"/>
    </row>
    <row r="8" spans="1:13" x14ac:dyDescent="0.2">
      <c r="A8" s="34"/>
      <c r="B8" s="34"/>
      <c r="C8" s="35"/>
      <c r="D8" s="35"/>
      <c r="E8" s="35"/>
      <c r="F8" s="35"/>
      <c r="G8" s="35"/>
      <c r="H8" s="35"/>
      <c r="I8" s="35"/>
      <c r="K8" s="36"/>
    </row>
    <row r="9" spans="1:13" x14ac:dyDescent="0.2">
      <c r="A9" s="7"/>
      <c r="D9" s="194" t="s">
        <v>78</v>
      </c>
      <c r="E9" s="194"/>
      <c r="F9" s="194"/>
    </row>
    <row r="10" spans="1:13" s="99" customFormat="1" ht="26.25" customHeight="1" x14ac:dyDescent="0.2">
      <c r="A10" s="8" t="s">
        <v>24</v>
      </c>
      <c r="B10" s="8" t="s">
        <v>79</v>
      </c>
      <c r="C10" s="8" t="s">
        <v>62</v>
      </c>
      <c r="D10" s="8" t="s">
        <v>80</v>
      </c>
      <c r="E10" s="8" t="s">
        <v>58</v>
      </c>
      <c r="F10" s="8" t="s">
        <v>81</v>
      </c>
      <c r="G10" s="8" t="s">
        <v>82</v>
      </c>
      <c r="H10" s="8" t="s">
        <v>83</v>
      </c>
      <c r="I10" s="133"/>
      <c r="J10" s="8" t="s">
        <v>84</v>
      </c>
      <c r="K10" s="8" t="s">
        <v>85</v>
      </c>
      <c r="L10" s="19" t="s">
        <v>86</v>
      </c>
      <c r="M10" s="19" t="s">
        <v>87</v>
      </c>
    </row>
    <row r="11" spans="1:13" x14ac:dyDescent="0.2">
      <c r="A11" s="31"/>
      <c r="B11" s="31"/>
      <c r="C11" s="31"/>
      <c r="D11" s="31"/>
      <c r="E11" s="31"/>
      <c r="F11" s="31"/>
      <c r="G11" s="31"/>
      <c r="H11" s="29"/>
      <c r="I11" s="134"/>
      <c r="J11" s="30"/>
    </row>
    <row r="12" spans="1:13" hidden="1" x14ac:dyDescent="0.2">
      <c r="A12" s="205" t="s">
        <v>102</v>
      </c>
      <c r="B12" s="205"/>
      <c r="C12" s="205"/>
      <c r="D12" s="205"/>
      <c r="E12" s="205"/>
      <c r="F12" s="205"/>
      <c r="G12" s="29">
        <v>-231637.15</v>
      </c>
      <c r="H12" s="29"/>
      <c r="I12" s="134"/>
      <c r="J12" s="37"/>
      <c r="K12" s="24"/>
    </row>
    <row r="13" spans="1:13" hidden="1" x14ac:dyDescent="0.2">
      <c r="A13" s="205"/>
      <c r="B13" s="205"/>
      <c r="C13" s="205"/>
      <c r="D13" s="205"/>
      <c r="E13" s="205"/>
      <c r="F13" s="205"/>
      <c r="G13" s="29"/>
      <c r="H13" s="29">
        <f>SUM(G12:G12)</f>
        <v>-231637.15</v>
      </c>
      <c r="I13" s="134"/>
      <c r="J13" s="30"/>
    </row>
    <row r="14" spans="1:13" hidden="1" x14ac:dyDescent="0.2">
      <c r="A14" s="28">
        <f>'TAX Interest Rates'!A17</f>
        <v>43343</v>
      </c>
      <c r="B14" s="47" t="s">
        <v>103</v>
      </c>
      <c r="C14" s="46">
        <f>+'Protected EDIT Gross up'!R4</f>
        <v>61836631</v>
      </c>
      <c r="D14" s="24">
        <f>5676.52-32280.1</f>
        <v>-26603.579999999998</v>
      </c>
      <c r="E14" s="29">
        <f>+'Protected EDIT Gross up'!R116</f>
        <v>11388.77</v>
      </c>
      <c r="F14" s="29">
        <f t="shared" ref="F14:F18" si="0">ROUND(H13*VLOOKUP(A14,TAXINT18,2)/365*VLOOKUP(A14,TAXINT18,3),2)</f>
        <v>0</v>
      </c>
      <c r="G14" s="29"/>
      <c r="H14" s="29">
        <f>SUM(D14:G14)+H13</f>
        <v>-246851.96</v>
      </c>
      <c r="I14" s="134"/>
      <c r="J14" s="37">
        <v>-246851.96</v>
      </c>
      <c r="K14" s="2">
        <f>J14-H14</f>
        <v>0</v>
      </c>
      <c r="L14" s="25" t="s">
        <v>98</v>
      </c>
      <c r="M14" s="128">
        <v>43364</v>
      </c>
    </row>
    <row r="15" spans="1:13" hidden="1" x14ac:dyDescent="0.2">
      <c r="A15" s="28">
        <f>'TAX Interest Rates'!A18</f>
        <v>43373</v>
      </c>
      <c r="B15" s="47" t="s">
        <v>103</v>
      </c>
      <c r="C15" s="46">
        <f>+'Protected EDIT Gross up'!R5</f>
        <v>69221884</v>
      </c>
      <c r="D15" s="24">
        <v>-32280.09</v>
      </c>
      <c r="E15" s="29">
        <f>+'Protected EDIT Gross up'!R117</f>
        <v>17498.43</v>
      </c>
      <c r="F15" s="29">
        <f t="shared" si="0"/>
        <v>0</v>
      </c>
      <c r="G15" s="29"/>
      <c r="H15" s="29">
        <f t="shared" ref="H15:H24" si="1">SUM(D15:G15)+H14</f>
        <v>-261633.62</v>
      </c>
      <c r="I15" s="134"/>
      <c r="J15" s="37">
        <v>-261633.62</v>
      </c>
      <c r="K15" s="24">
        <f>J15-H15</f>
        <v>0</v>
      </c>
      <c r="L15" s="25" t="s">
        <v>98</v>
      </c>
      <c r="M15" s="128">
        <v>43381</v>
      </c>
    </row>
    <row r="16" spans="1:13" hidden="1" x14ac:dyDescent="0.2">
      <c r="A16" s="28">
        <f>'TAX Interest Rates'!A19</f>
        <v>43404</v>
      </c>
      <c r="B16" s="47" t="s">
        <v>103</v>
      </c>
      <c r="C16" s="46">
        <f>+'Protected EDIT Gross up'!R6</f>
        <v>58118580</v>
      </c>
      <c r="D16" s="24">
        <v>-32280.09</v>
      </c>
      <c r="E16" s="29">
        <f>+'Protected EDIT Gross up'!R118</f>
        <v>21654.06</v>
      </c>
      <c r="F16" s="29">
        <f t="shared" si="0"/>
        <v>0</v>
      </c>
      <c r="G16" s="30"/>
      <c r="H16" s="32">
        <f t="shared" si="1"/>
        <v>-272259.65000000002</v>
      </c>
      <c r="I16" s="135"/>
      <c r="J16" s="37">
        <v>-272259.65000000002</v>
      </c>
      <c r="K16" s="24">
        <f t="shared" ref="K16:K30" si="2">J16-H16</f>
        <v>0</v>
      </c>
      <c r="L16" s="25" t="s">
        <v>98</v>
      </c>
      <c r="M16" s="128">
        <v>43411</v>
      </c>
    </row>
    <row r="17" spans="1:13" hidden="1" x14ac:dyDescent="0.2">
      <c r="A17" s="28">
        <f>'TAX Interest Rates'!A20</f>
        <v>43434</v>
      </c>
      <c r="B17" s="47" t="s">
        <v>104</v>
      </c>
      <c r="C17" s="46">
        <f>+'Protected EDIT Gross up'!R8+'Protected EDIT Gross up'!R7</f>
        <v>43389765</v>
      </c>
      <c r="D17" s="24">
        <v>-32280.09</v>
      </c>
      <c r="E17" s="29">
        <f>+'Protected EDIT Gross up'!R119+'Protected EDIT Gross up'!R120</f>
        <v>27988.36</v>
      </c>
      <c r="F17" s="29">
        <f t="shared" si="0"/>
        <v>0</v>
      </c>
      <c r="G17" s="30"/>
      <c r="H17" s="32">
        <f t="shared" si="1"/>
        <v>-276551.38</v>
      </c>
      <c r="I17" s="135"/>
      <c r="J17" s="2">
        <v>-276551.38</v>
      </c>
      <c r="K17" s="24">
        <f t="shared" si="2"/>
        <v>0</v>
      </c>
      <c r="L17" s="25" t="s">
        <v>98</v>
      </c>
      <c r="M17" s="128">
        <v>43444</v>
      </c>
    </row>
    <row r="18" spans="1:13" hidden="1" x14ac:dyDescent="0.2">
      <c r="A18" s="28">
        <f>'TAX Interest Rates'!A21</f>
        <v>43465</v>
      </c>
      <c r="B18" s="47" t="s">
        <v>103</v>
      </c>
      <c r="C18" s="46">
        <f>+'Protected EDIT Gross up'!R9</f>
        <v>80158637</v>
      </c>
      <c r="D18" s="24">
        <v>-53471.98</v>
      </c>
      <c r="E18" s="29">
        <f>+'Protected EDIT Gross up'!R121</f>
        <v>55207.250000000007</v>
      </c>
      <c r="F18" s="29">
        <f t="shared" si="0"/>
        <v>0</v>
      </c>
      <c r="G18" s="30"/>
      <c r="H18" s="32">
        <f t="shared" si="1"/>
        <v>-274816.11</v>
      </c>
      <c r="I18" s="135"/>
      <c r="J18" s="2">
        <v>-274816.11</v>
      </c>
      <c r="K18" s="24">
        <f t="shared" si="2"/>
        <v>0</v>
      </c>
      <c r="L18" s="25" t="s">
        <v>98</v>
      </c>
      <c r="M18" s="128">
        <v>43482</v>
      </c>
    </row>
    <row r="19" spans="1:13" hidden="1" x14ac:dyDescent="0.2">
      <c r="A19" s="28">
        <f>'TAX Interest Rates'!A22</f>
        <v>43496</v>
      </c>
      <c r="B19" s="47" t="s">
        <v>103</v>
      </c>
      <c r="C19" s="46">
        <f>+'Protected EDIT Gross up'!R10</f>
        <v>86264908</v>
      </c>
      <c r="D19" s="24">
        <v>-36453.050000000003</v>
      </c>
      <c r="E19" s="29">
        <f>+'Protected EDIT Gross up'!R122</f>
        <v>62003.169999999991</v>
      </c>
      <c r="F19" s="29">
        <f t="shared" ref="F19:F24" si="3">ROUND(H18*VLOOKUP(A19,TAXINT19,2)/365*VLOOKUP(A19,TAXINT19,3),2)</f>
        <v>0</v>
      </c>
      <c r="G19" s="30"/>
      <c r="H19" s="32">
        <f t="shared" si="1"/>
        <v>-249265.99</v>
      </c>
      <c r="I19" s="135"/>
      <c r="J19" s="2">
        <v>-249265.99</v>
      </c>
      <c r="K19" s="24">
        <f t="shared" si="2"/>
        <v>0</v>
      </c>
      <c r="L19" s="25" t="s">
        <v>98</v>
      </c>
      <c r="M19" s="128">
        <v>43531</v>
      </c>
    </row>
    <row r="20" spans="1:13" hidden="1" x14ac:dyDescent="0.2">
      <c r="A20" s="28">
        <f>'TAX Interest Rates'!A23</f>
        <v>43524</v>
      </c>
      <c r="B20" s="47" t="s">
        <v>103</v>
      </c>
      <c r="C20" s="46">
        <f>+'Protected EDIT Gross up'!R11</f>
        <v>82269503</v>
      </c>
      <c r="D20" s="24">
        <v>-36453.050000000003</v>
      </c>
      <c r="E20" s="29">
        <f>+'Protected EDIT Gross up'!R123</f>
        <v>64860.140000000007</v>
      </c>
      <c r="F20" s="29">
        <f t="shared" si="3"/>
        <v>0</v>
      </c>
      <c r="G20" s="30"/>
      <c r="H20" s="32">
        <f t="shared" si="1"/>
        <v>-220858.9</v>
      </c>
      <c r="I20" s="135"/>
      <c r="J20" s="2">
        <v>-220858.9</v>
      </c>
      <c r="K20" s="24">
        <f t="shared" si="2"/>
        <v>0</v>
      </c>
      <c r="L20" s="25" t="s">
        <v>98</v>
      </c>
      <c r="M20" s="128">
        <v>43531</v>
      </c>
    </row>
    <row r="21" spans="1:13" hidden="1" x14ac:dyDescent="0.2">
      <c r="A21" s="28">
        <f>'TAX Interest Rates'!A24</f>
        <v>43555</v>
      </c>
      <c r="B21" s="47" t="s">
        <v>103</v>
      </c>
      <c r="C21" s="46">
        <f>+'Protected EDIT Gross up'!R12</f>
        <v>84736435</v>
      </c>
      <c r="D21" s="24">
        <v>-36453.050000000003</v>
      </c>
      <c r="E21" s="29">
        <f>+'Protected EDIT Gross up'!R124</f>
        <v>70318.19</v>
      </c>
      <c r="F21" s="29">
        <f t="shared" si="3"/>
        <v>0</v>
      </c>
      <c r="G21" s="30"/>
      <c r="H21" s="32">
        <f t="shared" si="1"/>
        <v>-186993.76</v>
      </c>
      <c r="I21" s="135"/>
      <c r="J21" s="2">
        <v>-186993.76</v>
      </c>
      <c r="K21" s="24">
        <f t="shared" si="2"/>
        <v>0</v>
      </c>
      <c r="L21" s="25" t="s">
        <v>98</v>
      </c>
      <c r="M21" s="128">
        <v>43560</v>
      </c>
    </row>
    <row r="22" spans="1:13" hidden="1" x14ac:dyDescent="0.2">
      <c r="A22" s="28">
        <f>'TAX Interest Rates'!A25</f>
        <v>43585</v>
      </c>
      <c r="B22" s="47" t="s">
        <v>103</v>
      </c>
      <c r="C22" s="46">
        <f>+'Protected EDIT Gross up'!R13</f>
        <v>62230455</v>
      </c>
      <c r="D22" s="24">
        <v>-36453.050000000003</v>
      </c>
      <c r="E22" s="29">
        <f>+'Protected EDIT Gross up'!R125</f>
        <v>41714.250000000007</v>
      </c>
      <c r="F22" s="29">
        <f t="shared" si="3"/>
        <v>0</v>
      </c>
      <c r="H22" s="32">
        <f t="shared" si="1"/>
        <v>-181732.56</v>
      </c>
      <c r="I22" s="135"/>
      <c r="J22" s="2">
        <v>-181732.56</v>
      </c>
      <c r="K22" s="24">
        <f t="shared" si="2"/>
        <v>0</v>
      </c>
      <c r="L22" s="25" t="s">
        <v>98</v>
      </c>
      <c r="M22" s="128">
        <v>43593</v>
      </c>
    </row>
    <row r="23" spans="1:13" hidden="1" x14ac:dyDescent="0.2">
      <c r="A23" s="28">
        <f>'TAX Interest Rates'!A26</f>
        <v>43616</v>
      </c>
      <c r="B23" s="47" t="s">
        <v>103</v>
      </c>
      <c r="C23" s="46">
        <f>+'Protected EDIT Gross up'!R14</f>
        <v>50477479</v>
      </c>
      <c r="D23" s="24">
        <v>-36453.050000000003</v>
      </c>
      <c r="E23" s="29">
        <f>+'Protected EDIT Gross up'!R126</f>
        <v>27050.95</v>
      </c>
      <c r="F23" s="29">
        <f t="shared" si="3"/>
        <v>0</v>
      </c>
      <c r="H23" s="32">
        <f t="shared" si="1"/>
        <v>-191134.66</v>
      </c>
      <c r="I23" s="135"/>
      <c r="J23" s="2">
        <v>-191134.66</v>
      </c>
      <c r="K23" s="24">
        <f t="shared" si="2"/>
        <v>0</v>
      </c>
      <c r="L23" s="25" t="s">
        <v>98</v>
      </c>
      <c r="M23" s="128">
        <v>43623</v>
      </c>
    </row>
    <row r="24" spans="1:13" hidden="1" x14ac:dyDescent="0.2">
      <c r="A24" s="28">
        <f>'TAX Interest Rates'!A27</f>
        <v>43646</v>
      </c>
      <c r="B24" s="47" t="s">
        <v>103</v>
      </c>
      <c r="C24" s="46">
        <f>+'Protected EDIT Gross up'!R15</f>
        <v>51732018</v>
      </c>
      <c r="D24" s="24">
        <v>-36453.050000000003</v>
      </c>
      <c r="E24" s="29">
        <f>+'Protected EDIT Gross up'!R127</f>
        <v>19272.579999999998</v>
      </c>
      <c r="F24" s="29">
        <f t="shared" si="3"/>
        <v>0</v>
      </c>
      <c r="H24" s="32">
        <f t="shared" si="1"/>
        <v>-208315.13</v>
      </c>
      <c r="I24" s="135"/>
      <c r="J24" s="2">
        <v>-208315.13</v>
      </c>
      <c r="K24" s="24">
        <f t="shared" si="2"/>
        <v>0</v>
      </c>
      <c r="L24" s="25" t="s">
        <v>98</v>
      </c>
      <c r="M24" s="128">
        <v>43654</v>
      </c>
    </row>
    <row r="25" spans="1:13" hidden="1" x14ac:dyDescent="0.2">
      <c r="A25" s="28">
        <f>'TAX Interest Rates'!A28</f>
        <v>43677</v>
      </c>
      <c r="B25" s="47" t="s">
        <v>103</v>
      </c>
      <c r="C25" s="46">
        <f>+'Protected EDIT Gross up'!R16</f>
        <v>67400695</v>
      </c>
      <c r="D25" s="24">
        <v>-36453.050000000003</v>
      </c>
      <c r="E25" s="29">
        <f>+'Protected EDIT Gross up'!R128</f>
        <v>19747.38</v>
      </c>
      <c r="F25" s="29">
        <f t="shared" ref="F25:F30" si="4">ROUND(H24*VLOOKUP(A25,TAXINT19,2)/365*VLOOKUP(A25,TAXINT19,3),2)</f>
        <v>0</v>
      </c>
      <c r="H25" s="32">
        <f t="shared" ref="H25:H30" si="5">SUM(D25:G25)+H24</f>
        <v>-225020.80000000002</v>
      </c>
      <c r="I25" s="135"/>
      <c r="J25" s="2">
        <v>-225020.79999999999</v>
      </c>
      <c r="K25" s="24">
        <f t="shared" si="2"/>
        <v>0</v>
      </c>
      <c r="L25" s="25" t="s">
        <v>98</v>
      </c>
      <c r="M25" s="128">
        <v>43685</v>
      </c>
    </row>
    <row r="26" spans="1:13" hidden="1" x14ac:dyDescent="0.2">
      <c r="A26" s="28">
        <f>'TAX Interest Rates'!A29</f>
        <v>43708</v>
      </c>
      <c r="B26" s="47" t="s">
        <v>103</v>
      </c>
      <c r="C26" s="46">
        <f>+'Protected EDIT Gross up'!R17</f>
        <v>76438837</v>
      </c>
      <c r="D26" s="24">
        <v>-36453.050000000003</v>
      </c>
      <c r="E26" s="29">
        <f>+'Protected EDIT Gross up'!R129</f>
        <v>20108.5</v>
      </c>
      <c r="F26" s="29">
        <f t="shared" si="4"/>
        <v>0</v>
      </c>
      <c r="H26" s="32">
        <f t="shared" si="5"/>
        <v>-241365.35000000003</v>
      </c>
      <c r="I26" s="135"/>
      <c r="J26" s="2">
        <v>-241365.35</v>
      </c>
      <c r="K26" s="24">
        <f t="shared" si="2"/>
        <v>0</v>
      </c>
      <c r="L26" s="25" t="s">
        <v>98</v>
      </c>
      <c r="M26" s="128">
        <v>43717</v>
      </c>
    </row>
    <row r="27" spans="1:13" hidden="1" x14ac:dyDescent="0.2">
      <c r="A27" s="28">
        <f>'TAX Interest Rates'!A30</f>
        <v>43738</v>
      </c>
      <c r="B27" s="47" t="s">
        <v>103</v>
      </c>
      <c r="C27" s="46">
        <f>+'Protected EDIT Gross up'!R18</f>
        <v>73218474</v>
      </c>
      <c r="D27" s="24">
        <v>-36453.050000000003</v>
      </c>
      <c r="E27" s="29">
        <f>+'Protected EDIT Gross up'!R130</f>
        <v>19361.68</v>
      </c>
      <c r="F27" s="29">
        <f t="shared" si="4"/>
        <v>0</v>
      </c>
      <c r="H27" s="32">
        <f t="shared" si="5"/>
        <v>-258456.72000000003</v>
      </c>
      <c r="I27" s="135"/>
      <c r="J27" s="2">
        <v>-258456.72</v>
      </c>
      <c r="K27" s="24">
        <f t="shared" si="2"/>
        <v>0</v>
      </c>
      <c r="L27" s="25" t="s">
        <v>98</v>
      </c>
      <c r="M27" s="128">
        <v>43745</v>
      </c>
    </row>
    <row r="28" spans="1:13" hidden="1" x14ac:dyDescent="0.2">
      <c r="A28" s="28">
        <f>'TAX Interest Rates'!A31</f>
        <v>43769</v>
      </c>
      <c r="B28" s="47" t="s">
        <v>103</v>
      </c>
      <c r="C28" s="46">
        <f>+'Protected EDIT Gross up'!R19</f>
        <v>62211815</v>
      </c>
      <c r="D28" s="24">
        <v>-36453.050000000003</v>
      </c>
      <c r="E28" s="29">
        <f>+'Protected EDIT Gross up'!R131</f>
        <v>27682.620000000003</v>
      </c>
      <c r="F28" s="29">
        <f t="shared" si="4"/>
        <v>0</v>
      </c>
      <c r="H28" s="32">
        <f t="shared" si="5"/>
        <v>-267227.15000000002</v>
      </c>
      <c r="I28" s="135"/>
      <c r="J28" s="2">
        <v>-267227.15000000002</v>
      </c>
      <c r="K28" s="24">
        <f t="shared" si="2"/>
        <v>0</v>
      </c>
      <c r="L28" s="25" t="s">
        <v>98</v>
      </c>
      <c r="M28" s="128">
        <v>43776</v>
      </c>
    </row>
    <row r="29" spans="1:13" hidden="1" x14ac:dyDescent="0.2">
      <c r="A29" s="28">
        <f>'TAX Interest Rates'!A32</f>
        <v>43799</v>
      </c>
      <c r="B29" s="47" t="s">
        <v>104</v>
      </c>
      <c r="C29" s="46">
        <f>+'Protected EDIT Gross up'!R20+'Protected EDIT Gross up'!R21</f>
        <v>72608604</v>
      </c>
      <c r="D29" s="24">
        <v>-36453.050000000003</v>
      </c>
      <c r="E29" s="29">
        <f>+'Protected EDIT Gross up'!R132+'Protected EDIT Gross up'!R133</f>
        <v>44105.55</v>
      </c>
      <c r="F29" s="29">
        <f t="shared" si="4"/>
        <v>0</v>
      </c>
      <c r="H29" s="32">
        <f t="shared" si="5"/>
        <v>-259574.65000000002</v>
      </c>
      <c r="I29" s="135"/>
      <c r="J29" s="2">
        <v>-259574.65</v>
      </c>
      <c r="K29" s="24">
        <f t="shared" si="2"/>
        <v>0</v>
      </c>
      <c r="L29" s="25" t="s">
        <v>98</v>
      </c>
      <c r="M29" s="128">
        <v>43808</v>
      </c>
    </row>
    <row r="30" spans="1:13" hidden="1" x14ac:dyDescent="0.2">
      <c r="A30" s="28">
        <f>'TAX Interest Rates'!A33</f>
        <v>43830</v>
      </c>
      <c r="B30" s="47" t="s">
        <v>103</v>
      </c>
      <c r="C30" s="46">
        <f>+'Protected EDIT Gross up'!R22</f>
        <v>95612394</v>
      </c>
      <c r="D30" s="24">
        <v>-36453.050000000003</v>
      </c>
      <c r="E30" s="29">
        <f>+'Protected EDIT Gross up'!R134</f>
        <v>67417.539999999994</v>
      </c>
      <c r="F30" s="29">
        <f t="shared" si="4"/>
        <v>0</v>
      </c>
      <c r="H30" s="32">
        <f t="shared" si="5"/>
        <v>-228610.16000000003</v>
      </c>
      <c r="I30" s="135"/>
      <c r="J30" s="2">
        <v>-228610.16</v>
      </c>
      <c r="K30" s="24">
        <f t="shared" si="2"/>
        <v>0</v>
      </c>
      <c r="L30" s="25" t="s">
        <v>98</v>
      </c>
      <c r="M30" s="128">
        <v>43838</v>
      </c>
    </row>
    <row r="31" spans="1:13" x14ac:dyDescent="0.2">
      <c r="A31" s="28">
        <f>'TAX Interest Rates'!A34</f>
        <v>43861</v>
      </c>
      <c r="B31" s="47" t="s">
        <v>103</v>
      </c>
      <c r="C31" s="46">
        <f>+'Protected EDIT Gross up'!R23</f>
        <v>96190788</v>
      </c>
      <c r="D31" s="24">
        <v>-32363.39</v>
      </c>
      <c r="E31" s="29">
        <f>+'Protected EDIT Gross up'!R135</f>
        <v>78056.860000000015</v>
      </c>
      <c r="F31" s="29">
        <f t="shared" ref="F31:F42" si="6">ROUND(H30*VLOOKUP(A31,TAXINT20,2)/365*VLOOKUP(A31,TAXINT20,3),2)</f>
        <v>0</v>
      </c>
      <c r="H31" s="32">
        <f t="shared" ref="H31:H42" si="7">SUM(D31:G31)+H30</f>
        <v>-182916.69</v>
      </c>
      <c r="I31" s="135"/>
      <c r="J31" s="2">
        <v>-182916.69</v>
      </c>
      <c r="K31" s="24">
        <f t="shared" ref="K31:K42" si="8">J31-H31</f>
        <v>0</v>
      </c>
      <c r="L31" s="25" t="s">
        <v>98</v>
      </c>
      <c r="M31" s="128">
        <v>43871</v>
      </c>
    </row>
    <row r="32" spans="1:13" x14ac:dyDescent="0.2">
      <c r="A32" s="28">
        <f>'TAX Interest Rates'!A35</f>
        <v>43890</v>
      </c>
      <c r="B32" s="47" t="s">
        <v>103</v>
      </c>
      <c r="C32" s="46">
        <f>+'Protected EDIT Gross up'!R24</f>
        <v>84770508</v>
      </c>
      <c r="D32" s="24">
        <v>-32363.39</v>
      </c>
      <c r="E32" s="29">
        <f>+'Protected EDIT Gross up'!R136</f>
        <v>65198.060000000012</v>
      </c>
      <c r="F32" s="29">
        <f t="shared" si="6"/>
        <v>0</v>
      </c>
      <c r="H32" s="32">
        <f t="shared" si="7"/>
        <v>-150082.01999999999</v>
      </c>
      <c r="I32" s="135"/>
      <c r="J32" s="2">
        <v>-150082.01999999999</v>
      </c>
      <c r="K32" s="24">
        <f t="shared" si="8"/>
        <v>0</v>
      </c>
      <c r="L32" s="25" t="s">
        <v>98</v>
      </c>
      <c r="M32" s="128">
        <v>43899</v>
      </c>
    </row>
    <row r="33" spans="1:14" x14ac:dyDescent="0.2">
      <c r="A33" s="28">
        <f>'TAX Interest Rates'!A36</f>
        <v>43921</v>
      </c>
      <c r="B33" s="47" t="s">
        <v>103</v>
      </c>
      <c r="C33" s="46">
        <f>+'Protected EDIT Gross up'!R25</f>
        <v>99882117</v>
      </c>
      <c r="D33" s="24">
        <v>-32363.39</v>
      </c>
      <c r="E33" s="29">
        <f>+'Protected EDIT Gross up'!R137</f>
        <v>67843.03</v>
      </c>
      <c r="F33" s="29">
        <f t="shared" si="6"/>
        <v>0</v>
      </c>
      <c r="H33" s="32">
        <f t="shared" si="7"/>
        <v>-114602.37999999999</v>
      </c>
      <c r="I33" s="135"/>
      <c r="J33" s="2">
        <v>-114602.38</v>
      </c>
      <c r="K33" s="24">
        <f t="shared" si="8"/>
        <v>0</v>
      </c>
      <c r="L33" s="25" t="s">
        <v>98</v>
      </c>
      <c r="M33" s="128">
        <v>43929</v>
      </c>
    </row>
    <row r="34" spans="1:14" x14ac:dyDescent="0.2">
      <c r="A34" s="28">
        <f>'TAX Interest Rates'!A37</f>
        <v>43951</v>
      </c>
      <c r="B34" s="47" t="s">
        <v>103</v>
      </c>
      <c r="C34" s="46">
        <f>+'Protected EDIT Gross up'!R26</f>
        <v>81878770</v>
      </c>
      <c r="D34" s="24">
        <v>-32363.39</v>
      </c>
      <c r="E34" s="29">
        <f>+'Protected EDIT Gross up'!R138</f>
        <v>53269.95</v>
      </c>
      <c r="F34" s="29">
        <f t="shared" si="6"/>
        <v>0</v>
      </c>
      <c r="H34" s="32">
        <f t="shared" si="7"/>
        <v>-93695.819999999992</v>
      </c>
      <c r="I34" s="135"/>
      <c r="J34" s="2">
        <v>-93695.82</v>
      </c>
      <c r="K34" s="24">
        <f t="shared" si="8"/>
        <v>0</v>
      </c>
      <c r="L34" s="25" t="s">
        <v>98</v>
      </c>
      <c r="M34" s="128">
        <v>43959</v>
      </c>
    </row>
    <row r="35" spans="1:14" x14ac:dyDescent="0.2">
      <c r="A35" s="28">
        <f>'TAX Interest Rates'!A38</f>
        <v>43982</v>
      </c>
      <c r="B35" s="47" t="s">
        <v>103</v>
      </c>
      <c r="C35" s="46">
        <f>+'Protected EDIT Gross up'!R27</f>
        <v>46164069</v>
      </c>
      <c r="D35" s="24">
        <v>-32363.39</v>
      </c>
      <c r="E35" s="29">
        <f>+'Protected EDIT Gross up'!R139</f>
        <v>27322.68</v>
      </c>
      <c r="F35" s="29">
        <f t="shared" si="6"/>
        <v>0</v>
      </c>
      <c r="H35" s="32">
        <f t="shared" si="7"/>
        <v>-98736.53</v>
      </c>
      <c r="I35" s="135"/>
      <c r="J35" s="2">
        <v>-98736.53</v>
      </c>
      <c r="K35" s="24">
        <f t="shared" si="8"/>
        <v>0</v>
      </c>
      <c r="L35" s="25" t="s">
        <v>98</v>
      </c>
      <c r="M35" s="128">
        <v>43990</v>
      </c>
    </row>
    <row r="36" spans="1:14" x14ac:dyDescent="0.2">
      <c r="A36" s="28">
        <f>'TAX Interest Rates'!A39</f>
        <v>44012</v>
      </c>
      <c r="B36" s="47" t="s">
        <v>103</v>
      </c>
      <c r="C36" s="46">
        <f>+'Protected EDIT Gross up'!R28</f>
        <v>43284213</v>
      </c>
      <c r="D36" s="24">
        <v>-32363.39</v>
      </c>
      <c r="E36" s="29">
        <f>+'Protected EDIT Gross up'!R140</f>
        <v>22174.95</v>
      </c>
      <c r="F36" s="29">
        <f t="shared" si="6"/>
        <v>0</v>
      </c>
      <c r="H36" s="32">
        <f t="shared" si="7"/>
        <v>-108924.97</v>
      </c>
      <c r="I36" s="135"/>
      <c r="J36" s="2">
        <v>-108924.97</v>
      </c>
      <c r="K36" s="24">
        <f t="shared" si="8"/>
        <v>0</v>
      </c>
      <c r="L36" s="25" t="s">
        <v>98</v>
      </c>
      <c r="M36" s="128">
        <v>44019</v>
      </c>
    </row>
    <row r="37" spans="1:14" x14ac:dyDescent="0.2">
      <c r="A37" s="28">
        <f>'TAX Interest Rates'!A40</f>
        <v>44043</v>
      </c>
      <c r="B37" s="47" t="s">
        <v>103</v>
      </c>
      <c r="C37" s="46">
        <f>+'Protected EDIT Gross up'!R29</f>
        <v>55089338</v>
      </c>
      <c r="D37" s="24">
        <v>-32363.39</v>
      </c>
      <c r="E37" s="29">
        <f>+'Protected EDIT Gross up'!R141</f>
        <v>21860.23</v>
      </c>
      <c r="F37" s="29">
        <f t="shared" si="6"/>
        <v>0</v>
      </c>
      <c r="H37" s="32">
        <f t="shared" si="7"/>
        <v>-119428.13</v>
      </c>
      <c r="I37" s="135"/>
      <c r="J37" s="2">
        <v>-119428.13</v>
      </c>
      <c r="K37" s="24">
        <f t="shared" si="8"/>
        <v>0</v>
      </c>
      <c r="L37" s="25" t="s">
        <v>98</v>
      </c>
      <c r="M37" s="128">
        <v>44053</v>
      </c>
    </row>
    <row r="38" spans="1:14" x14ac:dyDescent="0.2">
      <c r="A38" s="28">
        <f>'TAX Interest Rates'!A41</f>
        <v>44074</v>
      </c>
      <c r="B38" s="47" t="s">
        <v>103</v>
      </c>
      <c r="C38" s="46">
        <f>+'Protected EDIT Gross up'!R30</f>
        <v>66863465</v>
      </c>
      <c r="D38" s="24">
        <v>-32363.39</v>
      </c>
      <c r="E38" s="29">
        <f>+'Protected EDIT Gross up'!R142</f>
        <v>20393.449999999997</v>
      </c>
      <c r="F38" s="29">
        <f t="shared" si="6"/>
        <v>0</v>
      </c>
      <c r="H38" s="32">
        <f t="shared" si="7"/>
        <v>-131398.07</v>
      </c>
      <c r="I38" s="135"/>
      <c r="J38" s="2">
        <v>-131398.07</v>
      </c>
      <c r="K38" s="24">
        <f t="shared" si="8"/>
        <v>0</v>
      </c>
      <c r="L38" s="25" t="s">
        <v>98</v>
      </c>
      <c r="M38" s="128">
        <v>44084</v>
      </c>
    </row>
    <row r="39" spans="1:14" x14ac:dyDescent="0.2">
      <c r="A39" s="28">
        <f>'TAX Interest Rates'!A42</f>
        <v>44104</v>
      </c>
      <c r="B39" s="47" t="s">
        <v>103</v>
      </c>
      <c r="C39" s="46">
        <f>+'Protected EDIT Gross up'!R31</f>
        <v>73703550</v>
      </c>
      <c r="D39" s="24">
        <v>-32363.39</v>
      </c>
      <c r="E39" s="29">
        <f>+'Protected EDIT Gross up'!R143</f>
        <v>22438.249999999996</v>
      </c>
      <c r="F39" s="29">
        <f t="shared" si="6"/>
        <v>0</v>
      </c>
      <c r="H39" s="32">
        <f t="shared" si="7"/>
        <v>-141323.21000000002</v>
      </c>
      <c r="I39" s="135"/>
      <c r="J39" s="2">
        <v>-141323.21</v>
      </c>
      <c r="K39" s="24">
        <f t="shared" si="8"/>
        <v>0</v>
      </c>
      <c r="L39" s="25" t="s">
        <v>98</v>
      </c>
      <c r="M39" s="128">
        <v>44111</v>
      </c>
    </row>
    <row r="40" spans="1:14" x14ac:dyDescent="0.2">
      <c r="A40" s="28">
        <f>'TAX Interest Rates'!A43</f>
        <v>44135</v>
      </c>
      <c r="B40" s="47" t="s">
        <v>103</v>
      </c>
      <c r="C40" s="46">
        <f>+'Protected EDIT Gross up'!R32</f>
        <v>65687484</v>
      </c>
      <c r="D40" s="24">
        <v>-32363.39</v>
      </c>
      <c r="E40" s="29">
        <f>+'Protected EDIT Gross up'!R144</f>
        <v>24445.530000000002</v>
      </c>
      <c r="F40" s="29">
        <f t="shared" si="6"/>
        <v>0</v>
      </c>
      <c r="H40" s="32">
        <f t="shared" si="7"/>
        <v>-149241.07</v>
      </c>
      <c r="I40" s="135"/>
      <c r="J40" s="2">
        <v>-149241.07</v>
      </c>
      <c r="K40" s="24">
        <f t="shared" si="8"/>
        <v>0</v>
      </c>
      <c r="L40" s="25" t="s">
        <v>98</v>
      </c>
      <c r="M40" s="128">
        <v>44141</v>
      </c>
    </row>
    <row r="41" spans="1:14" x14ac:dyDescent="0.2">
      <c r="A41" s="28">
        <f>'TAX Interest Rates'!A44</f>
        <v>44165</v>
      </c>
      <c r="B41" s="47" t="s">
        <v>103</v>
      </c>
      <c r="C41" s="46">
        <f>+'Protected EDIT Gross up'!R33+'Protected EDIT Gross up'!R34</f>
        <v>68293788</v>
      </c>
      <c r="D41" s="24">
        <v>-32363.39</v>
      </c>
      <c r="E41" s="29">
        <f>+'Protected EDIT Gross up'!R145+'Protected EDIT Gross up'!R146</f>
        <v>38522.17</v>
      </c>
      <c r="F41" s="29">
        <f t="shared" si="6"/>
        <v>0</v>
      </c>
      <c r="H41" s="32">
        <f t="shared" si="7"/>
        <v>-143082.29</v>
      </c>
      <c r="I41" s="135"/>
      <c r="J41" s="2">
        <v>-143082.29</v>
      </c>
      <c r="K41" s="24">
        <f t="shared" si="8"/>
        <v>0</v>
      </c>
      <c r="L41" s="25" t="s">
        <v>98</v>
      </c>
      <c r="M41" s="128">
        <v>44173</v>
      </c>
    </row>
    <row r="42" spans="1:14" x14ac:dyDescent="0.2">
      <c r="A42" s="28">
        <f>'TAX Interest Rates'!A45</f>
        <v>44196</v>
      </c>
      <c r="B42" s="47" t="s">
        <v>103</v>
      </c>
      <c r="C42" s="46">
        <f>+'Protected EDIT Gross up'!R35</f>
        <v>94595765</v>
      </c>
      <c r="D42" s="24">
        <v>-19932.759999999998</v>
      </c>
      <c r="E42" s="29">
        <f>+'Protected EDIT Gross up'!R147</f>
        <v>60452.739999999991</v>
      </c>
      <c r="F42" s="29">
        <f t="shared" si="6"/>
        <v>0</v>
      </c>
      <c r="H42" s="32">
        <f t="shared" si="7"/>
        <v>-102562.31000000001</v>
      </c>
      <c r="I42" s="135"/>
      <c r="J42" s="2">
        <v>-102562.31</v>
      </c>
      <c r="K42" s="24">
        <f t="shared" si="8"/>
        <v>0</v>
      </c>
      <c r="L42" s="25" t="s">
        <v>98</v>
      </c>
      <c r="M42" s="128">
        <v>44204</v>
      </c>
    </row>
    <row r="43" spans="1:14" x14ac:dyDescent="0.2">
      <c r="A43" s="28">
        <f>'TAX Interest Rates'!A46</f>
        <v>44227</v>
      </c>
      <c r="B43" s="47" t="s">
        <v>103</v>
      </c>
      <c r="C43" s="46">
        <f>+'Protected EDIT Gross up'!R36</f>
        <v>93263558</v>
      </c>
      <c r="D43" s="24">
        <v>-39226.120000000003</v>
      </c>
      <c r="E43" s="29">
        <f>+'Protected EDIT Gross up'!R148</f>
        <v>63083.489999999991</v>
      </c>
      <c r="F43" s="29">
        <f t="shared" ref="F43:F52" si="9">ROUND(H42*VLOOKUP(A43,TAXINT21,2)/365*VLOOKUP(A43,TAXINT21,3),2)</f>
        <v>0</v>
      </c>
      <c r="H43" s="32">
        <f t="shared" ref="H43:H52" si="10">SUM(D43:G43)+H42</f>
        <v>-78704.940000000031</v>
      </c>
      <c r="I43" s="135"/>
      <c r="J43" s="2">
        <v>-78704.94</v>
      </c>
      <c r="K43" s="24">
        <f t="shared" ref="K43:K52" si="11">J43-H43</f>
        <v>0</v>
      </c>
      <c r="L43" s="25" t="s">
        <v>98</v>
      </c>
      <c r="M43" s="128">
        <v>44232</v>
      </c>
    </row>
    <row r="44" spans="1:14" x14ac:dyDescent="0.2">
      <c r="A44" s="28">
        <f>'TAX Interest Rates'!A47</f>
        <v>44255</v>
      </c>
      <c r="B44" s="47" t="s">
        <v>103</v>
      </c>
      <c r="C44" s="46">
        <f>+'Protected EDIT Gross up'!R37</f>
        <v>86995469</v>
      </c>
      <c r="D44" s="24">
        <v>-39226.120000000003</v>
      </c>
      <c r="E44" s="29">
        <f>+'Protected EDIT Gross up'!R149</f>
        <v>59343.28</v>
      </c>
      <c r="F44" s="29">
        <f t="shared" si="9"/>
        <v>0</v>
      </c>
      <c r="H44" s="32">
        <f t="shared" si="10"/>
        <v>-58587.780000000035</v>
      </c>
      <c r="I44" s="135"/>
      <c r="J44" s="2">
        <v>-58587.78</v>
      </c>
      <c r="K44" s="24">
        <f t="shared" si="11"/>
        <v>0</v>
      </c>
      <c r="L44" s="25" t="s">
        <v>98</v>
      </c>
      <c r="M44" s="128">
        <v>44263</v>
      </c>
    </row>
    <row r="45" spans="1:14" x14ac:dyDescent="0.2">
      <c r="A45" s="28">
        <f>'TAX Interest Rates'!A48</f>
        <v>44286</v>
      </c>
      <c r="B45" s="47" t="s">
        <v>103</v>
      </c>
      <c r="C45" s="46">
        <f>+'Protected EDIT Gross up'!R38</f>
        <v>103209019</v>
      </c>
      <c r="D45" s="24">
        <v>-39226.120000000003</v>
      </c>
      <c r="E45" s="29">
        <f>+'Protected EDIT Gross up'!R150</f>
        <v>65017.179999999993</v>
      </c>
      <c r="F45" s="29">
        <f t="shared" si="9"/>
        <v>0</v>
      </c>
      <c r="H45" s="32">
        <f t="shared" si="10"/>
        <v>-32796.720000000045</v>
      </c>
      <c r="I45" s="135"/>
      <c r="J45" s="2">
        <v>-32796.720000000001</v>
      </c>
      <c r="K45" s="24">
        <f t="shared" si="11"/>
        <v>0</v>
      </c>
      <c r="L45" s="25" t="s">
        <v>98</v>
      </c>
      <c r="M45" s="128">
        <v>44293</v>
      </c>
    </row>
    <row r="46" spans="1:14" x14ac:dyDescent="0.2">
      <c r="A46" s="28">
        <f>'TAX Interest Rates'!A49</f>
        <v>44316</v>
      </c>
      <c r="B46" s="47" t="s">
        <v>103</v>
      </c>
      <c r="C46" s="46">
        <f>+'Protected EDIT Gross up'!R39</f>
        <v>89581135</v>
      </c>
      <c r="D46" s="24">
        <v>-39226.120000000003</v>
      </c>
      <c r="E46" s="29">
        <f>+'Protected EDIT Gross up'!R151</f>
        <v>47904.69</v>
      </c>
      <c r="F46" s="29">
        <f t="shared" si="9"/>
        <v>0</v>
      </c>
      <c r="H46" s="32">
        <f t="shared" si="10"/>
        <v>-24118.150000000045</v>
      </c>
      <c r="I46" s="135"/>
      <c r="J46" s="2">
        <v>-24118.15</v>
      </c>
      <c r="K46" s="24">
        <f t="shared" si="11"/>
        <v>4.3655745685100555E-11</v>
      </c>
      <c r="L46" s="25" t="s">
        <v>98</v>
      </c>
      <c r="M46" s="128">
        <v>44326</v>
      </c>
    </row>
    <row r="47" spans="1:14" x14ac:dyDescent="0.2">
      <c r="A47" s="28">
        <f>'TAX Interest Rates'!A50</f>
        <v>44347</v>
      </c>
      <c r="B47" s="47" t="s">
        <v>103</v>
      </c>
      <c r="C47" s="46">
        <f>+'Protected EDIT Gross up'!R40</f>
        <v>56228122</v>
      </c>
      <c r="D47" s="24">
        <v>-39226.120000000003</v>
      </c>
      <c r="E47" s="29">
        <f>+'Protected EDIT Gross up'!R152</f>
        <v>26028.140000000003</v>
      </c>
      <c r="F47" s="29">
        <f t="shared" si="9"/>
        <v>0</v>
      </c>
      <c r="H47" s="32">
        <f t="shared" si="10"/>
        <v>-37316.130000000048</v>
      </c>
      <c r="I47" s="135"/>
      <c r="J47" s="2">
        <v>-37316.129999999997</v>
      </c>
      <c r="K47" s="24">
        <f t="shared" si="11"/>
        <v>0</v>
      </c>
      <c r="L47" s="25" t="s">
        <v>98</v>
      </c>
      <c r="M47" s="128">
        <v>44354</v>
      </c>
    </row>
    <row r="48" spans="1:14" x14ac:dyDescent="0.2">
      <c r="A48" s="28">
        <f>'TAX Interest Rates'!A51</f>
        <v>44377</v>
      </c>
      <c r="B48" s="47" t="s">
        <v>103</v>
      </c>
      <c r="C48" s="46">
        <f>+'Protected EDIT Gross up'!R41</f>
        <v>68779022</v>
      </c>
      <c r="D48" s="129">
        <v>-85098.49</v>
      </c>
      <c r="E48" s="29">
        <f>+'Protected EDIT Gross up'!R153</f>
        <v>24410.06</v>
      </c>
      <c r="F48" s="29">
        <f t="shared" si="9"/>
        <v>0</v>
      </c>
      <c r="H48" s="32">
        <f t="shared" si="10"/>
        <v>-98004.560000000056</v>
      </c>
      <c r="I48" s="135"/>
      <c r="J48" s="2">
        <v>-98004.56</v>
      </c>
      <c r="K48" s="24">
        <f t="shared" si="11"/>
        <v>0</v>
      </c>
      <c r="L48" s="25" t="s">
        <v>98</v>
      </c>
      <c r="M48" s="128">
        <v>44386</v>
      </c>
      <c r="N48" s="130" t="s">
        <v>108</v>
      </c>
    </row>
    <row r="49" spans="1:13" x14ac:dyDescent="0.2">
      <c r="A49" s="28">
        <f>'TAX Interest Rates'!A52</f>
        <v>44408</v>
      </c>
      <c r="B49" s="47" t="s">
        <v>103</v>
      </c>
      <c r="C49" s="46">
        <f>+'Protected EDIT Gross up'!R42</f>
        <v>72135275</v>
      </c>
      <c r="D49" s="24">
        <v>-44076.68</v>
      </c>
      <c r="E49" s="29">
        <f>+'Protected EDIT Gross up'!R154</f>
        <v>19688.540000000005</v>
      </c>
      <c r="F49" s="29">
        <f t="shared" si="9"/>
        <v>0</v>
      </c>
      <c r="H49" s="32">
        <f t="shared" si="10"/>
        <v>-122392.70000000006</v>
      </c>
      <c r="I49" s="135"/>
      <c r="J49" s="2">
        <v>-122392.7</v>
      </c>
      <c r="K49" s="24">
        <f t="shared" si="11"/>
        <v>0</v>
      </c>
      <c r="L49" s="25" t="s">
        <v>98</v>
      </c>
      <c r="M49" s="128">
        <v>44417</v>
      </c>
    </row>
    <row r="50" spans="1:13" x14ac:dyDescent="0.2">
      <c r="A50" s="28">
        <f>'TAX Interest Rates'!A53</f>
        <v>44439</v>
      </c>
      <c r="B50" s="47" t="s">
        <v>103</v>
      </c>
      <c r="C50" s="46">
        <f>+'Protected EDIT Gross up'!R43</f>
        <v>70764185</v>
      </c>
      <c r="D50" s="24">
        <v>-44076.68</v>
      </c>
      <c r="E50" s="29">
        <f>+'Protected EDIT Gross up'!R155</f>
        <v>18667.52</v>
      </c>
      <c r="F50" s="29">
        <f t="shared" si="9"/>
        <v>0</v>
      </c>
      <c r="H50" s="32">
        <f t="shared" si="10"/>
        <v>-147801.86000000004</v>
      </c>
      <c r="I50" s="135"/>
      <c r="J50" s="2">
        <v>-147801.85999999999</v>
      </c>
      <c r="K50" s="24">
        <f t="shared" si="11"/>
        <v>0</v>
      </c>
      <c r="L50" s="25" t="s">
        <v>98</v>
      </c>
      <c r="M50" s="128">
        <v>44448</v>
      </c>
    </row>
    <row r="51" spans="1:13" x14ac:dyDescent="0.2">
      <c r="A51" s="28">
        <f>'TAX Interest Rates'!A54</f>
        <v>44469</v>
      </c>
      <c r="B51" s="47" t="s">
        <v>103</v>
      </c>
      <c r="C51" s="46">
        <f>+'Protected EDIT Gross up'!R44</f>
        <v>71864038</v>
      </c>
      <c r="D51" s="24">
        <v>-44076.68</v>
      </c>
      <c r="E51" s="29">
        <f>+'Protected EDIT Gross up'!R156</f>
        <v>19761.5</v>
      </c>
      <c r="F51" s="29">
        <f t="shared" si="9"/>
        <v>0</v>
      </c>
      <c r="H51" s="32">
        <f t="shared" si="10"/>
        <v>-172117.04000000004</v>
      </c>
      <c r="I51" s="135"/>
      <c r="J51" s="2">
        <v>-172117.04</v>
      </c>
      <c r="K51" s="24">
        <f t="shared" si="11"/>
        <v>0</v>
      </c>
      <c r="L51" s="25" t="s">
        <v>98</v>
      </c>
      <c r="M51" s="128">
        <v>44476</v>
      </c>
    </row>
    <row r="52" spans="1:13" x14ac:dyDescent="0.2">
      <c r="A52" s="28">
        <f>'TAX Interest Rates'!A55</f>
        <v>44500</v>
      </c>
      <c r="B52" s="47" t="s">
        <v>103</v>
      </c>
      <c r="C52" s="46">
        <f>+'Protected EDIT Gross up'!R45</f>
        <v>72338720</v>
      </c>
      <c r="D52" s="24">
        <v>-44076.68</v>
      </c>
      <c r="E52" s="29">
        <f>+'Protected EDIT Gross up'!R157</f>
        <v>25516.279999999995</v>
      </c>
      <c r="F52" s="29">
        <f t="shared" si="9"/>
        <v>0</v>
      </c>
      <c r="H52" s="32">
        <f t="shared" si="10"/>
        <v>-190677.44000000003</v>
      </c>
      <c r="I52" s="135"/>
      <c r="J52" s="2">
        <v>-190677.44</v>
      </c>
      <c r="K52" s="24">
        <f t="shared" si="11"/>
        <v>0</v>
      </c>
      <c r="L52" s="25" t="s">
        <v>98</v>
      </c>
      <c r="M52" s="128">
        <v>44505</v>
      </c>
    </row>
    <row r="53" spans="1:13" x14ac:dyDescent="0.2">
      <c r="A53" s="28">
        <f>'TAX Interest Rates'!A56</f>
        <v>44530</v>
      </c>
      <c r="B53" s="47" t="s">
        <v>103</v>
      </c>
      <c r="C53" s="46">
        <f>+'Protected EDIT Gross up'!R46+'Protected EDIT Gross up'!R47</f>
        <v>75721245</v>
      </c>
      <c r="D53" s="24">
        <v>-44076.68</v>
      </c>
      <c r="E53" s="29">
        <f>+'Protected EDIT Gross up'!R158+'Protected EDIT Gross up'!R159</f>
        <v>37252.490000000005</v>
      </c>
      <c r="F53" s="29">
        <f t="shared" ref="F53" si="12">ROUND(H52*VLOOKUP(A53,TAXINT21,2)/365*VLOOKUP(A53,TAXINT21,3),2)</f>
        <v>0</v>
      </c>
      <c r="H53" s="32">
        <f t="shared" ref="H53" si="13">SUM(D53:G53)+H52</f>
        <v>-197501.63000000003</v>
      </c>
      <c r="I53" s="135"/>
      <c r="J53" s="2">
        <v>-197501.63</v>
      </c>
      <c r="K53" s="24">
        <f t="shared" ref="K53" si="14">J53-H53</f>
        <v>0</v>
      </c>
      <c r="L53" s="25" t="s">
        <v>98</v>
      </c>
      <c r="M53" s="128">
        <v>44538</v>
      </c>
    </row>
    <row r="54" spans="1:13" x14ac:dyDescent="0.2">
      <c r="A54" s="28">
        <f>'TAX Interest Rates'!A57</f>
        <v>44561</v>
      </c>
      <c r="B54" s="47" t="s">
        <v>103</v>
      </c>
      <c r="C54" s="46">
        <f>+'Protected EDIT Gross up'!R48</f>
        <v>83926722</v>
      </c>
      <c r="D54" s="24">
        <v>-81912.3</v>
      </c>
      <c r="E54" s="29">
        <f>+'Protected EDIT Gross up'!R160</f>
        <v>55436.26</v>
      </c>
      <c r="F54" s="29">
        <f t="shared" ref="F54:F64" si="15">ROUND(H53*VLOOKUP(A54,TAXINT21,2)/365*VLOOKUP(A54,TAXINT21,3),2)</f>
        <v>0</v>
      </c>
      <c r="H54" s="32">
        <f t="shared" ref="H54:H64" si="16">SUM(D54:G54)+H53</f>
        <v>-223977.67000000004</v>
      </c>
      <c r="I54" s="135"/>
      <c r="J54" s="2">
        <v>-223977.67</v>
      </c>
      <c r="K54" s="24">
        <f t="shared" ref="K54:K64" si="17">J54-H54</f>
        <v>0</v>
      </c>
      <c r="L54" s="25" t="s">
        <v>98</v>
      </c>
      <c r="M54" s="128">
        <v>44567</v>
      </c>
    </row>
    <row r="55" spans="1:13" x14ac:dyDescent="0.2">
      <c r="A55" s="28">
        <f>'TAX Interest Rates'!A58</f>
        <v>44592</v>
      </c>
      <c r="B55" s="47" t="s">
        <v>103</v>
      </c>
      <c r="C55" s="46">
        <f>+'Protected EDIT Gross up'!R49</f>
        <v>95413022</v>
      </c>
      <c r="D55" s="24">
        <v>-44781.89</v>
      </c>
      <c r="E55" s="29">
        <f>+'Protected EDIT Gross up'!R161</f>
        <v>81357.119999999981</v>
      </c>
      <c r="F55" s="29">
        <f t="shared" si="15"/>
        <v>0</v>
      </c>
      <c r="H55" s="32">
        <f t="shared" si="16"/>
        <v>-187402.44000000006</v>
      </c>
      <c r="I55" s="135"/>
      <c r="J55" s="2">
        <v>-187402.44</v>
      </c>
      <c r="K55" s="24">
        <f t="shared" si="17"/>
        <v>0</v>
      </c>
      <c r="L55" s="25" t="s">
        <v>98</v>
      </c>
      <c r="M55" s="128">
        <v>44600</v>
      </c>
    </row>
    <row r="56" spans="1:13" x14ac:dyDescent="0.2">
      <c r="A56" s="28">
        <f>'TAX Interest Rates'!A59</f>
        <v>44620</v>
      </c>
      <c r="B56" s="47" t="s">
        <v>103</v>
      </c>
      <c r="C56" s="46">
        <f>+'Protected EDIT Gross up'!R50</f>
        <v>85017241</v>
      </c>
      <c r="D56" s="24">
        <v>-44781.89</v>
      </c>
      <c r="E56" s="29">
        <f>+'Protected EDIT Gross up'!R162</f>
        <v>64558.049999999996</v>
      </c>
      <c r="F56" s="29">
        <f t="shared" si="15"/>
        <v>0</v>
      </c>
      <c r="H56" s="32">
        <f t="shared" si="16"/>
        <v>-167626.28000000006</v>
      </c>
      <c r="I56" s="135"/>
      <c r="J56" s="2">
        <v>-167626.28</v>
      </c>
      <c r="K56" s="24">
        <f t="shared" si="17"/>
        <v>0</v>
      </c>
      <c r="L56" s="25" t="s">
        <v>98</v>
      </c>
      <c r="M56" s="128">
        <v>44627</v>
      </c>
    </row>
    <row r="57" spans="1:13" x14ac:dyDescent="0.2">
      <c r="A57" s="28">
        <f>'TAX Interest Rates'!A60</f>
        <v>44651</v>
      </c>
      <c r="B57" s="47" t="s">
        <v>103</v>
      </c>
      <c r="C57" s="46">
        <f>+'Protected EDIT Gross up'!R51</f>
        <v>84723347</v>
      </c>
      <c r="D57" s="24">
        <v>-44781.89</v>
      </c>
      <c r="E57" s="29">
        <f>+'Protected EDIT Gross up'!R163</f>
        <v>62970.1</v>
      </c>
      <c r="F57" s="29">
        <f t="shared" si="15"/>
        <v>0</v>
      </c>
      <c r="H57" s="32">
        <f t="shared" si="16"/>
        <v>-149438.07000000007</v>
      </c>
      <c r="I57" s="135"/>
      <c r="J57" s="2">
        <v>-149438.07</v>
      </c>
      <c r="K57" s="24">
        <f t="shared" si="17"/>
        <v>0</v>
      </c>
      <c r="L57" s="25" t="s">
        <v>98</v>
      </c>
      <c r="M57" s="128">
        <v>44658</v>
      </c>
    </row>
    <row r="58" spans="1:13" x14ac:dyDescent="0.2">
      <c r="A58" s="28">
        <f>'TAX Interest Rates'!A61</f>
        <v>44681</v>
      </c>
      <c r="B58" s="47" t="s">
        <v>103</v>
      </c>
      <c r="C58" s="46">
        <f>+'Protected EDIT Gross up'!R52</f>
        <v>74032012</v>
      </c>
      <c r="D58" s="24">
        <v>-44781.89</v>
      </c>
      <c r="E58" s="29">
        <f>+'Protected EDIT Gross up'!R164</f>
        <v>44316.840000000004</v>
      </c>
      <c r="F58" s="29">
        <f t="shared" si="15"/>
        <v>0</v>
      </c>
      <c r="H58" s="32">
        <f t="shared" si="16"/>
        <v>-149903.12000000005</v>
      </c>
      <c r="I58" s="135"/>
      <c r="J58" s="2">
        <v>-149903.12</v>
      </c>
      <c r="K58" s="24">
        <f t="shared" si="17"/>
        <v>0</v>
      </c>
      <c r="L58" s="25" t="s">
        <v>98</v>
      </c>
      <c r="M58" s="128">
        <v>44687</v>
      </c>
    </row>
    <row r="59" spans="1:13" x14ac:dyDescent="0.2">
      <c r="A59" s="28">
        <f>'TAX Interest Rates'!A62</f>
        <v>44712</v>
      </c>
      <c r="B59" s="47" t="s">
        <v>103</v>
      </c>
      <c r="C59" s="46">
        <f>+'Protected EDIT Gross up'!R53</f>
        <v>63470461</v>
      </c>
      <c r="D59" s="24">
        <v>-44781.89</v>
      </c>
      <c r="E59" s="29">
        <f>+'Protected EDIT Gross up'!R165</f>
        <v>38014.859999999993</v>
      </c>
      <c r="F59" s="29">
        <f t="shared" si="15"/>
        <v>0</v>
      </c>
      <c r="H59" s="32">
        <f t="shared" si="16"/>
        <v>-156670.15000000005</v>
      </c>
      <c r="I59" s="135"/>
      <c r="J59" s="2">
        <v>-156670.15</v>
      </c>
      <c r="K59" s="24">
        <f t="shared" si="17"/>
        <v>0</v>
      </c>
      <c r="L59" s="25" t="s">
        <v>98</v>
      </c>
      <c r="M59" s="128">
        <v>44719</v>
      </c>
    </row>
    <row r="60" spans="1:13" x14ac:dyDescent="0.2">
      <c r="A60" s="28">
        <f>'TAX Interest Rates'!A63</f>
        <v>44742</v>
      </c>
      <c r="B60" s="47" t="s">
        <v>103</v>
      </c>
      <c r="C60" s="46">
        <f>+'Protected EDIT Gross up'!R54</f>
        <v>47634752</v>
      </c>
      <c r="D60" s="24">
        <v>-44781.89</v>
      </c>
      <c r="E60" s="29">
        <f>+'Protected EDIT Gross up'!R166</f>
        <v>25148.660000000003</v>
      </c>
      <c r="F60" s="29">
        <f t="shared" si="15"/>
        <v>0</v>
      </c>
      <c r="H60" s="32">
        <f t="shared" si="16"/>
        <v>-176303.38000000006</v>
      </c>
      <c r="I60" s="135"/>
      <c r="J60" s="2">
        <v>-176303.38</v>
      </c>
      <c r="K60" s="24">
        <f t="shared" si="17"/>
        <v>0</v>
      </c>
      <c r="L60" s="25" t="s">
        <v>98</v>
      </c>
      <c r="M60" s="128">
        <v>44750</v>
      </c>
    </row>
    <row r="61" spans="1:13" x14ac:dyDescent="0.2">
      <c r="A61" s="28">
        <f>'TAX Interest Rates'!A64</f>
        <v>44773</v>
      </c>
      <c r="B61" s="47" t="s">
        <v>103</v>
      </c>
      <c r="C61" s="46">
        <f>+'Protected EDIT Gross up'!R55</f>
        <v>58304460</v>
      </c>
      <c r="D61" s="24">
        <v>-44781.89</v>
      </c>
      <c r="E61" s="29">
        <f>+'Protected EDIT Gross up'!R167</f>
        <v>19801.830000000002</v>
      </c>
      <c r="F61" s="29">
        <f t="shared" si="15"/>
        <v>0</v>
      </c>
      <c r="H61" s="32">
        <f t="shared" si="16"/>
        <v>-201283.44000000006</v>
      </c>
      <c r="I61" s="135"/>
      <c r="J61" s="2">
        <v>-201283.44</v>
      </c>
      <c r="K61" s="24">
        <f t="shared" si="17"/>
        <v>0</v>
      </c>
      <c r="L61" s="25" t="s">
        <v>98</v>
      </c>
      <c r="M61" s="128">
        <v>44791</v>
      </c>
    </row>
    <row r="62" spans="1:13" x14ac:dyDescent="0.2">
      <c r="A62" s="28">
        <f>'TAX Interest Rates'!A65</f>
        <v>44804</v>
      </c>
      <c r="B62" s="47" t="s">
        <v>103</v>
      </c>
      <c r="C62" s="163">
        <f>+'Protected EDIT Gross up'!R56</f>
        <v>69229224</v>
      </c>
      <c r="D62" s="24">
        <v>-44781.89</v>
      </c>
      <c r="E62" s="29">
        <f>+'Protected EDIT Gross up'!R168</f>
        <v>20233.329999999998</v>
      </c>
      <c r="F62" s="29">
        <f t="shared" si="15"/>
        <v>0</v>
      </c>
      <c r="H62" s="32">
        <f t="shared" si="16"/>
        <v>-225832.00000000006</v>
      </c>
      <c r="I62" s="135"/>
      <c r="J62" s="2">
        <v>-222204.45</v>
      </c>
      <c r="K62" s="24">
        <f t="shared" si="17"/>
        <v>3627.5500000000466</v>
      </c>
      <c r="L62" s="25" t="s">
        <v>98</v>
      </c>
      <c r="M62" s="128">
        <v>44813</v>
      </c>
    </row>
    <row r="63" spans="1:13" x14ac:dyDescent="0.2">
      <c r="A63" s="28">
        <f>'TAX Interest Rates'!A66</f>
        <v>44834</v>
      </c>
      <c r="B63" s="47" t="s">
        <v>103</v>
      </c>
      <c r="C63" s="163">
        <f>+'Protected EDIT Gross up'!R57</f>
        <v>-64810056</v>
      </c>
      <c r="D63" s="24"/>
      <c r="E63" s="29">
        <f>+'Protected EDIT Gross up'!R169</f>
        <v>-14129.25</v>
      </c>
      <c r="F63" s="29">
        <f t="shared" si="15"/>
        <v>0</v>
      </c>
      <c r="H63" s="32">
        <f t="shared" si="16"/>
        <v>-239961.25000000006</v>
      </c>
      <c r="I63" s="135"/>
      <c r="K63" s="24">
        <f t="shared" si="17"/>
        <v>239961.25000000006</v>
      </c>
      <c r="M63" s="128"/>
    </row>
    <row r="64" spans="1:13" x14ac:dyDescent="0.2">
      <c r="A64" s="28">
        <f>'TAX Interest Rates'!A67</f>
        <v>44865</v>
      </c>
      <c r="B64" s="47" t="s">
        <v>103</v>
      </c>
      <c r="C64" s="163">
        <f>+'Protected EDIT Gross up'!R58</f>
        <v>0</v>
      </c>
      <c r="D64" s="24"/>
      <c r="E64" s="29">
        <f>+'Protected EDIT Gross up'!R170</f>
        <v>0</v>
      </c>
      <c r="F64" s="29">
        <f t="shared" si="15"/>
        <v>0</v>
      </c>
      <c r="H64" s="32">
        <f t="shared" si="16"/>
        <v>-239961.25000000006</v>
      </c>
      <c r="I64" s="135"/>
      <c r="K64" s="24">
        <f t="shared" si="17"/>
        <v>239961.25000000006</v>
      </c>
      <c r="M64" s="128"/>
    </row>
  </sheetData>
  <mergeCells count="18">
    <mergeCell ref="A1:B1"/>
    <mergeCell ref="C1:H1"/>
    <mergeCell ref="A2:B2"/>
    <mergeCell ref="C2:H2"/>
    <mergeCell ref="A3:B3"/>
    <mergeCell ref="C3:H3"/>
    <mergeCell ref="A13:F13"/>
    <mergeCell ref="A4:B4"/>
    <mergeCell ref="C4:H4"/>
    <mergeCell ref="A5:B5"/>
    <mergeCell ref="C5:H5"/>
    <mergeCell ref="A6:B6"/>
    <mergeCell ref="C6:H6"/>
    <mergeCell ref="J4:M6"/>
    <mergeCell ref="A7:B7"/>
    <mergeCell ref="C7:H7"/>
    <mergeCell ref="D9:F9"/>
    <mergeCell ref="A12:F12"/>
  </mergeCells>
  <pageMargins left="0.7" right="0.7" top="0.75" bottom="0.75" header="0.3" footer="0.3"/>
  <pageSetup scale="84" fitToHeight="0" orientation="landscape" r:id="rId1"/>
  <headerFooter>
    <oddFooter>&amp;LWA Tax Amort&amp;C&amp;A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AD170"/>
  <sheetViews>
    <sheetView view="pageBreakPreview" zoomScaleNormal="100" zoomScaleSheetLayoutView="100" workbookViewId="0">
      <selection activeCell="L164" sqref="L164"/>
    </sheetView>
  </sheetViews>
  <sheetFormatPr defaultColWidth="8.88671875" defaultRowHeight="12.75" x14ac:dyDescent="0.2"/>
  <cols>
    <col min="1" max="1" width="6.21875" style="2" customWidth="1"/>
    <col min="2" max="2" width="8.77734375" style="2" customWidth="1"/>
    <col min="3" max="3" width="8" style="2" hidden="1" customWidth="1"/>
    <col min="4" max="4" width="8.21875" style="2" bestFit="1" customWidth="1"/>
    <col min="5" max="6" width="8" style="2" customWidth="1"/>
    <col min="7" max="7" width="9" style="2" bestFit="1" customWidth="1"/>
    <col min="8" max="8" width="8.77734375" style="2" bestFit="1" customWidth="1"/>
    <col min="9" max="10" width="8" style="2" hidden="1" customWidth="1"/>
    <col min="11" max="11" width="8" style="2" customWidth="1"/>
    <col min="12" max="12" width="9.6640625" style="2" customWidth="1"/>
    <col min="13" max="13" width="9.5546875" style="2" bestFit="1" customWidth="1"/>
    <col min="14" max="14" width="9.6640625" style="2" customWidth="1"/>
    <col min="15" max="15" width="8.88671875" style="2" customWidth="1"/>
    <col min="16" max="16" width="5.6640625" style="2" hidden="1" customWidth="1"/>
    <col min="17" max="17" width="1.77734375" style="2" customWidth="1"/>
    <col min="18" max="18" width="9.77734375" style="2" customWidth="1"/>
    <col min="19" max="19" width="6.88671875" style="2" customWidth="1"/>
    <col min="20" max="16384" width="8.88671875" style="2"/>
  </cols>
  <sheetData>
    <row r="2" spans="1:19" ht="15.75" customHeight="1" x14ac:dyDescent="0.2">
      <c r="B2" s="136">
        <v>4800</v>
      </c>
      <c r="C2" s="213">
        <v>4809</v>
      </c>
      <c r="D2" s="214"/>
      <c r="E2" s="215"/>
      <c r="F2" s="213">
        <v>4810</v>
      </c>
      <c r="G2" s="214"/>
      <c r="H2" s="215"/>
      <c r="I2" s="213">
        <v>4811</v>
      </c>
      <c r="J2" s="215"/>
      <c r="K2" s="137">
        <v>4813</v>
      </c>
      <c r="L2" s="137">
        <v>4861</v>
      </c>
      <c r="M2" s="213">
        <v>4863</v>
      </c>
      <c r="N2" s="214"/>
      <c r="O2" s="214"/>
      <c r="P2" s="215"/>
    </row>
    <row r="3" spans="1:19" x14ac:dyDescent="0.2">
      <c r="B3" s="138">
        <v>503</v>
      </c>
      <c r="C3" s="139" t="s">
        <v>38</v>
      </c>
      <c r="D3" s="139">
        <v>505</v>
      </c>
      <c r="E3" s="140">
        <v>511</v>
      </c>
      <c r="F3" s="139" t="s">
        <v>39</v>
      </c>
      <c r="G3" s="139">
        <v>504</v>
      </c>
      <c r="H3" s="140" t="s">
        <v>41</v>
      </c>
      <c r="I3" s="139" t="s">
        <v>38</v>
      </c>
      <c r="J3" s="140">
        <v>570</v>
      </c>
      <c r="K3" s="138">
        <v>570</v>
      </c>
      <c r="L3" s="154" t="s">
        <v>42</v>
      </c>
      <c r="M3" s="142">
        <v>6631</v>
      </c>
      <c r="N3" s="142">
        <v>6633</v>
      </c>
      <c r="O3" s="142">
        <v>6635</v>
      </c>
      <c r="P3" s="143">
        <v>916</v>
      </c>
      <c r="R3" s="144" t="s">
        <v>51</v>
      </c>
    </row>
    <row r="4" spans="1:19" hidden="1" x14ac:dyDescent="0.2">
      <c r="A4" s="145">
        <v>43343</v>
      </c>
      <c r="B4" s="146">
        <f>+'Therm Sales Master'!B123</f>
        <v>996895</v>
      </c>
      <c r="C4" s="147">
        <f>+'Therm Sales Master'!D123</f>
        <v>0</v>
      </c>
      <c r="D4" s="147">
        <f>+'Therm Sales Master'!E123</f>
        <v>160070</v>
      </c>
      <c r="E4" s="148">
        <f>+'Therm Sales Master'!F123</f>
        <v>88492</v>
      </c>
      <c r="F4" s="147">
        <f>+'Therm Sales Master'!G123</f>
        <v>158</v>
      </c>
      <c r="G4" s="147">
        <f>+'Therm Sales Master'!H123</f>
        <v>986030</v>
      </c>
      <c r="H4" s="148">
        <f>+'Therm Sales Master'!J123</f>
        <v>137321</v>
      </c>
      <c r="I4" s="147">
        <f>+'Therm Sales Master'!K123</f>
        <v>359</v>
      </c>
      <c r="J4" s="148">
        <f>+'Therm Sales Master'!L123</f>
        <v>0</v>
      </c>
      <c r="K4" s="146">
        <f>+'Therm Sales Master'!M123</f>
        <v>93391</v>
      </c>
      <c r="L4" s="146">
        <f>+'Therm Sales Master'!N123</f>
        <v>26924983</v>
      </c>
      <c r="M4" s="147">
        <f>+'Therm Sales Master'!O123</f>
        <v>0</v>
      </c>
      <c r="N4" s="147">
        <f>+'Therm Sales Master'!P123</f>
        <v>12762544</v>
      </c>
      <c r="O4" s="147">
        <f>+'Therm Sales Master'!Q123</f>
        <v>5293486</v>
      </c>
      <c r="P4" s="148">
        <f>+'Therm Sales Master'!R123</f>
        <v>14392902</v>
      </c>
      <c r="R4" s="149">
        <f t="shared" ref="R4:R15" si="0">SUM(B4:Q4)</f>
        <v>61836631</v>
      </c>
    </row>
    <row r="5" spans="1:19" hidden="1" x14ac:dyDescent="0.2">
      <c r="A5" s="145">
        <v>43373</v>
      </c>
      <c r="B5" s="146">
        <f>+'Therm Sales Master'!B124</f>
        <v>2809188</v>
      </c>
      <c r="C5" s="147">
        <f>+'Therm Sales Master'!D124</f>
        <v>-359</v>
      </c>
      <c r="D5" s="147">
        <f>+'Therm Sales Master'!E124</f>
        <v>648016</v>
      </c>
      <c r="E5" s="148">
        <f>+'Therm Sales Master'!F124</f>
        <v>241009</v>
      </c>
      <c r="F5" s="147">
        <f>+'Therm Sales Master'!G124</f>
        <v>501</v>
      </c>
      <c r="G5" s="147">
        <f>+'Therm Sales Master'!H124</f>
        <v>2784183</v>
      </c>
      <c r="H5" s="148">
        <f>+'Therm Sales Master'!J124</f>
        <v>384208</v>
      </c>
      <c r="I5" s="147">
        <f>+'Therm Sales Master'!K124</f>
        <v>547</v>
      </c>
      <c r="J5" s="148">
        <f>+'Therm Sales Master'!L124</f>
        <v>0</v>
      </c>
      <c r="K5" s="146">
        <f>+'Therm Sales Master'!M124</f>
        <v>118645</v>
      </c>
      <c r="L5" s="146">
        <f>+'Therm Sales Master'!N124</f>
        <v>30461110</v>
      </c>
      <c r="M5" s="147">
        <f>+'Therm Sales Master'!O124</f>
        <v>15312916</v>
      </c>
      <c r="N5" s="147">
        <f>+'Therm Sales Master'!P124</f>
        <v>14381027</v>
      </c>
      <c r="O5" s="147">
        <f>+'Therm Sales Master'!Q124</f>
        <v>2080893</v>
      </c>
      <c r="P5" s="148">
        <f>+'Therm Sales Master'!R124</f>
        <v>0</v>
      </c>
      <c r="R5" s="147">
        <f t="shared" si="0"/>
        <v>69221884</v>
      </c>
    </row>
    <row r="6" spans="1:19" hidden="1" x14ac:dyDescent="0.2">
      <c r="A6" s="145">
        <v>43404</v>
      </c>
      <c r="B6" s="146">
        <f>+'Therm Sales Master'!B125</f>
        <v>5307116</v>
      </c>
      <c r="C6" s="147">
        <f>+'Therm Sales Master'!D125</f>
        <v>0</v>
      </c>
      <c r="D6" s="147">
        <f>+'Therm Sales Master'!E125</f>
        <v>1031586</v>
      </c>
      <c r="E6" s="148">
        <f>+'Therm Sales Master'!F125</f>
        <v>447130</v>
      </c>
      <c r="F6" s="147">
        <f>+'Therm Sales Master'!G125</f>
        <v>2079</v>
      </c>
      <c r="G6" s="147">
        <f>+'Therm Sales Master'!H125</f>
        <v>4259766</v>
      </c>
      <c r="H6" s="148">
        <f>+'Therm Sales Master'!J125</f>
        <v>674628</v>
      </c>
      <c r="I6" s="147">
        <f>+'Therm Sales Master'!K125</f>
        <v>21</v>
      </c>
      <c r="J6" s="148">
        <f>+'Therm Sales Master'!L125</f>
        <v>0</v>
      </c>
      <c r="K6" s="146">
        <f>+'Therm Sales Master'!M125</f>
        <v>197742</v>
      </c>
      <c r="L6" s="146">
        <f>+'Therm Sales Master'!N125</f>
        <v>32448578</v>
      </c>
      <c r="M6" s="147">
        <f>+'Therm Sales Master'!O125</f>
        <v>7714309</v>
      </c>
      <c r="N6" s="147">
        <f>+'Therm Sales Master'!P125</f>
        <v>4034082</v>
      </c>
      <c r="O6" s="147">
        <f>+'Therm Sales Master'!Q125</f>
        <v>2001543</v>
      </c>
      <c r="P6" s="148">
        <f>+'Therm Sales Master'!R125</f>
        <v>0</v>
      </c>
      <c r="R6" s="147">
        <f t="shared" si="0"/>
        <v>58118580</v>
      </c>
    </row>
    <row r="7" spans="1:19" hidden="1" x14ac:dyDescent="0.2">
      <c r="A7" s="145">
        <v>43434</v>
      </c>
      <c r="B7" s="146">
        <f>+'Therm Sales Master'!B126</f>
        <v>5727490</v>
      </c>
      <c r="C7" s="147">
        <f>+'Therm Sales Master'!D126</f>
        <v>0</v>
      </c>
      <c r="D7" s="147">
        <f>+'Therm Sales Master'!E126</f>
        <v>691277</v>
      </c>
      <c r="E7" s="148">
        <f>+'Therm Sales Master'!F126</f>
        <v>107458</v>
      </c>
      <c r="F7" s="147">
        <f>+'Therm Sales Master'!G126</f>
        <v>0</v>
      </c>
      <c r="G7" s="147">
        <f>+'Therm Sales Master'!H126</f>
        <v>4031349</v>
      </c>
      <c r="H7" s="148">
        <f>+'Therm Sales Master'!J126</f>
        <v>459820</v>
      </c>
      <c r="I7" s="147">
        <f>+'Therm Sales Master'!K126</f>
        <v>0</v>
      </c>
      <c r="J7" s="148">
        <f>+'Therm Sales Master'!L126</f>
        <v>0</v>
      </c>
      <c r="K7" s="146">
        <f>+'Therm Sales Master'!M126</f>
        <v>0</v>
      </c>
      <c r="L7" s="146">
        <f>+'Therm Sales Master'!N126</f>
        <v>0</v>
      </c>
      <c r="M7" s="147">
        <f>+'Therm Sales Master'!O126</f>
        <v>0</v>
      </c>
      <c r="N7" s="147">
        <f>+'Therm Sales Master'!P126</f>
        <v>0</v>
      </c>
      <c r="O7" s="147">
        <f>+'Therm Sales Master'!Q126</f>
        <v>0</v>
      </c>
      <c r="P7" s="148">
        <f>+'Therm Sales Master'!R126</f>
        <v>0</v>
      </c>
      <c r="R7" s="147">
        <f t="shared" ref="R7" si="1">SUM(B7:Q7)</f>
        <v>11017394</v>
      </c>
      <c r="S7" s="2" t="s">
        <v>45</v>
      </c>
    </row>
    <row r="8" spans="1:19" hidden="1" x14ac:dyDescent="0.2">
      <c r="A8" s="145">
        <v>43434</v>
      </c>
      <c r="B8" s="146">
        <f>+'Therm Sales Master'!B127</f>
        <v>3233440</v>
      </c>
      <c r="C8" s="147">
        <f>+'Therm Sales Master'!D127</f>
        <v>63</v>
      </c>
      <c r="D8" s="147">
        <f>+'Therm Sales Master'!E127</f>
        <v>298083</v>
      </c>
      <c r="E8" s="148">
        <f>+'Therm Sales Master'!F127</f>
        <v>77569</v>
      </c>
      <c r="F8" s="147">
        <f>+'Therm Sales Master'!G127</f>
        <v>3464</v>
      </c>
      <c r="G8" s="147">
        <f>+'Therm Sales Master'!H127</f>
        <v>2122532</v>
      </c>
      <c r="H8" s="148">
        <f>+'Therm Sales Master'!J127</f>
        <v>331925</v>
      </c>
      <c r="I8" s="147">
        <f>+'Therm Sales Master'!K127</f>
        <v>0</v>
      </c>
      <c r="J8" s="148">
        <f>+'Therm Sales Master'!L127</f>
        <v>0</v>
      </c>
      <c r="K8" s="146">
        <f>+'Therm Sales Master'!M127</f>
        <v>217688</v>
      </c>
      <c r="L8" s="146">
        <f>+'Therm Sales Master'!N127</f>
        <v>25948738</v>
      </c>
      <c r="M8" s="147">
        <f>+'Therm Sales Master'!O127</f>
        <v>76766</v>
      </c>
      <c r="N8" s="147">
        <f>+'Therm Sales Master'!P127</f>
        <v>28205</v>
      </c>
      <c r="O8" s="147">
        <f>+'Therm Sales Master'!Q127</f>
        <v>33898</v>
      </c>
      <c r="P8" s="148">
        <f>+'Therm Sales Master'!R127</f>
        <v>0</v>
      </c>
      <c r="R8" s="147">
        <f t="shared" si="0"/>
        <v>32372371</v>
      </c>
      <c r="S8" s="2" t="s">
        <v>46</v>
      </c>
    </row>
    <row r="9" spans="1:19" hidden="1" x14ac:dyDescent="0.2">
      <c r="A9" s="145">
        <v>43465</v>
      </c>
      <c r="B9" s="146">
        <f>+'Therm Sales Master'!B128</f>
        <v>17031202</v>
      </c>
      <c r="C9" s="147">
        <f>+'Therm Sales Master'!D128</f>
        <v>-63</v>
      </c>
      <c r="D9" s="147">
        <f>+'Therm Sales Master'!E128</f>
        <v>1475293</v>
      </c>
      <c r="E9" s="148">
        <f>+'Therm Sales Master'!F128</f>
        <v>305292</v>
      </c>
      <c r="F9" s="147">
        <f>+'Therm Sales Master'!G128</f>
        <v>4915</v>
      </c>
      <c r="G9" s="147">
        <f>+'Therm Sales Master'!H128</f>
        <v>11460190</v>
      </c>
      <c r="H9" s="148">
        <f>+'Therm Sales Master'!J128</f>
        <v>1383646</v>
      </c>
      <c r="I9" s="147">
        <f>+'Therm Sales Master'!K128</f>
        <v>142</v>
      </c>
      <c r="J9" s="148">
        <f>+'Therm Sales Master'!L128</f>
        <v>0</v>
      </c>
      <c r="K9" s="146">
        <f>+'Therm Sales Master'!M128</f>
        <v>260482</v>
      </c>
      <c r="L9" s="146">
        <f>+'Therm Sales Master'!N128</f>
        <v>29346851</v>
      </c>
      <c r="M9" s="147">
        <f>+'Therm Sales Master'!O128</f>
        <v>14382579</v>
      </c>
      <c r="N9" s="147">
        <f>+'Therm Sales Master'!P128</f>
        <v>4450625</v>
      </c>
      <c r="O9" s="147">
        <f>+'Therm Sales Master'!Q128</f>
        <v>57483</v>
      </c>
      <c r="P9" s="148">
        <f>+'Therm Sales Master'!R128</f>
        <v>0</v>
      </c>
      <c r="R9" s="147">
        <f t="shared" si="0"/>
        <v>80158637</v>
      </c>
    </row>
    <row r="10" spans="1:19" hidden="1" x14ac:dyDescent="0.2">
      <c r="A10" s="145">
        <v>43496</v>
      </c>
      <c r="B10" s="146">
        <f>+'Therm Sales Master'!B129</f>
        <v>19425579</v>
      </c>
      <c r="C10" s="147">
        <f>+'Therm Sales Master'!D129</f>
        <v>0</v>
      </c>
      <c r="D10" s="147">
        <f>+'Therm Sales Master'!E129</f>
        <v>1433715</v>
      </c>
      <c r="E10" s="148">
        <f>+'Therm Sales Master'!F129</f>
        <v>330955</v>
      </c>
      <c r="F10" s="147">
        <f>+'Therm Sales Master'!G129</f>
        <v>4626</v>
      </c>
      <c r="G10" s="147">
        <f>+'Therm Sales Master'!H129</f>
        <v>13117967</v>
      </c>
      <c r="H10" s="148">
        <f>+'Therm Sales Master'!J129</f>
        <v>1477641</v>
      </c>
      <c r="I10" s="147">
        <f>+'Therm Sales Master'!K129</f>
        <v>7</v>
      </c>
      <c r="J10" s="148">
        <f>+'Therm Sales Master'!L129</f>
        <v>0</v>
      </c>
      <c r="K10" s="146">
        <f>+'Therm Sales Master'!M129</f>
        <v>258811</v>
      </c>
      <c r="L10" s="146">
        <f>+'Therm Sales Master'!N129</f>
        <v>31076934</v>
      </c>
      <c r="M10" s="147">
        <f>+'Therm Sales Master'!O129</f>
        <v>14944499</v>
      </c>
      <c r="N10" s="147">
        <f>+'Therm Sales Master'!P129</f>
        <v>4088088</v>
      </c>
      <c r="O10" s="147">
        <f>+'Therm Sales Master'!Q129</f>
        <v>106086</v>
      </c>
      <c r="P10" s="148">
        <f>+'Therm Sales Master'!R129</f>
        <v>0</v>
      </c>
      <c r="R10" s="147">
        <f t="shared" si="0"/>
        <v>86264908</v>
      </c>
    </row>
    <row r="11" spans="1:19" hidden="1" x14ac:dyDescent="0.2">
      <c r="A11" s="145">
        <v>43524</v>
      </c>
      <c r="B11" s="146">
        <f>+'Therm Sales Master'!B130</f>
        <v>20826493</v>
      </c>
      <c r="C11" s="147">
        <f>+'Therm Sales Master'!D130</f>
        <v>0</v>
      </c>
      <c r="D11" s="147">
        <f>+'Therm Sales Master'!E130</f>
        <v>1616149</v>
      </c>
      <c r="E11" s="148">
        <f>+'Therm Sales Master'!F130</f>
        <v>325966</v>
      </c>
      <c r="F11" s="147">
        <f>+'Therm Sales Master'!G130</f>
        <v>5486</v>
      </c>
      <c r="G11" s="147">
        <f>+'Therm Sales Master'!H130</f>
        <v>13988227</v>
      </c>
      <c r="H11" s="148">
        <f>+'Therm Sales Master'!J130</f>
        <v>1527495</v>
      </c>
      <c r="I11" s="147">
        <f>+'Therm Sales Master'!K130</f>
        <v>0</v>
      </c>
      <c r="J11" s="148">
        <f>+'Therm Sales Master'!L130</f>
        <v>0</v>
      </c>
      <c r="K11" s="146">
        <f>+'Therm Sales Master'!M130</f>
        <v>270184</v>
      </c>
      <c r="L11" s="146">
        <f>+'Therm Sales Master'!N130</f>
        <v>30225230</v>
      </c>
      <c r="M11" s="147">
        <f>+'Therm Sales Master'!O130</f>
        <v>7408861</v>
      </c>
      <c r="N11" s="147">
        <f>+'Therm Sales Master'!P130</f>
        <v>5846716</v>
      </c>
      <c r="O11" s="147">
        <f>+'Therm Sales Master'!Q130</f>
        <v>228696</v>
      </c>
      <c r="P11" s="148">
        <f>+'Therm Sales Master'!R130</f>
        <v>0</v>
      </c>
      <c r="R11" s="147">
        <f t="shared" si="0"/>
        <v>82269503</v>
      </c>
    </row>
    <row r="12" spans="1:19" hidden="1" x14ac:dyDescent="0.2">
      <c r="A12" s="145">
        <v>43555</v>
      </c>
      <c r="B12" s="146">
        <f>+'Therm Sales Master'!B131</f>
        <v>22406676</v>
      </c>
      <c r="C12" s="147">
        <f>+'Therm Sales Master'!D131</f>
        <v>0</v>
      </c>
      <c r="D12" s="147">
        <f>+'Therm Sales Master'!E131</f>
        <v>1794729</v>
      </c>
      <c r="E12" s="148">
        <f>+'Therm Sales Master'!F131</f>
        <v>344448</v>
      </c>
      <c r="F12" s="147">
        <f>+'Therm Sales Master'!G131</f>
        <v>3527</v>
      </c>
      <c r="G12" s="147">
        <f>+'Therm Sales Master'!H131</f>
        <v>15941825</v>
      </c>
      <c r="H12" s="148">
        <f>+'Therm Sales Master'!J131</f>
        <v>1650107</v>
      </c>
      <c r="I12" s="147">
        <f>+'Therm Sales Master'!K131</f>
        <v>0</v>
      </c>
      <c r="J12" s="148">
        <f>+'Therm Sales Master'!L131</f>
        <v>0</v>
      </c>
      <c r="K12" s="146">
        <f>+'Therm Sales Master'!M131</f>
        <v>248145</v>
      </c>
      <c r="L12" s="146">
        <f>+'Therm Sales Master'!N131</f>
        <v>29441177</v>
      </c>
      <c r="M12" s="147">
        <f>+'Therm Sales Master'!O131</f>
        <v>9817659</v>
      </c>
      <c r="N12" s="147">
        <f>+'Therm Sales Master'!P131</f>
        <v>3088142</v>
      </c>
      <c r="O12" s="147">
        <f>+'Therm Sales Master'!Q131</f>
        <v>0</v>
      </c>
      <c r="P12" s="148">
        <f>+'Therm Sales Master'!R131</f>
        <v>0</v>
      </c>
      <c r="R12" s="147">
        <f t="shared" si="0"/>
        <v>84736435</v>
      </c>
    </row>
    <row r="13" spans="1:19" hidden="1" x14ac:dyDescent="0.2">
      <c r="A13" s="145">
        <v>43585</v>
      </c>
      <c r="B13" s="146">
        <f>+'Therm Sales Master'!B132</f>
        <v>12262358</v>
      </c>
      <c r="C13" s="147">
        <f>+'Therm Sales Master'!D132</f>
        <v>0</v>
      </c>
      <c r="D13" s="147">
        <f>+'Therm Sales Master'!E132</f>
        <v>1331310</v>
      </c>
      <c r="E13" s="148">
        <f>+'Therm Sales Master'!F132</f>
        <v>339049</v>
      </c>
      <c r="F13" s="147">
        <f>+'Therm Sales Master'!G132</f>
        <v>2258</v>
      </c>
      <c r="G13" s="147">
        <f>+'Therm Sales Master'!H132</f>
        <v>9096547</v>
      </c>
      <c r="H13" s="148">
        <f>+'Therm Sales Master'!J132</f>
        <v>1028839</v>
      </c>
      <c r="I13" s="147">
        <f>+'Therm Sales Master'!K132</f>
        <v>128</v>
      </c>
      <c r="J13" s="148">
        <f>+'Therm Sales Master'!L132</f>
        <v>0</v>
      </c>
      <c r="K13" s="146">
        <f>+'Therm Sales Master'!M132</f>
        <v>191467</v>
      </c>
      <c r="L13" s="146">
        <f>+'Therm Sales Master'!N132</f>
        <v>27808927</v>
      </c>
      <c r="M13" s="147">
        <f>+'Therm Sales Master'!O132</f>
        <v>7594206</v>
      </c>
      <c r="N13" s="147">
        <f>+'Therm Sales Master'!P132</f>
        <v>2551096</v>
      </c>
      <c r="O13" s="147">
        <f>+'Therm Sales Master'!Q132</f>
        <v>24270</v>
      </c>
      <c r="P13" s="148">
        <f>+'Therm Sales Master'!R132</f>
        <v>0</v>
      </c>
      <c r="R13" s="147">
        <f t="shared" si="0"/>
        <v>62230455</v>
      </c>
    </row>
    <row r="14" spans="1:19" hidden="1" x14ac:dyDescent="0.2">
      <c r="A14" s="145">
        <v>43616</v>
      </c>
      <c r="B14" s="146">
        <f>+'Therm Sales Master'!B133</f>
        <v>7409569</v>
      </c>
      <c r="C14" s="147">
        <f>+'Therm Sales Master'!D133</f>
        <v>0</v>
      </c>
      <c r="D14" s="147">
        <f>+'Therm Sales Master'!E133</f>
        <v>789879</v>
      </c>
      <c r="E14" s="148">
        <f>+'Therm Sales Master'!F133</f>
        <v>267660</v>
      </c>
      <c r="F14" s="147">
        <f>+'Therm Sales Master'!G133</f>
        <v>645</v>
      </c>
      <c r="G14" s="147">
        <f>+'Therm Sales Master'!H133</f>
        <v>5370530</v>
      </c>
      <c r="H14" s="148">
        <f>+'Therm Sales Master'!J133</f>
        <v>692205</v>
      </c>
      <c r="I14" s="147">
        <f>+'Therm Sales Master'!K133</f>
        <v>151</v>
      </c>
      <c r="J14" s="148">
        <f>+'Therm Sales Master'!L133</f>
        <v>0</v>
      </c>
      <c r="K14" s="146">
        <f>+'Therm Sales Master'!M133</f>
        <v>142256</v>
      </c>
      <c r="L14" s="146">
        <f>+'Therm Sales Master'!N133</f>
        <v>29847911</v>
      </c>
      <c r="M14" s="147">
        <f>+'Therm Sales Master'!O133</f>
        <v>5340649</v>
      </c>
      <c r="N14" s="147">
        <f>+'Therm Sales Master'!P133</f>
        <v>381981</v>
      </c>
      <c r="O14" s="147">
        <f>+'Therm Sales Master'!Q133</f>
        <v>234043</v>
      </c>
      <c r="P14" s="148">
        <f>+'Therm Sales Master'!R133</f>
        <v>0</v>
      </c>
      <c r="R14" s="147">
        <f t="shared" si="0"/>
        <v>50477479</v>
      </c>
    </row>
    <row r="15" spans="1:19" hidden="1" x14ac:dyDescent="0.2">
      <c r="A15" s="145">
        <v>43646</v>
      </c>
      <c r="B15" s="146">
        <f>+'Therm Sales Master'!B134</f>
        <v>4046705</v>
      </c>
      <c r="C15" s="147">
        <f>+'Therm Sales Master'!D134</f>
        <v>0</v>
      </c>
      <c r="D15" s="147">
        <f>+'Therm Sales Master'!E134</f>
        <v>579038</v>
      </c>
      <c r="E15" s="148">
        <f>+'Therm Sales Master'!F134</f>
        <v>275040</v>
      </c>
      <c r="F15" s="147">
        <f>+'Therm Sales Master'!G134</f>
        <v>367</v>
      </c>
      <c r="G15" s="147">
        <f>+'Therm Sales Master'!H134</f>
        <v>3465484</v>
      </c>
      <c r="H15" s="148">
        <f>+'Therm Sales Master'!J134</f>
        <v>479946</v>
      </c>
      <c r="I15" s="147">
        <f>+'Therm Sales Master'!K134</f>
        <v>0</v>
      </c>
      <c r="J15" s="148">
        <f>+'Therm Sales Master'!L134</f>
        <v>0</v>
      </c>
      <c r="K15" s="146">
        <f>+'Therm Sales Master'!M134</f>
        <v>110987</v>
      </c>
      <c r="L15" s="146">
        <f>+'Therm Sales Master'!N134</f>
        <v>27060192</v>
      </c>
      <c r="M15" s="147">
        <f>+'Therm Sales Master'!O134</f>
        <v>7824546</v>
      </c>
      <c r="N15" s="147">
        <f>+'Therm Sales Master'!P134</f>
        <v>6776820</v>
      </c>
      <c r="O15" s="147">
        <f>+'Therm Sales Master'!Q134</f>
        <v>1112893</v>
      </c>
      <c r="P15" s="148">
        <f>+'Therm Sales Master'!R134</f>
        <v>0</v>
      </c>
      <c r="R15" s="147">
        <f t="shared" si="0"/>
        <v>51732018</v>
      </c>
    </row>
    <row r="16" spans="1:19" hidden="1" x14ac:dyDescent="0.2">
      <c r="A16" s="145">
        <v>43677</v>
      </c>
      <c r="B16" s="146">
        <f>+'Therm Sales Master'!B135</f>
        <v>3217527</v>
      </c>
      <c r="C16" s="147">
        <f>+'Therm Sales Master'!D135</f>
        <v>0</v>
      </c>
      <c r="D16" s="147">
        <f>+'Therm Sales Master'!E135</f>
        <v>537168</v>
      </c>
      <c r="E16" s="148">
        <f>+'Therm Sales Master'!F135</f>
        <v>315197</v>
      </c>
      <c r="F16" s="147">
        <f>+'Therm Sales Master'!G135</f>
        <v>155</v>
      </c>
      <c r="G16" s="147">
        <f>+'Therm Sales Master'!H135</f>
        <v>3054528</v>
      </c>
      <c r="H16" s="148">
        <f>+'Therm Sales Master'!J135</f>
        <v>406093</v>
      </c>
      <c r="I16" s="147">
        <f>+'Therm Sales Master'!K135</f>
        <v>163</v>
      </c>
      <c r="J16" s="148">
        <f>+'Therm Sales Master'!L135</f>
        <v>0</v>
      </c>
      <c r="K16" s="146">
        <f>+'Therm Sales Master'!M135</f>
        <v>120028</v>
      </c>
      <c r="L16" s="146">
        <f>+'Therm Sales Master'!N135</f>
        <v>26075307</v>
      </c>
      <c r="M16" s="147">
        <f>+'Therm Sales Master'!O135</f>
        <v>14501183</v>
      </c>
      <c r="N16" s="147">
        <f>+'Therm Sales Master'!P135</f>
        <v>14122838</v>
      </c>
      <c r="O16" s="147">
        <f>+'Therm Sales Master'!Q135</f>
        <v>5050508</v>
      </c>
      <c r="P16" s="148">
        <f>+'Therm Sales Master'!R135</f>
        <v>0</v>
      </c>
      <c r="R16" s="147">
        <f t="shared" ref="R16:R22" si="2">SUM(B16:Q16)</f>
        <v>67400695</v>
      </c>
    </row>
    <row r="17" spans="1:19" hidden="1" x14ac:dyDescent="0.2">
      <c r="A17" s="145">
        <v>43708</v>
      </c>
      <c r="B17" s="146">
        <f>+'Therm Sales Master'!B136</f>
        <v>2775098</v>
      </c>
      <c r="C17" s="147">
        <f>+'Therm Sales Master'!D136</f>
        <v>0</v>
      </c>
      <c r="D17" s="147">
        <f>+'Therm Sales Master'!E136</f>
        <v>564404</v>
      </c>
      <c r="E17" s="148">
        <f>+'Therm Sales Master'!F136</f>
        <v>350812</v>
      </c>
      <c r="F17" s="147">
        <f>+'Therm Sales Master'!G136</f>
        <v>138</v>
      </c>
      <c r="G17" s="147">
        <f>+'Therm Sales Master'!H136</f>
        <v>2791770</v>
      </c>
      <c r="H17" s="148">
        <f>+'Therm Sales Master'!J136</f>
        <v>400926</v>
      </c>
      <c r="I17" s="147">
        <f>+'Therm Sales Master'!K136</f>
        <v>0</v>
      </c>
      <c r="J17" s="148">
        <f>+'Therm Sales Master'!L136</f>
        <v>0</v>
      </c>
      <c r="K17" s="146">
        <f>+'Therm Sales Master'!M136</f>
        <v>93626</v>
      </c>
      <c r="L17" s="146">
        <f>+'Therm Sales Master'!N136</f>
        <v>28191126</v>
      </c>
      <c r="M17" s="147">
        <f>+'Therm Sales Master'!O136</f>
        <v>16164686</v>
      </c>
      <c r="N17" s="147">
        <f>+'Therm Sales Master'!P136</f>
        <v>15605297</v>
      </c>
      <c r="O17" s="147">
        <f>+'Therm Sales Master'!Q136</f>
        <v>9500954</v>
      </c>
      <c r="P17" s="148">
        <f>+'Therm Sales Master'!R136</f>
        <v>0</v>
      </c>
      <c r="R17" s="147">
        <f t="shared" si="2"/>
        <v>76438837</v>
      </c>
    </row>
    <row r="18" spans="1:19" hidden="1" x14ac:dyDescent="0.2">
      <c r="A18" s="145">
        <v>43738</v>
      </c>
      <c r="B18" s="146">
        <f>+'Therm Sales Master'!B137</f>
        <v>2691847</v>
      </c>
      <c r="C18" s="147">
        <f>+'Therm Sales Master'!D137</f>
        <v>0</v>
      </c>
      <c r="D18" s="147">
        <f>+'Therm Sales Master'!E137</f>
        <v>651984</v>
      </c>
      <c r="E18" s="148">
        <f>+'Therm Sales Master'!F137</f>
        <v>310612</v>
      </c>
      <c r="F18" s="147">
        <f>+'Therm Sales Master'!G137</f>
        <v>619</v>
      </c>
      <c r="G18" s="147">
        <f>+'Therm Sales Master'!H137</f>
        <v>2672689</v>
      </c>
      <c r="H18" s="148">
        <f>+'Therm Sales Master'!J137</f>
        <v>346838</v>
      </c>
      <c r="I18" s="147">
        <f>+'Therm Sales Master'!K137</f>
        <v>411</v>
      </c>
      <c r="J18" s="148">
        <f>+'Therm Sales Master'!L137</f>
        <v>0</v>
      </c>
      <c r="K18" s="146">
        <f>+'Therm Sales Master'!M137</f>
        <v>111442</v>
      </c>
      <c r="L18" s="146">
        <f>+'Therm Sales Master'!N137</f>
        <v>31412664</v>
      </c>
      <c r="M18" s="147">
        <f>+'Therm Sales Master'!O137</f>
        <v>15653966</v>
      </c>
      <c r="N18" s="147">
        <f>+'Therm Sales Master'!P137</f>
        <v>14512835</v>
      </c>
      <c r="O18" s="147">
        <f>+'Therm Sales Master'!Q137</f>
        <v>4852567</v>
      </c>
      <c r="P18" s="148">
        <f>+'Therm Sales Master'!R137</f>
        <v>0</v>
      </c>
      <c r="R18" s="147">
        <f t="shared" si="2"/>
        <v>73218474</v>
      </c>
    </row>
    <row r="19" spans="1:19" hidden="1" x14ac:dyDescent="0.2">
      <c r="A19" s="145">
        <v>43769</v>
      </c>
      <c r="B19" s="146">
        <f>+'Therm Sales Master'!B138</f>
        <v>6366467</v>
      </c>
      <c r="C19" s="147">
        <f>+'Therm Sales Master'!D138</f>
        <v>0</v>
      </c>
      <c r="D19" s="147">
        <f>+'Therm Sales Master'!E138</f>
        <v>1274354</v>
      </c>
      <c r="E19" s="148">
        <f>+'Therm Sales Master'!F138</f>
        <v>413276</v>
      </c>
      <c r="F19" s="147">
        <f>+'Therm Sales Master'!G138</f>
        <v>2955</v>
      </c>
      <c r="G19" s="147">
        <f>+'Therm Sales Master'!H138</f>
        <v>4853452</v>
      </c>
      <c r="H19" s="148">
        <f>+'Therm Sales Master'!J138</f>
        <v>2027719</v>
      </c>
      <c r="I19" s="147">
        <f>+'Therm Sales Master'!K138</f>
        <v>317</v>
      </c>
      <c r="J19" s="148">
        <f>+'Therm Sales Master'!L138</f>
        <v>0</v>
      </c>
      <c r="K19" s="146">
        <f>+'Therm Sales Master'!M138</f>
        <v>232820</v>
      </c>
      <c r="L19" s="146">
        <f>+'Therm Sales Master'!N138</f>
        <v>34409561</v>
      </c>
      <c r="M19" s="147">
        <f>+'Therm Sales Master'!O138</f>
        <v>11066352</v>
      </c>
      <c r="N19" s="147">
        <f>+'Therm Sales Master'!P138</f>
        <v>667138</v>
      </c>
      <c r="O19" s="147">
        <f>+'Therm Sales Master'!Q138</f>
        <v>897404</v>
      </c>
      <c r="P19" s="148">
        <f>+'Therm Sales Master'!R138</f>
        <v>0</v>
      </c>
      <c r="R19" s="147">
        <f t="shared" si="2"/>
        <v>62211815</v>
      </c>
    </row>
    <row r="20" spans="1:19" hidden="1" x14ac:dyDescent="0.2">
      <c r="A20" s="145">
        <v>43799</v>
      </c>
      <c r="B20" s="146">
        <f>+'Therm Sales Master'!B139</f>
        <v>7622134</v>
      </c>
      <c r="C20" s="147">
        <f>+'Therm Sales Master'!D139</f>
        <v>0</v>
      </c>
      <c r="D20" s="147">
        <f>+'Therm Sales Master'!E139</f>
        <v>806453</v>
      </c>
      <c r="E20" s="148">
        <f>+'Therm Sales Master'!F139</f>
        <v>292270</v>
      </c>
      <c r="F20" s="147">
        <f>+'Therm Sales Master'!G139</f>
        <v>0</v>
      </c>
      <c r="G20" s="147">
        <f>+'Therm Sales Master'!H139</f>
        <v>5319138</v>
      </c>
      <c r="H20" s="148">
        <f>+'Therm Sales Master'!J139</f>
        <v>626870</v>
      </c>
      <c r="I20" s="147">
        <f>+'Therm Sales Master'!K139</f>
        <v>0</v>
      </c>
      <c r="J20" s="148">
        <f>+'Therm Sales Master'!L139</f>
        <v>0</v>
      </c>
      <c r="K20" s="146">
        <f>+'Therm Sales Master'!M139</f>
        <v>0</v>
      </c>
      <c r="L20" s="146">
        <f>+'Therm Sales Master'!N139</f>
        <v>132</v>
      </c>
      <c r="M20" s="147">
        <f>+'Therm Sales Master'!O139</f>
        <v>0</v>
      </c>
      <c r="N20" s="147">
        <f>+'Therm Sales Master'!P139</f>
        <v>0</v>
      </c>
      <c r="O20" s="147">
        <f>+'Therm Sales Master'!Q139</f>
        <v>0</v>
      </c>
      <c r="P20" s="148">
        <f>+'Therm Sales Master'!R139</f>
        <v>0</v>
      </c>
      <c r="R20" s="147">
        <f t="shared" si="2"/>
        <v>14666997</v>
      </c>
      <c r="S20" s="2" t="s">
        <v>45</v>
      </c>
    </row>
    <row r="21" spans="1:19" hidden="1" x14ac:dyDescent="0.2">
      <c r="A21" s="145">
        <v>43799</v>
      </c>
      <c r="B21" s="146">
        <f>+'Therm Sales Master'!B140</f>
        <v>4006834</v>
      </c>
      <c r="C21" s="147">
        <f>+'Therm Sales Master'!D140</f>
        <v>0</v>
      </c>
      <c r="D21" s="147">
        <f>+'Therm Sales Master'!E140</f>
        <v>352170</v>
      </c>
      <c r="E21" s="148">
        <f>+'Therm Sales Master'!F140</f>
        <v>192646</v>
      </c>
      <c r="F21" s="147">
        <f>+'Therm Sales Master'!G140</f>
        <v>3958</v>
      </c>
      <c r="G21" s="147">
        <f>+'Therm Sales Master'!H140</f>
        <v>2589532</v>
      </c>
      <c r="H21" s="148">
        <f>+'Therm Sales Master'!J140</f>
        <v>1908901</v>
      </c>
      <c r="I21" s="147">
        <f>+'Therm Sales Master'!K140</f>
        <v>491</v>
      </c>
      <c r="J21" s="148">
        <f>+'Therm Sales Master'!L140</f>
        <v>0</v>
      </c>
      <c r="K21" s="146">
        <f>+'Therm Sales Master'!M140</f>
        <v>230233</v>
      </c>
      <c r="L21" s="146">
        <f>+'Therm Sales Master'!N140</f>
        <v>29790523</v>
      </c>
      <c r="M21" s="147">
        <f>+'Therm Sales Master'!O140</f>
        <v>12699045</v>
      </c>
      <c r="N21" s="147">
        <f>+'Therm Sales Master'!P140</f>
        <v>5956005</v>
      </c>
      <c r="O21" s="147">
        <f>+'Therm Sales Master'!Q140</f>
        <v>211269</v>
      </c>
      <c r="P21" s="148">
        <f>+'Therm Sales Master'!R140</f>
        <v>0</v>
      </c>
      <c r="R21" s="147">
        <f t="shared" ref="R21" si="3">SUM(B21:Q21)</f>
        <v>57941607</v>
      </c>
      <c r="S21" s="2" t="s">
        <v>46</v>
      </c>
    </row>
    <row r="22" spans="1:19" hidden="1" x14ac:dyDescent="0.2">
      <c r="A22" s="145">
        <v>43830</v>
      </c>
      <c r="B22" s="146">
        <f>+'Therm Sales Master'!B141</f>
        <v>17650518</v>
      </c>
      <c r="C22" s="147">
        <f>+'Therm Sales Master'!D141</f>
        <v>0</v>
      </c>
      <c r="D22" s="147">
        <f>+'Therm Sales Master'!E141</f>
        <v>1422636</v>
      </c>
      <c r="E22" s="148">
        <f>+'Therm Sales Master'!F141</f>
        <v>368658</v>
      </c>
      <c r="F22" s="147">
        <f>+'Therm Sales Master'!G141</f>
        <v>4552</v>
      </c>
      <c r="G22" s="147">
        <f>+'Therm Sales Master'!H141</f>
        <v>11976706</v>
      </c>
      <c r="H22" s="148">
        <f>+'Therm Sales Master'!J141</f>
        <v>2959155</v>
      </c>
      <c r="I22" s="147">
        <f>+'Therm Sales Master'!K141</f>
        <v>261</v>
      </c>
      <c r="J22" s="148">
        <f>+'Therm Sales Master'!L141</f>
        <v>0</v>
      </c>
      <c r="K22" s="146">
        <f>+'Therm Sales Master'!M141</f>
        <v>254015</v>
      </c>
      <c r="L22" s="146">
        <f>+'Therm Sales Master'!N141</f>
        <v>31617374</v>
      </c>
      <c r="M22" s="147">
        <f>+'Therm Sales Master'!O141</f>
        <v>14173947</v>
      </c>
      <c r="N22" s="147">
        <f>+'Therm Sales Master'!P141</f>
        <v>13886984</v>
      </c>
      <c r="O22" s="147">
        <f>+'Therm Sales Master'!Q141</f>
        <v>1297588</v>
      </c>
      <c r="P22" s="148">
        <f>+'Therm Sales Master'!R141</f>
        <v>0</v>
      </c>
      <c r="R22" s="147">
        <f t="shared" si="2"/>
        <v>95612394</v>
      </c>
    </row>
    <row r="23" spans="1:19" hidden="1" x14ac:dyDescent="0.2">
      <c r="A23" s="145">
        <v>43861</v>
      </c>
      <c r="B23" s="146">
        <f>+'Therm Sales Master'!B142</f>
        <v>21443608</v>
      </c>
      <c r="C23" s="147">
        <f>+'Therm Sales Master'!D142</f>
        <v>0</v>
      </c>
      <c r="D23" s="147">
        <f>+'Therm Sales Master'!E142</f>
        <v>1522757</v>
      </c>
      <c r="E23" s="148">
        <f>+'Therm Sales Master'!F142</f>
        <v>431249</v>
      </c>
      <c r="F23" s="147">
        <f>+'Therm Sales Master'!G142</f>
        <v>4887</v>
      </c>
      <c r="G23" s="147">
        <f>+'Therm Sales Master'!H142</f>
        <v>14478708</v>
      </c>
      <c r="H23" s="148">
        <f>+'Therm Sales Master'!J142</f>
        <v>3309514</v>
      </c>
      <c r="I23" s="147">
        <f>+'Therm Sales Master'!K142</f>
        <v>85</v>
      </c>
      <c r="J23" s="148">
        <f>+'Therm Sales Master'!L142</f>
        <v>0</v>
      </c>
      <c r="K23" s="146">
        <f>+'Therm Sales Master'!M142</f>
        <v>256203</v>
      </c>
      <c r="L23" s="146">
        <f>+'Therm Sales Master'!N142</f>
        <v>32467716</v>
      </c>
      <c r="M23" s="147">
        <f>+'Therm Sales Master'!O142</f>
        <v>12220363</v>
      </c>
      <c r="N23" s="147">
        <f>+'Therm Sales Master'!P142</f>
        <v>9693367</v>
      </c>
      <c r="O23" s="147">
        <f>+'Therm Sales Master'!Q142</f>
        <v>362331</v>
      </c>
      <c r="P23" s="148">
        <f>+'Therm Sales Master'!R142</f>
        <v>0</v>
      </c>
      <c r="R23" s="147">
        <f t="shared" ref="R23:R34" si="4">SUM(B23:Q23)</f>
        <v>96190788</v>
      </c>
    </row>
    <row r="24" spans="1:19" hidden="1" x14ac:dyDescent="0.2">
      <c r="A24" s="145">
        <v>43890</v>
      </c>
      <c r="B24" s="146">
        <f>+'Therm Sales Master'!B143</f>
        <v>17506775</v>
      </c>
      <c r="C24" s="147">
        <f>+'Therm Sales Master'!D143</f>
        <v>0</v>
      </c>
      <c r="D24" s="147">
        <f>+'Therm Sales Master'!E143</f>
        <v>1322495</v>
      </c>
      <c r="E24" s="148">
        <f>+'Therm Sales Master'!F143</f>
        <v>393372</v>
      </c>
      <c r="F24" s="147">
        <f>+'Therm Sales Master'!G143</f>
        <v>4650</v>
      </c>
      <c r="G24" s="147">
        <f>+'Therm Sales Master'!H143</f>
        <v>11970901</v>
      </c>
      <c r="H24" s="148">
        <f>+'Therm Sales Master'!J143</f>
        <v>2889473</v>
      </c>
      <c r="I24" s="147">
        <f>+'Therm Sales Master'!K143</f>
        <v>341</v>
      </c>
      <c r="J24" s="148">
        <f>+'Therm Sales Master'!L143</f>
        <v>0</v>
      </c>
      <c r="K24" s="146">
        <f>+'Therm Sales Master'!M143</f>
        <v>228991</v>
      </c>
      <c r="L24" s="146">
        <f>+'Therm Sales Master'!N143</f>
        <v>30355704</v>
      </c>
      <c r="M24" s="147">
        <f>+'Therm Sales Master'!O143</f>
        <v>11897437</v>
      </c>
      <c r="N24" s="147">
        <f>+'Therm Sales Master'!P143</f>
        <v>7438730</v>
      </c>
      <c r="O24" s="147">
        <f>+'Therm Sales Master'!Q143</f>
        <v>761639</v>
      </c>
      <c r="P24" s="148">
        <f>+'Therm Sales Master'!R143</f>
        <v>0</v>
      </c>
      <c r="R24" s="147">
        <f t="shared" si="4"/>
        <v>84770508</v>
      </c>
    </row>
    <row r="25" spans="1:19" hidden="1" x14ac:dyDescent="0.2">
      <c r="A25" s="145">
        <v>43921</v>
      </c>
      <c r="B25" s="146">
        <f>+'Therm Sales Master'!B144</f>
        <v>17635811</v>
      </c>
      <c r="C25" s="147">
        <f>+'Therm Sales Master'!D144</f>
        <v>0</v>
      </c>
      <c r="D25" s="147">
        <f>+'Therm Sales Master'!E144</f>
        <v>1356275</v>
      </c>
      <c r="E25" s="148">
        <f>+'Therm Sales Master'!F144</f>
        <v>297569</v>
      </c>
      <c r="F25" s="147">
        <f>+'Therm Sales Master'!G144</f>
        <v>4903</v>
      </c>
      <c r="G25" s="147">
        <f>+'Therm Sales Master'!H144</f>
        <v>11812961</v>
      </c>
      <c r="H25" s="148">
        <f>+'Therm Sales Master'!J144</f>
        <v>3033699</v>
      </c>
      <c r="I25" s="147">
        <f>+'Therm Sales Master'!K144</f>
        <v>182</v>
      </c>
      <c r="J25" s="148">
        <f>+'Therm Sales Master'!L144</f>
        <v>0</v>
      </c>
      <c r="K25" s="146">
        <f>+'Therm Sales Master'!M144</f>
        <v>229265</v>
      </c>
      <c r="L25" s="146">
        <f>+'Therm Sales Master'!N144</f>
        <v>32606618</v>
      </c>
      <c r="M25" s="147">
        <f>+'Therm Sales Master'!O144</f>
        <v>15670834</v>
      </c>
      <c r="N25" s="147">
        <f>+'Therm Sales Master'!P144</f>
        <v>14229128</v>
      </c>
      <c r="O25" s="147">
        <f>+'Therm Sales Master'!Q144</f>
        <v>3004872</v>
      </c>
      <c r="P25" s="148">
        <f>+'Therm Sales Master'!R144</f>
        <v>0</v>
      </c>
      <c r="R25" s="147">
        <f t="shared" si="4"/>
        <v>99882117</v>
      </c>
    </row>
    <row r="26" spans="1:19" hidden="1" x14ac:dyDescent="0.2">
      <c r="A26" s="145">
        <v>43951</v>
      </c>
      <c r="B26" s="146">
        <f>+'Therm Sales Master'!B145</f>
        <v>13930299</v>
      </c>
      <c r="C26" s="147">
        <f>+'Therm Sales Master'!D145</f>
        <v>0</v>
      </c>
      <c r="D26" s="147">
        <f>+'Therm Sales Master'!E145</f>
        <v>1128418</v>
      </c>
      <c r="E26" s="148">
        <f>+'Therm Sales Master'!F145</f>
        <v>537766</v>
      </c>
      <c r="F26" s="147">
        <f>+'Therm Sales Master'!G145</f>
        <v>3889</v>
      </c>
      <c r="G26" s="147">
        <f>+'Therm Sales Master'!H145</f>
        <v>8554564</v>
      </c>
      <c r="H26" s="148">
        <f>+'Therm Sales Master'!J145</f>
        <v>2377971</v>
      </c>
      <c r="I26" s="147">
        <f>+'Therm Sales Master'!K145</f>
        <v>193</v>
      </c>
      <c r="J26" s="148">
        <f>+'Therm Sales Master'!L145</f>
        <v>0</v>
      </c>
      <c r="K26" s="146">
        <f>+'Therm Sales Master'!M145</f>
        <v>189521</v>
      </c>
      <c r="L26" s="146">
        <f>+'Therm Sales Master'!N145</f>
        <v>27153616</v>
      </c>
      <c r="M26" s="147">
        <f>+'Therm Sales Master'!O145</f>
        <v>13569738</v>
      </c>
      <c r="N26" s="147">
        <f>+'Therm Sales Master'!P145</f>
        <v>11001952</v>
      </c>
      <c r="O26" s="147">
        <f>+'Therm Sales Master'!Q145</f>
        <v>3430843</v>
      </c>
      <c r="P26" s="148">
        <f>+'Therm Sales Master'!R145</f>
        <v>0</v>
      </c>
      <c r="R26" s="147">
        <f t="shared" si="4"/>
        <v>81878770</v>
      </c>
    </row>
    <row r="27" spans="1:19" hidden="1" x14ac:dyDescent="0.2">
      <c r="A27" s="145">
        <v>43982</v>
      </c>
      <c r="B27" s="146">
        <f>+'Therm Sales Master'!B146</f>
        <v>6809502</v>
      </c>
      <c r="C27" s="147">
        <f>+'Therm Sales Master'!D146</f>
        <v>0</v>
      </c>
      <c r="D27" s="147">
        <f>+'Therm Sales Master'!E146</f>
        <v>713209</v>
      </c>
      <c r="E27" s="148">
        <f>+'Therm Sales Master'!F146</f>
        <v>222952</v>
      </c>
      <c r="F27" s="147">
        <f>+'Therm Sales Master'!G146</f>
        <v>2219</v>
      </c>
      <c r="G27" s="147">
        <f>+'Therm Sales Master'!H146</f>
        <v>4127918</v>
      </c>
      <c r="H27" s="148">
        <f>+'Therm Sales Master'!J146</f>
        <v>1489675</v>
      </c>
      <c r="I27" s="147">
        <f>+'Therm Sales Master'!K146</f>
        <v>0</v>
      </c>
      <c r="J27" s="148">
        <f>+'Therm Sales Master'!L146</f>
        <v>0</v>
      </c>
      <c r="K27" s="146">
        <f>+'Therm Sales Master'!M146</f>
        <v>139474</v>
      </c>
      <c r="L27" s="146">
        <f>+'Therm Sales Master'!N146</f>
        <v>29220834</v>
      </c>
      <c r="M27" s="147">
        <f>+'Therm Sales Master'!O146</f>
        <v>2198918</v>
      </c>
      <c r="N27" s="147">
        <f>+'Therm Sales Master'!P146</f>
        <v>791584</v>
      </c>
      <c r="O27" s="147">
        <f>+'Therm Sales Master'!Q146</f>
        <v>447784</v>
      </c>
      <c r="P27" s="148">
        <f>+'Therm Sales Master'!R146</f>
        <v>0</v>
      </c>
      <c r="R27" s="147">
        <f t="shared" si="4"/>
        <v>46164069</v>
      </c>
    </row>
    <row r="28" spans="1:19" hidden="1" x14ac:dyDescent="0.2">
      <c r="A28" s="145">
        <v>44012</v>
      </c>
      <c r="B28" s="146">
        <f>+'Therm Sales Master'!B147</f>
        <v>5005480</v>
      </c>
      <c r="C28" s="147">
        <f>+'Therm Sales Master'!D147</f>
        <v>0</v>
      </c>
      <c r="D28" s="147">
        <f>+'Therm Sales Master'!E147</f>
        <v>637229</v>
      </c>
      <c r="E28" s="148">
        <f>+'Therm Sales Master'!F147</f>
        <v>433558</v>
      </c>
      <c r="F28" s="147">
        <f>+'Therm Sales Master'!G147</f>
        <v>2099</v>
      </c>
      <c r="G28" s="147">
        <f>+'Therm Sales Master'!H147</f>
        <v>3158885</v>
      </c>
      <c r="H28" s="148">
        <f>+'Therm Sales Master'!J147</f>
        <v>1216237</v>
      </c>
      <c r="I28" s="147">
        <f>+'Therm Sales Master'!K147</f>
        <v>0</v>
      </c>
      <c r="J28" s="148">
        <f>+'Therm Sales Master'!L147</f>
        <v>0</v>
      </c>
      <c r="K28" s="146">
        <f>+'Therm Sales Master'!M147</f>
        <v>109505</v>
      </c>
      <c r="L28" s="146">
        <f>+'Therm Sales Master'!N147</f>
        <v>27661973</v>
      </c>
      <c r="M28" s="147">
        <f>+'Therm Sales Master'!O147</f>
        <v>3015900</v>
      </c>
      <c r="N28" s="147">
        <f>+'Therm Sales Master'!P147</f>
        <v>1306946</v>
      </c>
      <c r="O28" s="147">
        <f>+'Therm Sales Master'!Q147</f>
        <v>736401</v>
      </c>
      <c r="P28" s="148">
        <f>+'Therm Sales Master'!R147</f>
        <v>0</v>
      </c>
      <c r="R28" s="147">
        <f t="shared" si="4"/>
        <v>43284213</v>
      </c>
    </row>
    <row r="29" spans="1:19" hidden="1" x14ac:dyDescent="0.2">
      <c r="A29" s="145">
        <v>44043</v>
      </c>
      <c r="B29" s="146">
        <f>+'Therm Sales Master'!B148</f>
        <v>4024864</v>
      </c>
      <c r="C29" s="147">
        <f>+'Therm Sales Master'!D148</f>
        <v>0</v>
      </c>
      <c r="D29" s="147">
        <f>+'Therm Sales Master'!E148</f>
        <v>562464</v>
      </c>
      <c r="E29" s="148">
        <f>+'Therm Sales Master'!F148</f>
        <v>335278</v>
      </c>
      <c r="F29" s="147">
        <f>+'Therm Sales Master'!G148</f>
        <v>943</v>
      </c>
      <c r="G29" s="147">
        <f>+'Therm Sales Master'!H148</f>
        <v>2836474</v>
      </c>
      <c r="H29" s="148">
        <f>+'Therm Sales Master'!J148</f>
        <v>1217402</v>
      </c>
      <c r="I29" s="147">
        <f>+'Therm Sales Master'!K148</f>
        <v>0</v>
      </c>
      <c r="J29" s="148">
        <f>+'Therm Sales Master'!L148</f>
        <v>0</v>
      </c>
      <c r="K29" s="146">
        <f>+'Therm Sales Master'!M148</f>
        <v>106383</v>
      </c>
      <c r="L29" s="146">
        <f>+'Therm Sales Master'!N148</f>
        <v>28966911</v>
      </c>
      <c r="M29" s="147">
        <f>+'Therm Sales Master'!O148</f>
        <v>9874110</v>
      </c>
      <c r="N29" s="147">
        <f>+'Therm Sales Master'!P148</f>
        <v>5180231</v>
      </c>
      <c r="O29" s="147">
        <f>+'Therm Sales Master'!Q148</f>
        <v>1984278</v>
      </c>
      <c r="P29" s="148">
        <f>+'Therm Sales Master'!R148</f>
        <v>0</v>
      </c>
      <c r="R29" s="147">
        <f t="shared" si="4"/>
        <v>55089338</v>
      </c>
    </row>
    <row r="30" spans="1:19" hidden="1" x14ac:dyDescent="0.2">
      <c r="A30" s="145">
        <v>44074</v>
      </c>
      <c r="B30" s="146">
        <f>+'Therm Sales Master'!B149</f>
        <v>2732363</v>
      </c>
      <c r="C30" s="147">
        <f>+'Therm Sales Master'!D149</f>
        <v>0</v>
      </c>
      <c r="D30" s="147">
        <f>+'Therm Sales Master'!E149</f>
        <v>497342</v>
      </c>
      <c r="E30" s="148">
        <f>+'Therm Sales Master'!F149</f>
        <v>298740</v>
      </c>
      <c r="F30" s="147">
        <f>+'Therm Sales Master'!G149</f>
        <v>816</v>
      </c>
      <c r="G30" s="147">
        <f>+'Therm Sales Master'!H149</f>
        <v>2165794</v>
      </c>
      <c r="H30" s="148">
        <f>+'Therm Sales Master'!J149</f>
        <v>956939</v>
      </c>
      <c r="I30" s="147">
        <f>+'Therm Sales Master'!K149</f>
        <v>0</v>
      </c>
      <c r="J30" s="148">
        <f>+'Therm Sales Master'!L149</f>
        <v>0</v>
      </c>
      <c r="K30" s="146">
        <f>+'Therm Sales Master'!M149</f>
        <v>100500</v>
      </c>
      <c r="L30" s="146">
        <f>+'Therm Sales Master'!N149</f>
        <v>32340707</v>
      </c>
      <c r="M30" s="147">
        <f>+'Therm Sales Master'!O149</f>
        <v>13157147</v>
      </c>
      <c r="N30" s="147">
        <f>+'Therm Sales Master'!P149</f>
        <v>10278160</v>
      </c>
      <c r="O30" s="147">
        <f>+'Therm Sales Master'!Q149</f>
        <v>4334957</v>
      </c>
      <c r="P30" s="148">
        <f>+'Therm Sales Master'!R149</f>
        <v>0</v>
      </c>
      <c r="R30" s="147">
        <f t="shared" si="4"/>
        <v>66863465</v>
      </c>
    </row>
    <row r="31" spans="1:19" hidden="1" x14ac:dyDescent="0.2">
      <c r="A31" s="145">
        <v>44104</v>
      </c>
      <c r="B31" s="146">
        <f>+'Therm Sales Master'!B150</f>
        <v>2948480</v>
      </c>
      <c r="C31" s="147">
        <f>+'Therm Sales Master'!D150</f>
        <v>0</v>
      </c>
      <c r="D31" s="147">
        <f>+'Therm Sales Master'!E150</f>
        <v>620797</v>
      </c>
      <c r="E31" s="148">
        <f>+'Therm Sales Master'!F150</f>
        <v>341767</v>
      </c>
      <c r="F31" s="147">
        <f>+'Therm Sales Master'!G150</f>
        <v>643</v>
      </c>
      <c r="G31" s="147">
        <f>+'Therm Sales Master'!H150</f>
        <v>2450387</v>
      </c>
      <c r="H31" s="148">
        <f>+'Therm Sales Master'!J150</f>
        <v>933559</v>
      </c>
      <c r="I31" s="147">
        <f>+'Therm Sales Master'!K150</f>
        <v>0</v>
      </c>
      <c r="J31" s="148">
        <f>+'Therm Sales Master'!L150</f>
        <v>0</v>
      </c>
      <c r="K31" s="146">
        <f>+'Therm Sales Master'!M150</f>
        <v>94559</v>
      </c>
      <c r="L31" s="146">
        <f>+'Therm Sales Master'!N150</f>
        <v>34240639</v>
      </c>
      <c r="M31" s="147">
        <f>+'Therm Sales Master'!O150</f>
        <v>14061705</v>
      </c>
      <c r="N31" s="147">
        <f>+'Therm Sales Master'!P150</f>
        <v>12575104</v>
      </c>
      <c r="O31" s="147">
        <f>+'Therm Sales Master'!Q150</f>
        <v>5435910</v>
      </c>
      <c r="P31" s="148">
        <f>+'Therm Sales Master'!R150</f>
        <v>0</v>
      </c>
      <c r="R31" s="147">
        <f t="shared" si="4"/>
        <v>73703550</v>
      </c>
    </row>
    <row r="32" spans="1:19" hidden="1" x14ac:dyDescent="0.2">
      <c r="A32" s="145">
        <v>44135</v>
      </c>
      <c r="B32" s="146">
        <f>+'Therm Sales Master'!B151</f>
        <v>4232461</v>
      </c>
      <c r="C32" s="147">
        <f>+'Therm Sales Master'!D151</f>
        <v>0</v>
      </c>
      <c r="D32" s="147">
        <f>+'Therm Sales Master'!E151</f>
        <v>1000739</v>
      </c>
      <c r="E32" s="148">
        <f>+'Therm Sales Master'!F151</f>
        <v>374010</v>
      </c>
      <c r="F32" s="147">
        <f>+'Therm Sales Master'!G151</f>
        <v>3290</v>
      </c>
      <c r="G32" s="147">
        <f>+'Therm Sales Master'!H151</f>
        <v>3183599</v>
      </c>
      <c r="H32" s="148">
        <f>+'Therm Sales Master'!J151</f>
        <v>506452</v>
      </c>
      <c r="I32" s="147">
        <f>+'Therm Sales Master'!K151</f>
        <v>0</v>
      </c>
      <c r="J32" s="148">
        <f>+'Therm Sales Master'!L151</f>
        <v>0</v>
      </c>
      <c r="K32" s="146">
        <f>+'Therm Sales Master'!M151</f>
        <v>178840</v>
      </c>
      <c r="L32" s="146">
        <f>+'Therm Sales Master'!N151</f>
        <v>36890125</v>
      </c>
      <c r="M32" s="147">
        <f>+'Therm Sales Master'!O151</f>
        <v>9459059</v>
      </c>
      <c r="N32" s="147">
        <f>+'Therm Sales Master'!P151</f>
        <v>8268305</v>
      </c>
      <c r="O32" s="147">
        <f>+'Therm Sales Master'!Q151</f>
        <v>1590604</v>
      </c>
      <c r="P32" s="148">
        <f>+'Therm Sales Master'!R151</f>
        <v>0</v>
      </c>
      <c r="R32" s="147">
        <f t="shared" si="4"/>
        <v>65687484</v>
      </c>
    </row>
    <row r="33" spans="1:19" hidden="1" x14ac:dyDescent="0.2">
      <c r="A33" s="145">
        <v>44165</v>
      </c>
      <c r="B33" s="146">
        <f>+'Therm Sales Master'!B152</f>
        <v>6886950</v>
      </c>
      <c r="C33" s="147">
        <f>+'Therm Sales Master'!D152</f>
        <v>0</v>
      </c>
      <c r="D33" s="147">
        <f>+'Therm Sales Master'!E152</f>
        <v>615235</v>
      </c>
      <c r="E33" s="148">
        <f>+'Therm Sales Master'!F152</f>
        <v>224068</v>
      </c>
      <c r="F33" s="147">
        <f>+'Therm Sales Master'!G152</f>
        <v>0</v>
      </c>
      <c r="G33" s="147">
        <f>+'Therm Sales Master'!H152</f>
        <v>4428383</v>
      </c>
      <c r="H33" s="148">
        <f>+'Therm Sales Master'!J152</f>
        <v>570674</v>
      </c>
      <c r="I33" s="147">
        <f>+'Therm Sales Master'!K152</f>
        <v>0</v>
      </c>
      <c r="J33" s="148">
        <f>+'Therm Sales Master'!L152</f>
        <v>0</v>
      </c>
      <c r="K33" s="146">
        <f>+'Therm Sales Master'!M152</f>
        <v>0</v>
      </c>
      <c r="L33" s="146">
        <f>+'Therm Sales Master'!N152</f>
        <v>-43037</v>
      </c>
      <c r="M33" s="147">
        <f>+'Therm Sales Master'!O152</f>
        <v>0</v>
      </c>
      <c r="N33" s="147">
        <f>+'Therm Sales Master'!P152</f>
        <v>0</v>
      </c>
      <c r="O33" s="147">
        <f>+'Therm Sales Master'!Q152</f>
        <v>0</v>
      </c>
      <c r="P33" s="148">
        <f>+'Therm Sales Master'!R152</f>
        <v>0</v>
      </c>
      <c r="R33" s="147">
        <f t="shared" si="4"/>
        <v>12682273</v>
      </c>
      <c r="S33" s="2" t="s">
        <v>45</v>
      </c>
    </row>
    <row r="34" spans="1:19" hidden="1" x14ac:dyDescent="0.2">
      <c r="A34" s="145">
        <v>44165</v>
      </c>
      <c r="B34" s="146">
        <f>+'Therm Sales Master'!B153</f>
        <v>3564962</v>
      </c>
      <c r="C34" s="147">
        <f>+'Therm Sales Master'!D153</f>
        <v>0</v>
      </c>
      <c r="D34" s="147">
        <f>+'Therm Sales Master'!E153</f>
        <v>255052</v>
      </c>
      <c r="E34" s="148">
        <f>+'Therm Sales Master'!F153</f>
        <v>108414</v>
      </c>
      <c r="F34" s="147">
        <f>+'Therm Sales Master'!G153</f>
        <v>5658</v>
      </c>
      <c r="G34" s="147">
        <f>+'Therm Sales Master'!H153</f>
        <v>2059842</v>
      </c>
      <c r="H34" s="148">
        <f>+'Therm Sales Master'!J153</f>
        <v>341335</v>
      </c>
      <c r="I34" s="147">
        <f>+'Therm Sales Master'!K153</f>
        <v>0</v>
      </c>
      <c r="J34" s="148">
        <f>+'Therm Sales Master'!L153</f>
        <v>0</v>
      </c>
      <c r="K34" s="146">
        <f>+'Therm Sales Master'!M153</f>
        <v>220318</v>
      </c>
      <c r="L34" s="146">
        <f>+'Therm Sales Master'!N153</f>
        <v>38203799</v>
      </c>
      <c r="M34" s="147">
        <f>+'Therm Sales Master'!O153</f>
        <v>7516479</v>
      </c>
      <c r="N34" s="147">
        <f>+'Therm Sales Master'!P153</f>
        <v>2419246</v>
      </c>
      <c r="O34" s="147">
        <f>+'Therm Sales Master'!Q153</f>
        <v>916410</v>
      </c>
      <c r="P34" s="148">
        <f>+'Therm Sales Master'!R153</f>
        <v>0</v>
      </c>
      <c r="R34" s="147">
        <f t="shared" si="4"/>
        <v>55611515</v>
      </c>
      <c r="S34" s="2" t="s">
        <v>46</v>
      </c>
    </row>
    <row r="35" spans="1:19" hidden="1" x14ac:dyDescent="0.2">
      <c r="A35" s="145">
        <v>44196</v>
      </c>
      <c r="B35" s="146">
        <f>+'Therm Sales Master'!B154</f>
        <v>18475354</v>
      </c>
      <c r="C35" s="147">
        <f>+'Therm Sales Master'!D154</f>
        <v>0</v>
      </c>
      <c r="D35" s="147">
        <f>+'Therm Sales Master'!E154</f>
        <v>1356324</v>
      </c>
      <c r="E35" s="148">
        <f>+'Therm Sales Master'!F154</f>
        <v>419977</v>
      </c>
      <c r="F35" s="147">
        <f>+'Therm Sales Master'!G154</f>
        <v>7535</v>
      </c>
      <c r="G35" s="147">
        <f>+'Therm Sales Master'!H154</f>
        <v>12051598</v>
      </c>
      <c r="H35" s="148">
        <f>+'Therm Sales Master'!J154</f>
        <v>1502233</v>
      </c>
      <c r="I35" s="147">
        <f>+'Therm Sales Master'!K154</f>
        <v>0</v>
      </c>
      <c r="J35" s="148">
        <f>+'Therm Sales Master'!L154</f>
        <v>0</v>
      </c>
      <c r="K35" s="146">
        <f>+'Therm Sales Master'!M154</f>
        <v>244469</v>
      </c>
      <c r="L35" s="146">
        <f>+'Therm Sales Master'!N154</f>
        <v>37243979</v>
      </c>
      <c r="M35" s="147">
        <f>+'Therm Sales Master'!O154</f>
        <v>13353201</v>
      </c>
      <c r="N35" s="147">
        <f>+'Therm Sales Master'!P154</f>
        <v>9176642</v>
      </c>
      <c r="O35" s="147">
        <f>+'Therm Sales Master'!Q154</f>
        <v>764453</v>
      </c>
      <c r="P35" s="148">
        <f>+'Therm Sales Master'!R154</f>
        <v>0</v>
      </c>
      <c r="R35" s="147">
        <f t="shared" ref="R35:R45" si="5">SUM(B35:Q35)</f>
        <v>94595765</v>
      </c>
    </row>
    <row r="36" spans="1:19" hidden="1" x14ac:dyDescent="0.2">
      <c r="A36" s="145">
        <v>44227</v>
      </c>
      <c r="B36" s="146">
        <f>+'Therm Sales Master'!B155</f>
        <v>19685299</v>
      </c>
      <c r="C36" s="147">
        <f>+'Therm Sales Master'!D155</f>
        <v>0</v>
      </c>
      <c r="D36" s="147">
        <f>+'Therm Sales Master'!E155</f>
        <v>1264480</v>
      </c>
      <c r="E36" s="148">
        <f>+'Therm Sales Master'!F155</f>
        <v>431368</v>
      </c>
      <c r="F36" s="147">
        <f>+'Therm Sales Master'!G155</f>
        <v>12694</v>
      </c>
      <c r="G36" s="147">
        <f>+'Therm Sales Master'!H155</f>
        <v>12849986</v>
      </c>
      <c r="H36" s="148">
        <f>+'Therm Sales Master'!J155</f>
        <v>1460025</v>
      </c>
      <c r="I36" s="147">
        <f>+'Therm Sales Master'!K155</f>
        <v>0</v>
      </c>
      <c r="J36" s="148">
        <f>+'Therm Sales Master'!L155</f>
        <v>0</v>
      </c>
      <c r="K36" s="146">
        <f>+'Therm Sales Master'!M155</f>
        <v>248648</v>
      </c>
      <c r="L36" s="146">
        <f>+'Therm Sales Master'!N155</f>
        <v>39534451</v>
      </c>
      <c r="M36" s="147">
        <f>+'Therm Sales Master'!O155</f>
        <v>12333204</v>
      </c>
      <c r="N36" s="147">
        <f>+'Therm Sales Master'!P155</f>
        <v>5190781</v>
      </c>
      <c r="O36" s="147">
        <f>+'Therm Sales Master'!Q155</f>
        <v>252622</v>
      </c>
      <c r="P36" s="148">
        <f>+'Therm Sales Master'!R155</f>
        <v>0</v>
      </c>
      <c r="R36" s="147">
        <f t="shared" si="5"/>
        <v>93263558</v>
      </c>
    </row>
    <row r="37" spans="1:19" hidden="1" x14ac:dyDescent="0.2">
      <c r="A37" s="145">
        <v>44255</v>
      </c>
      <c r="B37" s="146">
        <f>+'Therm Sales Master'!B156</f>
        <v>18599534</v>
      </c>
      <c r="C37" s="147">
        <f>+'Therm Sales Master'!D156</f>
        <v>0</v>
      </c>
      <c r="D37" s="147">
        <f>+'Therm Sales Master'!E156</f>
        <v>1226133</v>
      </c>
      <c r="E37" s="148">
        <f>+'Therm Sales Master'!F156</f>
        <v>372501</v>
      </c>
      <c r="F37" s="147">
        <f>+'Therm Sales Master'!G156</f>
        <v>7553</v>
      </c>
      <c r="G37" s="147">
        <f>+'Therm Sales Master'!H156</f>
        <v>12050270</v>
      </c>
      <c r="H37" s="148">
        <f>+'Therm Sales Master'!J156</f>
        <v>1413677</v>
      </c>
      <c r="I37" s="147">
        <f>+'Therm Sales Master'!K156</f>
        <v>0</v>
      </c>
      <c r="J37" s="148">
        <f>+'Therm Sales Master'!L156</f>
        <v>0</v>
      </c>
      <c r="K37" s="146">
        <f>+'Therm Sales Master'!M156</f>
        <v>239855</v>
      </c>
      <c r="L37" s="146">
        <f>+'Therm Sales Master'!N156</f>
        <v>36249518</v>
      </c>
      <c r="M37" s="147">
        <f>+'Therm Sales Master'!O156</f>
        <v>10471909</v>
      </c>
      <c r="N37" s="147">
        <f>+'Therm Sales Master'!P156</f>
        <v>5382227</v>
      </c>
      <c r="O37" s="147">
        <f>+'Therm Sales Master'!Q156</f>
        <v>982292</v>
      </c>
      <c r="P37" s="148">
        <f>+'Therm Sales Master'!R156</f>
        <v>0</v>
      </c>
      <c r="R37" s="147">
        <f t="shared" si="5"/>
        <v>86995469</v>
      </c>
    </row>
    <row r="38" spans="1:19" hidden="1" x14ac:dyDescent="0.2">
      <c r="A38" s="145">
        <v>44286</v>
      </c>
      <c r="B38" s="146">
        <f>+'Therm Sales Master'!B157</f>
        <v>19676756</v>
      </c>
      <c r="C38" s="147">
        <f>+'Therm Sales Master'!D157</f>
        <v>0</v>
      </c>
      <c r="D38" s="147">
        <f>+'Therm Sales Master'!E157</f>
        <v>1362750</v>
      </c>
      <c r="E38" s="148">
        <f>+'Therm Sales Master'!F157</f>
        <v>456093</v>
      </c>
      <c r="F38" s="147">
        <f>+'Therm Sales Master'!G157</f>
        <v>3998</v>
      </c>
      <c r="G38" s="147">
        <f>+'Therm Sales Master'!H157</f>
        <v>13158991</v>
      </c>
      <c r="H38" s="148">
        <f>+'Therm Sales Master'!J157</f>
        <v>1484437</v>
      </c>
      <c r="I38" s="147">
        <f>+'Therm Sales Master'!K157</f>
        <v>0</v>
      </c>
      <c r="J38" s="148">
        <f>+'Therm Sales Master'!L157</f>
        <v>0</v>
      </c>
      <c r="K38" s="146">
        <f>+'Therm Sales Master'!M157</f>
        <v>234583</v>
      </c>
      <c r="L38" s="146">
        <f>+'Therm Sales Master'!N157</f>
        <v>38737982</v>
      </c>
      <c r="M38" s="147">
        <f>+'Therm Sales Master'!O157</f>
        <v>15050505</v>
      </c>
      <c r="N38" s="147">
        <f>+'Therm Sales Master'!P157</f>
        <v>10973891</v>
      </c>
      <c r="O38" s="147">
        <f>+'Therm Sales Master'!Q157</f>
        <v>2069033</v>
      </c>
      <c r="P38" s="148">
        <f>+'Therm Sales Master'!R157</f>
        <v>0</v>
      </c>
      <c r="R38" s="147">
        <f t="shared" si="5"/>
        <v>103209019</v>
      </c>
    </row>
    <row r="39" spans="1:19" hidden="1" x14ac:dyDescent="0.2">
      <c r="A39" s="145">
        <v>44316</v>
      </c>
      <c r="B39" s="146">
        <f>+'Therm Sales Master'!B158</f>
        <v>13567783</v>
      </c>
      <c r="C39" s="147">
        <f>+'Therm Sales Master'!D158</f>
        <v>0</v>
      </c>
      <c r="D39" s="147">
        <f>+'Therm Sales Master'!E158</f>
        <v>1066951</v>
      </c>
      <c r="E39" s="148">
        <f>+'Therm Sales Master'!F158</f>
        <v>426217</v>
      </c>
      <c r="F39" s="147">
        <f>+'Therm Sales Master'!G158</f>
        <v>2200</v>
      </c>
      <c r="G39" s="147">
        <f>+'Therm Sales Master'!H158</f>
        <v>9154067</v>
      </c>
      <c r="H39" s="148">
        <f>+'Therm Sales Master'!J158</f>
        <v>1134637</v>
      </c>
      <c r="I39" s="147">
        <f>+'Therm Sales Master'!K158</f>
        <v>0</v>
      </c>
      <c r="J39" s="148">
        <f>+'Therm Sales Master'!L158</f>
        <v>0</v>
      </c>
      <c r="K39" s="146">
        <f>+'Therm Sales Master'!M158</f>
        <v>180576</v>
      </c>
      <c r="L39" s="146">
        <f>+'Therm Sales Master'!N158</f>
        <v>36210898</v>
      </c>
      <c r="M39" s="147">
        <f>+'Therm Sales Master'!O158</f>
        <v>6562711</v>
      </c>
      <c r="N39" s="147">
        <f>+'Therm Sales Master'!P158</f>
        <v>12896888</v>
      </c>
      <c r="O39" s="147">
        <f>+'Therm Sales Master'!Q158</f>
        <v>8378207</v>
      </c>
      <c r="P39" s="148">
        <f>+'Therm Sales Master'!R158</f>
        <v>0</v>
      </c>
      <c r="R39" s="147">
        <f t="shared" si="5"/>
        <v>89581135</v>
      </c>
    </row>
    <row r="40" spans="1:19" hidden="1" x14ac:dyDescent="0.2">
      <c r="A40" s="145">
        <v>44347</v>
      </c>
      <c r="B40" s="146">
        <f>+'Therm Sales Master'!B159</f>
        <v>6623364</v>
      </c>
      <c r="C40" s="147">
        <f>+'Therm Sales Master'!D159</f>
        <v>0</v>
      </c>
      <c r="D40" s="147">
        <f>+'Therm Sales Master'!E159</f>
        <v>680086</v>
      </c>
      <c r="E40" s="148">
        <f>+'Therm Sales Master'!F159</f>
        <v>286219</v>
      </c>
      <c r="F40" s="147">
        <f>+'Therm Sales Master'!G159</f>
        <v>3602</v>
      </c>
      <c r="G40" s="147">
        <f>+'Therm Sales Master'!H159</f>
        <v>4930955</v>
      </c>
      <c r="H40" s="148">
        <f>+'Therm Sales Master'!J159</f>
        <v>641375</v>
      </c>
      <c r="I40" s="147">
        <f>+'Therm Sales Master'!K159</f>
        <v>0</v>
      </c>
      <c r="J40" s="148">
        <f>+'Therm Sales Master'!L159</f>
        <v>0</v>
      </c>
      <c r="K40" s="146">
        <f>+'Therm Sales Master'!M159</f>
        <v>143789</v>
      </c>
      <c r="L40" s="146">
        <f>+'Therm Sales Master'!N159</f>
        <v>34143279</v>
      </c>
      <c r="M40" s="147">
        <f>+'Therm Sales Master'!O159</f>
        <v>364</v>
      </c>
      <c r="N40" s="147">
        <f>+'Therm Sales Master'!P159</f>
        <v>5871337</v>
      </c>
      <c r="O40" s="147">
        <f>+'Therm Sales Master'!Q159</f>
        <v>2903752</v>
      </c>
      <c r="P40" s="148">
        <f>+'Therm Sales Master'!R159</f>
        <v>0</v>
      </c>
      <c r="R40" s="147">
        <f t="shared" si="5"/>
        <v>56228122</v>
      </c>
    </row>
    <row r="41" spans="1:19" hidden="1" x14ac:dyDescent="0.2">
      <c r="A41" s="145">
        <v>44377</v>
      </c>
      <c r="B41" s="146">
        <f>+'Therm Sales Master'!B160</f>
        <v>5165480</v>
      </c>
      <c r="C41" s="147">
        <f>+'Therm Sales Master'!D160</f>
        <v>0</v>
      </c>
      <c r="D41" s="147">
        <f>+'Therm Sales Master'!E160</f>
        <v>585095</v>
      </c>
      <c r="E41" s="148">
        <f>+'Therm Sales Master'!F160</f>
        <v>448138</v>
      </c>
      <c r="F41" s="147">
        <f>+'Therm Sales Master'!G160</f>
        <v>1512</v>
      </c>
      <c r="G41" s="147">
        <f>+'Therm Sales Master'!H160</f>
        <v>4017478</v>
      </c>
      <c r="H41" s="148">
        <f>+'Therm Sales Master'!J160</f>
        <v>510200</v>
      </c>
      <c r="I41" s="147">
        <f>+'Therm Sales Master'!K160</f>
        <v>0</v>
      </c>
      <c r="J41" s="148">
        <f>+'Therm Sales Master'!L160</f>
        <v>0</v>
      </c>
      <c r="K41" s="146">
        <f>+'Therm Sales Master'!M160</f>
        <v>104510</v>
      </c>
      <c r="L41" s="146">
        <f>+'Therm Sales Master'!N160</f>
        <v>32699223</v>
      </c>
      <c r="M41" s="147">
        <f>+'Therm Sales Master'!O160</f>
        <v>10580854</v>
      </c>
      <c r="N41" s="147">
        <f>+'Therm Sales Master'!P160</f>
        <v>9297912</v>
      </c>
      <c r="O41" s="147">
        <f>+'Therm Sales Master'!Q160</f>
        <v>5368620</v>
      </c>
      <c r="P41" s="148">
        <f>+'Therm Sales Master'!R160</f>
        <v>0</v>
      </c>
      <c r="R41" s="147">
        <f t="shared" si="5"/>
        <v>68779022</v>
      </c>
    </row>
    <row r="42" spans="1:19" hidden="1" x14ac:dyDescent="0.2">
      <c r="A42" s="145">
        <v>44408</v>
      </c>
      <c r="B42" s="146">
        <f>+'Therm Sales Master'!B161</f>
        <v>3043741</v>
      </c>
      <c r="C42" s="147">
        <f>+'Therm Sales Master'!D161</f>
        <v>0</v>
      </c>
      <c r="D42" s="147">
        <f>+'Therm Sales Master'!E161</f>
        <v>496382</v>
      </c>
      <c r="E42" s="148">
        <f>+'Therm Sales Master'!F161</f>
        <v>260037</v>
      </c>
      <c r="F42" s="147">
        <f>+'Therm Sales Master'!G161</f>
        <v>1203</v>
      </c>
      <c r="G42" s="147">
        <f>+'Therm Sales Master'!H161</f>
        <v>2731524</v>
      </c>
      <c r="H42" s="148">
        <f>+'Therm Sales Master'!J161</f>
        <v>333326</v>
      </c>
      <c r="I42" s="147">
        <f>+'Therm Sales Master'!K161</f>
        <v>0</v>
      </c>
      <c r="J42" s="148">
        <f>+'Therm Sales Master'!L161</f>
        <v>0</v>
      </c>
      <c r="K42" s="146">
        <f>+'Therm Sales Master'!M161</f>
        <v>88811</v>
      </c>
      <c r="L42" s="146">
        <f>+'Therm Sales Master'!N161</f>
        <v>29641199</v>
      </c>
      <c r="M42" s="147">
        <f>+'Therm Sales Master'!O161</f>
        <v>14701743</v>
      </c>
      <c r="N42" s="147">
        <f>+'Therm Sales Master'!P161</f>
        <v>12217042</v>
      </c>
      <c r="O42" s="147">
        <f>+'Therm Sales Master'!Q161</f>
        <v>8620267</v>
      </c>
      <c r="P42" s="148">
        <f>+'Therm Sales Master'!R161</f>
        <v>0</v>
      </c>
      <c r="R42" s="147">
        <f t="shared" si="5"/>
        <v>72135275</v>
      </c>
    </row>
    <row r="43" spans="1:19" hidden="1" x14ac:dyDescent="0.2">
      <c r="A43" s="145">
        <v>44439</v>
      </c>
      <c r="B43" s="146">
        <f>+'Therm Sales Master'!B162</f>
        <v>2658664</v>
      </c>
      <c r="C43" s="147">
        <f>+'Therm Sales Master'!D162</f>
        <v>0</v>
      </c>
      <c r="D43" s="147">
        <f>+'Therm Sales Master'!E162</f>
        <v>465585</v>
      </c>
      <c r="E43" s="148">
        <f>+'Therm Sales Master'!F162</f>
        <v>315534</v>
      </c>
      <c r="F43" s="147">
        <f>+'Therm Sales Master'!G162</f>
        <v>1834</v>
      </c>
      <c r="G43" s="147">
        <f>+'Therm Sales Master'!H162</f>
        <v>2572912</v>
      </c>
      <c r="H43" s="148">
        <f>+'Therm Sales Master'!J162</f>
        <v>304207</v>
      </c>
      <c r="I43" s="147">
        <f>+'Therm Sales Master'!K162</f>
        <v>0</v>
      </c>
      <c r="J43" s="148">
        <f>+'Therm Sales Master'!L162</f>
        <v>0</v>
      </c>
      <c r="K43" s="146">
        <f>+'Therm Sales Master'!M162</f>
        <v>103033</v>
      </c>
      <c r="L43" s="146">
        <f>+'Therm Sales Master'!N162</f>
        <v>30352096</v>
      </c>
      <c r="M43" s="147">
        <f>+'Therm Sales Master'!O162</f>
        <v>14849398</v>
      </c>
      <c r="N43" s="147">
        <f>+'Therm Sales Master'!P162</f>
        <v>12371540</v>
      </c>
      <c r="O43" s="147">
        <f>+'Therm Sales Master'!Q162</f>
        <v>6769382</v>
      </c>
      <c r="P43" s="148">
        <f>+'Therm Sales Master'!R162</f>
        <v>0</v>
      </c>
      <c r="R43" s="147">
        <f t="shared" si="5"/>
        <v>70764185</v>
      </c>
    </row>
    <row r="44" spans="1:19" hidden="1" x14ac:dyDescent="0.2">
      <c r="A44" s="145">
        <v>44469</v>
      </c>
      <c r="B44" s="146">
        <f>+'Therm Sales Master'!B163</f>
        <v>3024586</v>
      </c>
      <c r="C44" s="147">
        <f>+'Therm Sales Master'!D163</f>
        <v>0</v>
      </c>
      <c r="D44" s="147">
        <f>+'Therm Sales Master'!E163</f>
        <v>585259</v>
      </c>
      <c r="E44" s="148">
        <f>+'Therm Sales Master'!F163</f>
        <v>292711</v>
      </c>
      <c r="F44" s="147">
        <f>+'Therm Sales Master'!G163</f>
        <v>2215</v>
      </c>
      <c r="G44" s="147">
        <f>+'Therm Sales Master'!H163</f>
        <v>2784423</v>
      </c>
      <c r="H44" s="148">
        <f>+'Therm Sales Master'!J163</f>
        <v>323275</v>
      </c>
      <c r="I44" s="147">
        <f>+'Therm Sales Master'!K163</f>
        <v>0</v>
      </c>
      <c r="J44" s="148">
        <f>+'Therm Sales Master'!L163</f>
        <v>0</v>
      </c>
      <c r="K44" s="146">
        <f>+'Therm Sales Master'!M163</f>
        <v>127498</v>
      </c>
      <c r="L44" s="146">
        <f>+'Therm Sales Master'!N163</f>
        <v>32241556</v>
      </c>
      <c r="M44" s="147">
        <f>+'Therm Sales Master'!O163</f>
        <v>13988315</v>
      </c>
      <c r="N44" s="147">
        <f>+'Therm Sales Master'!P163</f>
        <v>13923327</v>
      </c>
      <c r="O44" s="147">
        <f>+'Therm Sales Master'!Q163</f>
        <v>4570873</v>
      </c>
      <c r="P44" s="148">
        <f>+'Therm Sales Master'!R163</f>
        <v>0</v>
      </c>
      <c r="R44" s="147">
        <f t="shared" si="5"/>
        <v>71864038</v>
      </c>
    </row>
    <row r="45" spans="1:19" hidden="1" x14ac:dyDescent="0.2">
      <c r="A45" s="145">
        <v>44500</v>
      </c>
      <c r="B45" s="146">
        <f>+'Therm Sales Master'!B164</f>
        <v>5302722</v>
      </c>
      <c r="C45" s="147">
        <f>+'Therm Sales Master'!D164</f>
        <v>0</v>
      </c>
      <c r="D45" s="147">
        <f>+'Therm Sales Master'!E164</f>
        <v>1219426</v>
      </c>
      <c r="E45" s="148">
        <f>+'Therm Sales Master'!F164</f>
        <v>334722</v>
      </c>
      <c r="F45" s="147">
        <f>+'Therm Sales Master'!G164</f>
        <v>3066</v>
      </c>
      <c r="G45" s="147">
        <f>+'Therm Sales Master'!H164</f>
        <v>3968867</v>
      </c>
      <c r="H45" s="148">
        <f>+'Therm Sales Master'!J164</f>
        <v>529394</v>
      </c>
      <c r="I45" s="147">
        <f>+'Therm Sales Master'!K164</f>
        <v>0</v>
      </c>
      <c r="J45" s="148">
        <f>+'Therm Sales Master'!L164</f>
        <v>0</v>
      </c>
      <c r="K45" s="146">
        <f>+'Therm Sales Master'!M164</f>
        <v>188282</v>
      </c>
      <c r="L45" s="146">
        <f>+'Therm Sales Master'!N164</f>
        <v>36147853</v>
      </c>
      <c r="M45" s="147">
        <f>+'Therm Sales Master'!O164</f>
        <v>10167896</v>
      </c>
      <c r="N45" s="147">
        <f>+'Therm Sales Master'!P164</f>
        <v>10295353</v>
      </c>
      <c r="O45" s="147">
        <f>+'Therm Sales Master'!Q164</f>
        <v>4181139</v>
      </c>
      <c r="P45" s="148">
        <f>+'Therm Sales Master'!R164</f>
        <v>0</v>
      </c>
      <c r="R45" s="147">
        <f t="shared" si="5"/>
        <v>72338720</v>
      </c>
    </row>
    <row r="46" spans="1:19" x14ac:dyDescent="0.2">
      <c r="A46" s="145">
        <v>44530</v>
      </c>
      <c r="B46" s="146">
        <f>+'Therm Sales Master'!B165</f>
        <v>6875152</v>
      </c>
      <c r="C46" s="147">
        <f>+'Therm Sales Master'!D165</f>
        <v>0</v>
      </c>
      <c r="D46" s="147">
        <f>+'Therm Sales Master'!E165</f>
        <v>687044</v>
      </c>
      <c r="E46" s="148">
        <f>+'Therm Sales Master'!F165</f>
        <v>274192</v>
      </c>
      <c r="F46" s="147">
        <f>+'Therm Sales Master'!G165</f>
        <v>0</v>
      </c>
      <c r="G46" s="147">
        <f>+'Therm Sales Master'!H165</f>
        <v>4648667</v>
      </c>
      <c r="H46" s="148">
        <f>+'Therm Sales Master'!J165</f>
        <v>554223</v>
      </c>
      <c r="I46" s="147">
        <f>+'Therm Sales Master'!K165</f>
        <v>0</v>
      </c>
      <c r="J46" s="148">
        <f>+'Therm Sales Master'!L165</f>
        <v>0</v>
      </c>
      <c r="K46" s="146">
        <f>+'Therm Sales Master'!M165</f>
        <v>0</v>
      </c>
      <c r="L46" s="146">
        <f>+'Therm Sales Master'!N165</f>
        <v>0</v>
      </c>
      <c r="M46" s="147">
        <f>+'Therm Sales Master'!O165</f>
        <v>0</v>
      </c>
      <c r="N46" s="147">
        <f>+'Therm Sales Master'!P165</f>
        <v>0</v>
      </c>
      <c r="O46" s="147">
        <f>+'Therm Sales Master'!Q165</f>
        <v>305909</v>
      </c>
      <c r="P46" s="148">
        <f>+'Therm Sales Master'!R165</f>
        <v>0</v>
      </c>
      <c r="R46" s="147">
        <f t="shared" ref="R46" si="6">SUM(B46:Q46)</f>
        <v>13345187</v>
      </c>
      <c r="S46" s="2" t="s">
        <v>45</v>
      </c>
    </row>
    <row r="47" spans="1:19" x14ac:dyDescent="0.2">
      <c r="A47" s="145">
        <v>44530</v>
      </c>
      <c r="B47" s="146">
        <f>+'Therm Sales Master'!B166</f>
        <v>3055417</v>
      </c>
      <c r="C47" s="147">
        <f>+'Therm Sales Master'!D166</f>
        <v>0</v>
      </c>
      <c r="D47" s="147">
        <f>+'Therm Sales Master'!E166</f>
        <v>241794</v>
      </c>
      <c r="E47" s="148">
        <f>+'Therm Sales Master'!F166</f>
        <v>98046</v>
      </c>
      <c r="F47" s="147">
        <f>+'Therm Sales Master'!G166</f>
        <v>5052</v>
      </c>
      <c r="G47" s="147">
        <f>+'Therm Sales Master'!H166</f>
        <v>1834948</v>
      </c>
      <c r="H47" s="148">
        <f>+'Therm Sales Master'!J166</f>
        <v>314142</v>
      </c>
      <c r="I47" s="147">
        <f>+'Therm Sales Master'!K166</f>
        <v>0</v>
      </c>
      <c r="J47" s="148">
        <f>+'Therm Sales Master'!L166</f>
        <v>0</v>
      </c>
      <c r="K47" s="146">
        <f>+'Therm Sales Master'!M166</f>
        <v>215369</v>
      </c>
      <c r="L47" s="146">
        <f>+'Therm Sales Master'!N166</f>
        <v>34679208</v>
      </c>
      <c r="M47" s="147">
        <f>+'Therm Sales Master'!O166</f>
        <v>13522374</v>
      </c>
      <c r="N47" s="147">
        <f>+'Therm Sales Master'!P166</f>
        <v>7960245</v>
      </c>
      <c r="O47" s="147">
        <f>+'Therm Sales Master'!Q166</f>
        <v>449463</v>
      </c>
      <c r="P47" s="148">
        <f>+'Therm Sales Master'!R166</f>
        <v>0</v>
      </c>
      <c r="R47" s="147">
        <f t="shared" ref="R47" si="7">SUM(B47:Q47)</f>
        <v>62376058</v>
      </c>
      <c r="S47" s="2" t="s">
        <v>46</v>
      </c>
    </row>
    <row r="48" spans="1:19" x14ac:dyDescent="0.2">
      <c r="A48" s="145">
        <v>44561</v>
      </c>
      <c r="B48" s="146">
        <f>+'Therm Sales Master'!B167</f>
        <v>16399782</v>
      </c>
      <c r="C48" s="147">
        <f>+'Therm Sales Master'!D167</f>
        <v>0</v>
      </c>
      <c r="D48" s="147">
        <f>+'Therm Sales Master'!E167</f>
        <v>1371971</v>
      </c>
      <c r="E48" s="148">
        <f>+'Therm Sales Master'!F167</f>
        <v>456838</v>
      </c>
      <c r="F48" s="147">
        <f>+'Therm Sales Master'!G167</f>
        <v>14032</v>
      </c>
      <c r="G48" s="147">
        <f>+'Therm Sales Master'!H167</f>
        <v>10769619</v>
      </c>
      <c r="H48" s="148">
        <f>+'Therm Sales Master'!J167</f>
        <v>1248673</v>
      </c>
      <c r="I48" s="147">
        <f>+'Therm Sales Master'!K167</f>
        <v>0</v>
      </c>
      <c r="J48" s="148">
        <f>+'Therm Sales Master'!L167</f>
        <v>0</v>
      </c>
      <c r="K48" s="146">
        <f>+'Therm Sales Master'!M167</f>
        <v>271190</v>
      </c>
      <c r="L48" s="146">
        <f>+'Therm Sales Master'!N167</f>
        <v>33971503</v>
      </c>
      <c r="M48" s="147">
        <f>+'Therm Sales Master'!O167</f>
        <v>10372937</v>
      </c>
      <c r="N48" s="147">
        <f>+'Therm Sales Master'!P167</f>
        <v>8559438</v>
      </c>
      <c r="O48" s="147">
        <f>+'Therm Sales Master'!Q167</f>
        <v>490739</v>
      </c>
      <c r="P48" s="148">
        <f>+'Therm Sales Master'!R167</f>
        <v>0</v>
      </c>
      <c r="R48" s="147">
        <f t="shared" ref="R48:R58" si="8">SUM(B48:Q48)</f>
        <v>83926722</v>
      </c>
    </row>
    <row r="49" spans="1:18" x14ac:dyDescent="0.2">
      <c r="A49" s="145">
        <v>44592</v>
      </c>
      <c r="B49" s="146">
        <f>+'Therm Sales Master'!B168</f>
        <v>25738243</v>
      </c>
      <c r="C49" s="147">
        <f>+'Therm Sales Master'!D168</f>
        <v>0</v>
      </c>
      <c r="D49" s="147">
        <f>+'Therm Sales Master'!E168</f>
        <v>1704248</v>
      </c>
      <c r="E49" s="148">
        <f>+'Therm Sales Master'!F168</f>
        <v>503777</v>
      </c>
      <c r="F49" s="147">
        <f>+'Therm Sales Master'!G168</f>
        <v>12713</v>
      </c>
      <c r="G49" s="147">
        <f>+'Therm Sales Master'!H168</f>
        <v>17429567</v>
      </c>
      <c r="H49" s="148">
        <f>+'Therm Sales Master'!J168</f>
        <v>1933704</v>
      </c>
      <c r="I49" s="147">
        <f>+'Therm Sales Master'!K168</f>
        <v>0</v>
      </c>
      <c r="J49" s="148">
        <f>+'Therm Sales Master'!L168</f>
        <v>0</v>
      </c>
      <c r="K49" s="146">
        <f>+'Therm Sales Master'!M168</f>
        <v>257267</v>
      </c>
      <c r="L49" s="146">
        <f>+'Therm Sales Master'!N168</f>
        <v>39152740</v>
      </c>
      <c r="M49" s="147">
        <f>+'Therm Sales Master'!O168</f>
        <v>2783061</v>
      </c>
      <c r="N49" s="147">
        <f>+'Therm Sales Master'!P168</f>
        <v>5418332</v>
      </c>
      <c r="O49" s="147">
        <f>+'Therm Sales Master'!Q168</f>
        <v>479370</v>
      </c>
      <c r="P49" s="148">
        <f>+'Therm Sales Master'!R168</f>
        <v>0</v>
      </c>
      <c r="R49" s="147">
        <f t="shared" si="8"/>
        <v>95413022</v>
      </c>
    </row>
    <row r="50" spans="1:18" x14ac:dyDescent="0.2">
      <c r="A50" s="145">
        <v>44620</v>
      </c>
      <c r="B50" s="146">
        <f>+'Therm Sales Master'!B169</f>
        <v>19530273</v>
      </c>
      <c r="C50" s="147">
        <f>+'Therm Sales Master'!D169</f>
        <v>0</v>
      </c>
      <c r="D50" s="147">
        <f>+'Therm Sales Master'!E169</f>
        <v>1365177</v>
      </c>
      <c r="E50" s="148">
        <f>+'Therm Sales Master'!F169</f>
        <v>438477</v>
      </c>
      <c r="F50" s="147">
        <f>+'Therm Sales Master'!G169</f>
        <v>6643</v>
      </c>
      <c r="G50" s="147">
        <f>+'Therm Sales Master'!H169</f>
        <v>13856753</v>
      </c>
      <c r="H50" s="148">
        <f>+'Therm Sales Master'!J169</f>
        <v>1383449</v>
      </c>
      <c r="I50" s="147">
        <f>+'Therm Sales Master'!K169</f>
        <v>0</v>
      </c>
      <c r="J50" s="148">
        <f>+'Therm Sales Master'!L169</f>
        <v>0</v>
      </c>
      <c r="K50" s="146">
        <f>+'Therm Sales Master'!M169</f>
        <v>227538</v>
      </c>
      <c r="L50" s="146">
        <f>+'Therm Sales Master'!N169</f>
        <v>35167746</v>
      </c>
      <c r="M50" s="147">
        <f>+'Therm Sales Master'!O169</f>
        <v>8980650</v>
      </c>
      <c r="N50" s="147">
        <f>+'Therm Sales Master'!P169</f>
        <v>3610543</v>
      </c>
      <c r="O50" s="147">
        <f>+'Therm Sales Master'!Q169</f>
        <v>449992</v>
      </c>
      <c r="P50" s="148">
        <f>+'Therm Sales Master'!R169</f>
        <v>0</v>
      </c>
      <c r="R50" s="147">
        <f t="shared" si="8"/>
        <v>85017241</v>
      </c>
    </row>
    <row r="51" spans="1:18" x14ac:dyDescent="0.2">
      <c r="A51" s="145">
        <v>44651</v>
      </c>
      <c r="B51" s="146">
        <f>+'Therm Sales Master'!B170</f>
        <v>18863108</v>
      </c>
      <c r="C51" s="147">
        <f>+'Therm Sales Master'!D170</f>
        <v>0</v>
      </c>
      <c r="D51" s="147">
        <f>+'Therm Sales Master'!E170</f>
        <v>1544890</v>
      </c>
      <c r="E51" s="148">
        <f>+'Therm Sales Master'!F170</f>
        <v>507616</v>
      </c>
      <c r="F51" s="147">
        <f>+'Therm Sales Master'!G170</f>
        <v>5669</v>
      </c>
      <c r="G51" s="147">
        <f>+'Therm Sales Master'!H170</f>
        <v>13353929</v>
      </c>
      <c r="H51" s="148">
        <f>+'Therm Sales Master'!J170</f>
        <v>1387408</v>
      </c>
      <c r="I51" s="147">
        <f>+'Therm Sales Master'!K170</f>
        <v>0</v>
      </c>
      <c r="J51" s="148">
        <f>+'Therm Sales Master'!L170</f>
        <v>0</v>
      </c>
      <c r="K51" s="146">
        <f>+'Therm Sales Master'!M170</f>
        <v>220931</v>
      </c>
      <c r="L51" s="146">
        <f>+'Therm Sales Master'!N170</f>
        <v>37545657</v>
      </c>
      <c r="M51" s="147">
        <f>+'Therm Sales Master'!O170</f>
        <v>10732336</v>
      </c>
      <c r="N51" s="147">
        <f>+'Therm Sales Master'!P170</f>
        <v>399625</v>
      </c>
      <c r="O51" s="147">
        <f>+'Therm Sales Master'!Q170</f>
        <v>162178</v>
      </c>
      <c r="P51" s="148">
        <f>+'Therm Sales Master'!R170</f>
        <v>0</v>
      </c>
      <c r="R51" s="147">
        <f t="shared" si="8"/>
        <v>84723347</v>
      </c>
    </row>
    <row r="52" spans="1:18" x14ac:dyDescent="0.2">
      <c r="A52" s="145">
        <v>44681</v>
      </c>
      <c r="B52" s="146">
        <f>+'Therm Sales Master'!B171</f>
        <v>12434900</v>
      </c>
      <c r="C52" s="147">
        <f>+'Therm Sales Master'!D171</f>
        <v>0</v>
      </c>
      <c r="D52" s="147">
        <f>+'Therm Sales Master'!E171</f>
        <v>1036159</v>
      </c>
      <c r="E52" s="148">
        <f>+'Therm Sales Master'!F171</f>
        <v>377750</v>
      </c>
      <c r="F52" s="147">
        <f>+'Therm Sales Master'!G171</f>
        <v>10961</v>
      </c>
      <c r="G52" s="147">
        <f>+'Therm Sales Master'!H171</f>
        <v>8644689</v>
      </c>
      <c r="H52" s="148">
        <f>+'Therm Sales Master'!J171</f>
        <v>982514</v>
      </c>
      <c r="I52" s="147">
        <f>+'Therm Sales Master'!K171</f>
        <v>0</v>
      </c>
      <c r="J52" s="148">
        <f>+'Therm Sales Master'!L171</f>
        <v>0</v>
      </c>
      <c r="K52" s="146">
        <f>+'Therm Sales Master'!M171</f>
        <v>211682</v>
      </c>
      <c r="L52" s="146">
        <f>+'Therm Sales Master'!N171</f>
        <v>37240011</v>
      </c>
      <c r="M52" s="147">
        <f>+'Therm Sales Master'!O171</f>
        <v>8681518</v>
      </c>
      <c r="N52" s="147">
        <f>+'Therm Sales Master'!P171</f>
        <v>0</v>
      </c>
      <c r="O52" s="147">
        <f>+'Therm Sales Master'!Q171</f>
        <v>4411828</v>
      </c>
      <c r="P52" s="148">
        <f>+'Therm Sales Master'!R171</f>
        <v>0</v>
      </c>
      <c r="R52" s="147">
        <f t="shared" si="8"/>
        <v>74032012</v>
      </c>
    </row>
    <row r="53" spans="1:18" x14ac:dyDescent="0.2">
      <c r="A53" s="145">
        <v>44712</v>
      </c>
      <c r="B53" s="146">
        <f>+'Therm Sales Master'!B172</f>
        <v>10496103</v>
      </c>
      <c r="C53" s="147">
        <f>+'Therm Sales Master'!D172</f>
        <v>0</v>
      </c>
      <c r="D53" s="147">
        <f>+'Therm Sales Master'!E172</f>
        <v>1008957</v>
      </c>
      <c r="E53" s="148">
        <f>+'Therm Sales Master'!F172</f>
        <v>328009</v>
      </c>
      <c r="F53" s="147">
        <f>+'Therm Sales Master'!G172</f>
        <v>5884</v>
      </c>
      <c r="G53" s="147">
        <f>+'Therm Sales Master'!H172</f>
        <v>7572813</v>
      </c>
      <c r="H53" s="148">
        <f>+'Therm Sales Master'!J172</f>
        <v>860586</v>
      </c>
      <c r="I53" s="147">
        <f>+'Therm Sales Master'!K172</f>
        <v>0</v>
      </c>
      <c r="J53" s="148">
        <f>+'Therm Sales Master'!L172</f>
        <v>0</v>
      </c>
      <c r="K53" s="146">
        <f>+'Therm Sales Master'!M172</f>
        <v>179840</v>
      </c>
      <c r="L53" s="146">
        <f>+'Therm Sales Master'!N172</f>
        <v>35254347</v>
      </c>
      <c r="M53" s="147">
        <f>+'Therm Sales Master'!O172</f>
        <v>6981169</v>
      </c>
      <c r="N53" s="147">
        <f>+'Therm Sales Master'!P172</f>
        <v>0</v>
      </c>
      <c r="O53" s="147">
        <f>+'Therm Sales Master'!Q172</f>
        <v>782753</v>
      </c>
      <c r="P53" s="148">
        <f>+'Therm Sales Master'!R172</f>
        <v>0</v>
      </c>
      <c r="R53" s="147">
        <f t="shared" si="8"/>
        <v>63470461</v>
      </c>
    </row>
    <row r="54" spans="1:18" x14ac:dyDescent="0.2">
      <c r="A54" s="145">
        <v>44742</v>
      </c>
      <c r="B54" s="146">
        <f>+'Therm Sales Master'!B173</f>
        <v>6329476</v>
      </c>
      <c r="C54" s="147">
        <f>+'Therm Sales Master'!D173</f>
        <v>0</v>
      </c>
      <c r="D54" s="147">
        <f>+'Therm Sales Master'!E173</f>
        <v>757107</v>
      </c>
      <c r="E54" s="148">
        <f>+'Therm Sales Master'!F173</f>
        <v>387432</v>
      </c>
      <c r="F54" s="147">
        <f>+'Therm Sales Master'!G173</f>
        <v>2608</v>
      </c>
      <c r="G54" s="147">
        <f>+'Therm Sales Master'!H173</f>
        <v>4956571</v>
      </c>
      <c r="H54" s="148">
        <f>+'Therm Sales Master'!J173</f>
        <v>590255</v>
      </c>
      <c r="I54" s="147">
        <f>+'Therm Sales Master'!K173</f>
        <v>0</v>
      </c>
      <c r="J54" s="148">
        <f>+'Therm Sales Master'!L173</f>
        <v>0</v>
      </c>
      <c r="K54" s="146">
        <f>+'Therm Sales Master'!M173</f>
        <v>115112</v>
      </c>
      <c r="L54" s="146">
        <f>+'Therm Sales Master'!N173</f>
        <v>31295997</v>
      </c>
      <c r="M54" s="147">
        <f>+'Therm Sales Master'!O173</f>
        <v>1361467</v>
      </c>
      <c r="N54" s="147">
        <f>+'Therm Sales Master'!P173</f>
        <v>1217442</v>
      </c>
      <c r="O54" s="147">
        <f>+'Therm Sales Master'!Q173</f>
        <v>621285</v>
      </c>
      <c r="P54" s="148">
        <f>+'Therm Sales Master'!R173</f>
        <v>0</v>
      </c>
      <c r="R54" s="147">
        <f t="shared" si="8"/>
        <v>47634752</v>
      </c>
    </row>
    <row r="55" spans="1:18" x14ac:dyDescent="0.2">
      <c r="A55" s="145">
        <v>44773</v>
      </c>
      <c r="B55" s="168">
        <f>+'Therm Sales Master'!B174-'Therm Sales Master'!C58</f>
        <v>3569632</v>
      </c>
      <c r="C55" s="169">
        <f>+'Therm Sales Master'!D174</f>
        <v>0</v>
      </c>
      <c r="D55" s="169">
        <f>+'Therm Sales Master'!E174</f>
        <v>510625</v>
      </c>
      <c r="E55" s="170">
        <f>+'Therm Sales Master'!F174</f>
        <v>380485</v>
      </c>
      <c r="F55" s="169">
        <f>+'Therm Sales Master'!G174</f>
        <v>1405</v>
      </c>
      <c r="G55" s="169">
        <f>+'Therm Sales Master'!H174-'Therm Sales Master'!I58</f>
        <v>3138892</v>
      </c>
      <c r="H55" s="148">
        <f>+'Therm Sales Master'!J174</f>
        <v>362939</v>
      </c>
      <c r="I55" s="147">
        <f>+'Therm Sales Master'!K174</f>
        <v>0</v>
      </c>
      <c r="J55" s="148">
        <f>+'Therm Sales Master'!L174</f>
        <v>0</v>
      </c>
      <c r="K55" s="146">
        <f>+'Therm Sales Master'!M174</f>
        <v>88882</v>
      </c>
      <c r="L55" s="146">
        <f>+'Therm Sales Master'!N174</f>
        <v>29720370</v>
      </c>
      <c r="M55" s="147">
        <f>+'Therm Sales Master'!O174</f>
        <v>13174665</v>
      </c>
      <c r="N55" s="147">
        <f>+'Therm Sales Master'!P174</f>
        <v>7356565</v>
      </c>
      <c r="O55" s="147">
        <f>+'Therm Sales Master'!Q174</f>
        <v>0</v>
      </c>
      <c r="P55" s="148">
        <f>+'Therm Sales Master'!R174</f>
        <v>0</v>
      </c>
      <c r="R55" s="147">
        <f t="shared" si="8"/>
        <v>58304460</v>
      </c>
    </row>
    <row r="56" spans="1:18" x14ac:dyDescent="0.2">
      <c r="A56" s="145">
        <v>44804</v>
      </c>
      <c r="B56" s="164">
        <f>+'Therm Sales Master'!B175</f>
        <v>2930210</v>
      </c>
      <c r="C56" s="147">
        <f>+'Therm Sales Master'!D175</f>
        <v>0</v>
      </c>
      <c r="D56" s="147">
        <f>+'Therm Sales Master'!E175</f>
        <v>477547</v>
      </c>
      <c r="E56" s="148">
        <f>+'Therm Sales Master'!F175</f>
        <v>353311</v>
      </c>
      <c r="F56" s="147">
        <f>+'Therm Sales Master'!G175</f>
        <v>1532</v>
      </c>
      <c r="G56" s="165">
        <f>+'Therm Sales Master'!H175</f>
        <v>2963491</v>
      </c>
      <c r="H56" s="148">
        <f>+'Therm Sales Master'!J175</f>
        <v>333423</v>
      </c>
      <c r="I56" s="147">
        <f>+'Therm Sales Master'!K175</f>
        <v>0</v>
      </c>
      <c r="J56" s="148">
        <f>+'Therm Sales Master'!L175</f>
        <v>0</v>
      </c>
      <c r="K56" s="146">
        <f>+'Therm Sales Master'!M175</f>
        <v>101586</v>
      </c>
      <c r="L56" s="146">
        <f>+'Therm Sales Master'!N175</f>
        <v>33186006</v>
      </c>
      <c r="M56" s="147">
        <f>+'Therm Sales Master'!O175</f>
        <v>18226302</v>
      </c>
      <c r="N56" s="147">
        <f>+'Therm Sales Master'!P175</f>
        <v>10655816</v>
      </c>
      <c r="O56" s="147">
        <f>+'Therm Sales Master'!Q175</f>
        <v>0</v>
      </c>
      <c r="P56" s="148">
        <f>+'Therm Sales Master'!R175</f>
        <v>0</v>
      </c>
      <c r="R56" s="147">
        <f t="shared" si="8"/>
        <v>69229224</v>
      </c>
    </row>
    <row r="57" spans="1:18" x14ac:dyDescent="0.2">
      <c r="A57" s="145">
        <v>44834</v>
      </c>
      <c r="B57" s="164">
        <f>+'Therm Sales Master'!B176</f>
        <v>-1269341</v>
      </c>
      <c r="C57" s="147">
        <f>+'Therm Sales Master'!D176</f>
        <v>0</v>
      </c>
      <c r="D57" s="147">
        <f>+'Therm Sales Master'!E176</f>
        <v>0</v>
      </c>
      <c r="E57" s="148">
        <f>+'Therm Sales Master'!F176</f>
        <v>0</v>
      </c>
      <c r="F57" s="147">
        <f>+'Therm Sales Master'!G176</f>
        <v>-1532</v>
      </c>
      <c r="G57" s="165">
        <f>+'Therm Sales Master'!H176</f>
        <v>-1362124</v>
      </c>
      <c r="H57" s="148">
        <f>+'Therm Sales Master'!J176</f>
        <v>-7349</v>
      </c>
      <c r="I57" s="147">
        <f>+'Therm Sales Master'!K176</f>
        <v>0</v>
      </c>
      <c r="J57" s="148">
        <f>+'Therm Sales Master'!L176</f>
        <v>0</v>
      </c>
      <c r="K57" s="146">
        <f>+'Therm Sales Master'!M176</f>
        <v>-101586</v>
      </c>
      <c r="L57" s="146">
        <f>+'Therm Sales Master'!N176</f>
        <v>-33186006</v>
      </c>
      <c r="M57" s="147">
        <f>+'Therm Sales Master'!O176</f>
        <v>-18226302</v>
      </c>
      <c r="N57" s="147">
        <f>+'Therm Sales Master'!P176</f>
        <v>-10655816</v>
      </c>
      <c r="O57" s="147">
        <f>+'Therm Sales Master'!Q176</f>
        <v>0</v>
      </c>
      <c r="P57" s="148">
        <f>+'Therm Sales Master'!R176</f>
        <v>0</v>
      </c>
      <c r="R57" s="147">
        <f t="shared" si="8"/>
        <v>-64810056</v>
      </c>
    </row>
    <row r="58" spans="1:18" x14ac:dyDescent="0.2">
      <c r="A58" s="145">
        <v>44865</v>
      </c>
      <c r="B58" s="164">
        <f>+'Therm Sales Master'!B177</f>
        <v>0</v>
      </c>
      <c r="C58" s="147">
        <f>+'Therm Sales Master'!D177</f>
        <v>0</v>
      </c>
      <c r="D58" s="147">
        <f>+'Therm Sales Master'!E177</f>
        <v>0</v>
      </c>
      <c r="E58" s="148">
        <f>+'Therm Sales Master'!F177</f>
        <v>0</v>
      </c>
      <c r="F58" s="147">
        <f>+'Therm Sales Master'!G177</f>
        <v>0</v>
      </c>
      <c r="G58" s="165">
        <f>+'Therm Sales Master'!H177</f>
        <v>0</v>
      </c>
      <c r="H58" s="148">
        <f>+'Therm Sales Master'!J177</f>
        <v>0</v>
      </c>
      <c r="I58" s="147">
        <f>+'Therm Sales Master'!K177</f>
        <v>0</v>
      </c>
      <c r="J58" s="148">
        <f>+'Therm Sales Master'!L177</f>
        <v>0</v>
      </c>
      <c r="K58" s="146">
        <f>+'Therm Sales Master'!M177</f>
        <v>0</v>
      </c>
      <c r="L58" s="146">
        <f>+'Therm Sales Master'!N177</f>
        <v>0</v>
      </c>
      <c r="M58" s="147">
        <f>+'Therm Sales Master'!O177</f>
        <v>0</v>
      </c>
      <c r="N58" s="147">
        <f>+'Therm Sales Master'!P177</f>
        <v>0</v>
      </c>
      <c r="O58" s="147">
        <f>+'Therm Sales Master'!Q177</f>
        <v>0</v>
      </c>
      <c r="P58" s="148">
        <f>+'Therm Sales Master'!R177</f>
        <v>0</v>
      </c>
      <c r="R58" s="147">
        <f t="shared" si="8"/>
        <v>0</v>
      </c>
    </row>
    <row r="59" spans="1:18" x14ac:dyDescent="0.2">
      <c r="A59" s="145"/>
      <c r="B59" s="155"/>
      <c r="C59" s="147"/>
      <c r="D59" s="147"/>
      <c r="E59" s="155"/>
      <c r="F59" s="147"/>
      <c r="G59" s="147"/>
      <c r="H59" s="155"/>
      <c r="I59" s="147"/>
      <c r="J59" s="155"/>
      <c r="K59" s="155"/>
      <c r="L59" s="155"/>
      <c r="M59" s="147"/>
      <c r="N59" s="147"/>
      <c r="O59" s="147"/>
      <c r="P59" s="155"/>
      <c r="R59" s="147"/>
    </row>
    <row r="60" spans="1:18" x14ac:dyDescent="0.2">
      <c r="B60" s="150"/>
      <c r="C60" s="150"/>
      <c r="D60" s="150"/>
      <c r="E60" s="150"/>
      <c r="F60" s="150"/>
      <c r="G60" s="150"/>
      <c r="H60" s="150"/>
      <c r="I60" s="150"/>
      <c r="J60" s="150"/>
      <c r="K60" s="25"/>
      <c r="L60" s="25"/>
      <c r="M60" s="25"/>
      <c r="N60" s="25"/>
      <c r="O60" s="25"/>
      <c r="P60" s="25"/>
    </row>
    <row r="61" spans="1:18" x14ac:dyDescent="0.2">
      <c r="B61" s="139">
        <v>503</v>
      </c>
      <c r="C61" s="139" t="s">
        <v>38</v>
      </c>
      <c r="D61" s="139">
        <v>505</v>
      </c>
      <c r="E61" s="139">
        <v>511</v>
      </c>
      <c r="F61" s="139" t="s">
        <v>39</v>
      </c>
      <c r="G61" s="139">
        <v>504</v>
      </c>
      <c r="H61" s="139" t="s">
        <v>41</v>
      </c>
      <c r="I61" s="139" t="s">
        <v>38</v>
      </c>
      <c r="J61" s="139">
        <v>570</v>
      </c>
      <c r="K61" s="139">
        <v>570</v>
      </c>
      <c r="L61" s="142" t="s">
        <v>42</v>
      </c>
      <c r="M61" s="142">
        <v>6631</v>
      </c>
      <c r="N61" s="142">
        <v>6633</v>
      </c>
      <c r="O61" s="142">
        <v>6635</v>
      </c>
      <c r="P61" s="142">
        <v>916</v>
      </c>
    </row>
    <row r="62" spans="1:18" hidden="1" x14ac:dyDescent="0.2">
      <c r="A62" s="145">
        <v>43343</v>
      </c>
      <c r="B62" s="151">
        <v>-1.5900000000000001E-3</v>
      </c>
      <c r="C62" s="151">
        <v>-7.6999999999999996E-4</v>
      </c>
      <c r="D62" s="151">
        <v>-7.6999999999999996E-4</v>
      </c>
      <c r="E62" s="151">
        <v>-6.3000000000000003E-4</v>
      </c>
      <c r="F62" s="151">
        <v>-1.2199999999999999E-3</v>
      </c>
      <c r="G62" s="151">
        <v>-1.2199999999999999E-3</v>
      </c>
      <c r="H62" s="151">
        <v>-6.3000000000000003E-4</v>
      </c>
      <c r="I62" s="151">
        <v>-7.6999999999999996E-4</v>
      </c>
      <c r="J62" s="151">
        <v>-2.4000000000000001E-4</v>
      </c>
      <c r="K62" s="151">
        <v>-2.4000000000000001E-4</v>
      </c>
      <c r="L62" s="152">
        <v>-1.3999999999999999E-4</v>
      </c>
      <c r="M62" s="152">
        <v>-1.3999999999999999E-4</v>
      </c>
      <c r="N62" s="152">
        <v>-1.3999999999999999E-4</v>
      </c>
      <c r="O62" s="152">
        <v>-1.3999999999999999E-4</v>
      </c>
      <c r="P62" s="152">
        <v>-1.3999999999999999E-4</v>
      </c>
    </row>
    <row r="63" spans="1:18" hidden="1" x14ac:dyDescent="0.2">
      <c r="A63" s="145">
        <v>43373</v>
      </c>
      <c r="B63" s="151">
        <v>-1.5900000000000001E-3</v>
      </c>
      <c r="C63" s="151">
        <v>-7.6999999999999996E-4</v>
      </c>
      <c r="D63" s="151">
        <v>-7.6999999999999996E-4</v>
      </c>
      <c r="E63" s="151">
        <v>-6.3000000000000003E-4</v>
      </c>
      <c r="F63" s="151">
        <v>-1.2199999999999999E-3</v>
      </c>
      <c r="G63" s="151">
        <v>-1.2199999999999999E-3</v>
      </c>
      <c r="H63" s="151">
        <v>-6.3000000000000003E-4</v>
      </c>
      <c r="I63" s="151">
        <v>-7.6999999999999996E-4</v>
      </c>
      <c r="J63" s="151">
        <v>-2.4000000000000001E-4</v>
      </c>
      <c r="K63" s="151">
        <v>-2.4000000000000001E-4</v>
      </c>
      <c r="L63" s="152">
        <v>-1.3999999999999999E-4</v>
      </c>
      <c r="M63" s="152">
        <v>-1.3999999999999999E-4</v>
      </c>
      <c r="N63" s="152">
        <v>-1.3999999999999999E-4</v>
      </c>
      <c r="O63" s="152">
        <v>-1.3999999999999999E-4</v>
      </c>
      <c r="P63" s="152">
        <v>-1.3999999999999999E-4</v>
      </c>
    </row>
    <row r="64" spans="1:18" hidden="1" x14ac:dyDescent="0.2">
      <c r="A64" s="145">
        <v>43404</v>
      </c>
      <c r="B64" s="151">
        <v>-1.5900000000000001E-3</v>
      </c>
      <c r="C64" s="151">
        <v>-7.6999999999999996E-4</v>
      </c>
      <c r="D64" s="151">
        <v>-7.6999999999999996E-4</v>
      </c>
      <c r="E64" s="151">
        <v>-6.3000000000000003E-4</v>
      </c>
      <c r="F64" s="151">
        <v>-1.2199999999999999E-3</v>
      </c>
      <c r="G64" s="151">
        <v>-1.2199999999999999E-3</v>
      </c>
      <c r="H64" s="151">
        <v>-6.3000000000000003E-4</v>
      </c>
      <c r="I64" s="151">
        <v>-7.6999999999999996E-4</v>
      </c>
      <c r="J64" s="151">
        <v>-2.4000000000000001E-4</v>
      </c>
      <c r="K64" s="151">
        <v>-2.4000000000000001E-4</v>
      </c>
      <c r="L64" s="152">
        <v>-1.3999999999999999E-4</v>
      </c>
      <c r="M64" s="152">
        <v>-1.3999999999999999E-4</v>
      </c>
      <c r="N64" s="152">
        <v>-1.3999999999999999E-4</v>
      </c>
      <c r="O64" s="152">
        <v>-1.3999999999999999E-4</v>
      </c>
      <c r="P64" s="152">
        <v>-1.3999999999999999E-4</v>
      </c>
    </row>
    <row r="65" spans="1:19" hidden="1" x14ac:dyDescent="0.2">
      <c r="A65" s="145">
        <v>43434</v>
      </c>
      <c r="B65" s="151">
        <v>-1.7600000000000001E-3</v>
      </c>
      <c r="C65" s="151">
        <v>-8.5999999999999998E-4</v>
      </c>
      <c r="D65" s="151">
        <v>-8.5999999999999998E-4</v>
      </c>
      <c r="E65" s="151">
        <v>-6.9999999999999999E-4</v>
      </c>
      <c r="F65" s="151">
        <v>-1.3500000000000001E-3</v>
      </c>
      <c r="G65" s="151">
        <v>-1.3500000000000001E-3</v>
      </c>
      <c r="H65" s="151">
        <v>-6.9999999999999999E-4</v>
      </c>
      <c r="I65" s="151">
        <v>-8.5999999999999998E-4</v>
      </c>
      <c r="J65" s="151">
        <v>-2.5999999999999998E-4</v>
      </c>
      <c r="K65" s="151">
        <v>-2.5999999999999998E-4</v>
      </c>
      <c r="L65" s="152">
        <v>-1.4999999999999999E-4</v>
      </c>
      <c r="M65" s="152">
        <v>-1.4999999999999999E-4</v>
      </c>
      <c r="N65" s="152">
        <v>-1.4999999999999999E-4</v>
      </c>
      <c r="O65" s="152">
        <v>-1.4999999999999999E-4</v>
      </c>
      <c r="P65" s="152">
        <v>-1.4999999999999999E-4</v>
      </c>
      <c r="S65" s="2" t="s">
        <v>105</v>
      </c>
    </row>
    <row r="66" spans="1:19" hidden="1" x14ac:dyDescent="0.2">
      <c r="A66" s="145">
        <v>43465</v>
      </c>
      <c r="B66" s="151">
        <v>-1.7600000000000001E-3</v>
      </c>
      <c r="C66" s="151">
        <v>-8.5999999999999998E-4</v>
      </c>
      <c r="D66" s="151">
        <v>-8.5999999999999998E-4</v>
      </c>
      <c r="E66" s="151">
        <v>-6.9999999999999999E-4</v>
      </c>
      <c r="F66" s="151">
        <v>-1.3500000000000001E-3</v>
      </c>
      <c r="G66" s="151">
        <v>-1.3500000000000001E-3</v>
      </c>
      <c r="H66" s="151">
        <v>-6.9999999999999999E-4</v>
      </c>
      <c r="I66" s="151">
        <v>-8.5999999999999998E-4</v>
      </c>
      <c r="J66" s="151">
        <v>-2.5999999999999998E-4</v>
      </c>
      <c r="K66" s="151">
        <v>-2.5999999999999998E-4</v>
      </c>
      <c r="L66" s="152">
        <v>-1.4999999999999999E-4</v>
      </c>
      <c r="M66" s="152">
        <v>-1.4999999999999999E-4</v>
      </c>
      <c r="N66" s="152">
        <v>-1.4999999999999999E-4</v>
      </c>
      <c r="O66" s="152">
        <v>-1.4999999999999999E-4</v>
      </c>
      <c r="P66" s="152">
        <v>-1.4999999999999999E-4</v>
      </c>
    </row>
    <row r="67" spans="1:19" hidden="1" x14ac:dyDescent="0.2">
      <c r="A67" s="145">
        <v>43496</v>
      </c>
      <c r="B67" s="151">
        <v>-1.7600000000000001E-3</v>
      </c>
      <c r="C67" s="151">
        <v>-8.5999999999999998E-4</v>
      </c>
      <c r="D67" s="151">
        <v>-8.5999999999999998E-4</v>
      </c>
      <c r="E67" s="151">
        <v>-6.9999999999999999E-4</v>
      </c>
      <c r="F67" s="151">
        <v>-1.3500000000000001E-3</v>
      </c>
      <c r="G67" s="151">
        <v>-1.3500000000000001E-3</v>
      </c>
      <c r="H67" s="151">
        <v>-6.9999999999999999E-4</v>
      </c>
      <c r="I67" s="151">
        <v>-8.5999999999999998E-4</v>
      </c>
      <c r="J67" s="151">
        <v>-2.5999999999999998E-4</v>
      </c>
      <c r="K67" s="151">
        <v>-2.5999999999999998E-4</v>
      </c>
      <c r="L67" s="152">
        <v>-1.4999999999999999E-4</v>
      </c>
      <c r="M67" s="152">
        <v>-1.4999999999999999E-4</v>
      </c>
      <c r="N67" s="152">
        <v>-1.4999999999999999E-4</v>
      </c>
      <c r="O67" s="152">
        <v>-1.4999999999999999E-4</v>
      </c>
      <c r="P67" s="152">
        <v>-1.4999999999999999E-4</v>
      </c>
    </row>
    <row r="68" spans="1:19" hidden="1" x14ac:dyDescent="0.2">
      <c r="A68" s="145">
        <v>43524</v>
      </c>
      <c r="B68" s="151">
        <v>-1.7600000000000001E-3</v>
      </c>
      <c r="C68" s="151">
        <v>-8.5999999999999998E-4</v>
      </c>
      <c r="D68" s="151">
        <v>-8.5999999999999998E-4</v>
      </c>
      <c r="E68" s="151">
        <v>-6.9999999999999999E-4</v>
      </c>
      <c r="F68" s="151">
        <v>-1.3500000000000001E-3</v>
      </c>
      <c r="G68" s="151">
        <v>-1.3500000000000001E-3</v>
      </c>
      <c r="H68" s="151">
        <v>-6.9999999999999999E-4</v>
      </c>
      <c r="I68" s="151">
        <v>-8.5999999999999998E-4</v>
      </c>
      <c r="J68" s="151">
        <v>-2.5999999999999998E-4</v>
      </c>
      <c r="K68" s="151">
        <v>-2.5999999999999998E-4</v>
      </c>
      <c r="L68" s="152">
        <v>-1.4999999999999999E-4</v>
      </c>
      <c r="M68" s="152">
        <v>-1.4999999999999999E-4</v>
      </c>
      <c r="N68" s="152">
        <v>-1.4999999999999999E-4</v>
      </c>
      <c r="O68" s="152">
        <v>-1.4999999999999999E-4</v>
      </c>
      <c r="P68" s="152">
        <v>-1.4999999999999999E-4</v>
      </c>
    </row>
    <row r="69" spans="1:19" hidden="1" x14ac:dyDescent="0.2">
      <c r="A69" s="145">
        <v>43555</v>
      </c>
      <c r="B69" s="151">
        <v>-1.7600000000000001E-3</v>
      </c>
      <c r="C69" s="151">
        <v>-8.5999999999999998E-4</v>
      </c>
      <c r="D69" s="151">
        <v>-8.5999999999999998E-4</v>
      </c>
      <c r="E69" s="151">
        <v>-6.9999999999999999E-4</v>
      </c>
      <c r="F69" s="151">
        <v>-1.3500000000000001E-3</v>
      </c>
      <c r="G69" s="151">
        <v>-1.3500000000000001E-3</v>
      </c>
      <c r="H69" s="151">
        <v>-6.9999999999999999E-4</v>
      </c>
      <c r="I69" s="151">
        <v>-8.5999999999999998E-4</v>
      </c>
      <c r="J69" s="151">
        <v>-2.5999999999999998E-4</v>
      </c>
      <c r="K69" s="151">
        <v>-2.5999999999999998E-4</v>
      </c>
      <c r="L69" s="152">
        <v>-1.4999999999999999E-4</v>
      </c>
      <c r="M69" s="152">
        <v>-1.4999999999999999E-4</v>
      </c>
      <c r="N69" s="152">
        <v>-1.4999999999999999E-4</v>
      </c>
      <c r="O69" s="152">
        <v>-1.4999999999999999E-4</v>
      </c>
      <c r="P69" s="152">
        <v>-1.4999999999999999E-4</v>
      </c>
    </row>
    <row r="70" spans="1:19" hidden="1" x14ac:dyDescent="0.2">
      <c r="A70" s="145">
        <v>43585</v>
      </c>
      <c r="B70" s="151">
        <v>-1.7600000000000001E-3</v>
      </c>
      <c r="C70" s="151">
        <v>-8.5999999999999998E-4</v>
      </c>
      <c r="D70" s="151">
        <v>-8.5999999999999998E-4</v>
      </c>
      <c r="E70" s="151">
        <v>-6.9999999999999999E-4</v>
      </c>
      <c r="F70" s="151">
        <v>-1.3500000000000001E-3</v>
      </c>
      <c r="G70" s="151">
        <v>-1.3500000000000001E-3</v>
      </c>
      <c r="H70" s="151">
        <v>-6.9999999999999999E-4</v>
      </c>
      <c r="I70" s="151">
        <v>-8.5999999999999998E-4</v>
      </c>
      <c r="J70" s="151">
        <v>-2.5999999999999998E-4</v>
      </c>
      <c r="K70" s="151">
        <v>-2.5999999999999998E-4</v>
      </c>
      <c r="L70" s="152">
        <v>-1.4999999999999999E-4</v>
      </c>
      <c r="M70" s="152">
        <v>-1.4999999999999999E-4</v>
      </c>
      <c r="N70" s="152">
        <v>-1.4999999999999999E-4</v>
      </c>
      <c r="O70" s="152">
        <v>-1.4999999999999999E-4</v>
      </c>
      <c r="P70" s="152">
        <v>-1.4999999999999999E-4</v>
      </c>
    </row>
    <row r="71" spans="1:19" hidden="1" x14ac:dyDescent="0.2">
      <c r="A71" s="145">
        <v>43616</v>
      </c>
      <c r="B71" s="151">
        <v>-1.7600000000000001E-3</v>
      </c>
      <c r="C71" s="151">
        <v>-8.5999999999999998E-4</v>
      </c>
      <c r="D71" s="151">
        <v>-8.5999999999999998E-4</v>
      </c>
      <c r="E71" s="151">
        <v>-6.9999999999999999E-4</v>
      </c>
      <c r="F71" s="151">
        <v>-1.3500000000000001E-3</v>
      </c>
      <c r="G71" s="151">
        <v>-1.3500000000000001E-3</v>
      </c>
      <c r="H71" s="151">
        <v>-6.9999999999999999E-4</v>
      </c>
      <c r="I71" s="151">
        <v>-8.5999999999999998E-4</v>
      </c>
      <c r="J71" s="151">
        <v>-2.5999999999999998E-4</v>
      </c>
      <c r="K71" s="151">
        <v>-2.5999999999999998E-4</v>
      </c>
      <c r="L71" s="152">
        <v>-1.4999999999999999E-4</v>
      </c>
      <c r="M71" s="152">
        <v>-1.4999999999999999E-4</v>
      </c>
      <c r="N71" s="152">
        <v>-1.4999999999999999E-4</v>
      </c>
      <c r="O71" s="152">
        <v>-1.4999999999999999E-4</v>
      </c>
      <c r="P71" s="152">
        <v>-1.4999999999999999E-4</v>
      </c>
    </row>
    <row r="72" spans="1:19" hidden="1" x14ac:dyDescent="0.2">
      <c r="A72" s="145">
        <v>43646</v>
      </c>
      <c r="B72" s="151">
        <v>-1.7600000000000001E-3</v>
      </c>
      <c r="C72" s="151">
        <v>-8.5999999999999998E-4</v>
      </c>
      <c r="D72" s="151">
        <v>-8.5999999999999998E-4</v>
      </c>
      <c r="E72" s="151">
        <v>-6.9999999999999999E-4</v>
      </c>
      <c r="F72" s="151">
        <v>-1.3500000000000001E-3</v>
      </c>
      <c r="G72" s="151">
        <v>-1.3500000000000001E-3</v>
      </c>
      <c r="H72" s="151">
        <v>-6.9999999999999999E-4</v>
      </c>
      <c r="I72" s="151">
        <v>-8.5999999999999998E-4</v>
      </c>
      <c r="J72" s="151">
        <v>-2.5999999999999998E-4</v>
      </c>
      <c r="K72" s="151">
        <v>-2.5999999999999998E-4</v>
      </c>
      <c r="L72" s="152">
        <v>-1.4999999999999999E-4</v>
      </c>
      <c r="M72" s="152">
        <v>-1.4999999999999999E-4</v>
      </c>
      <c r="N72" s="152">
        <v>-1.4999999999999999E-4</v>
      </c>
      <c r="O72" s="152">
        <v>-1.4999999999999999E-4</v>
      </c>
      <c r="P72" s="152">
        <v>-1.4999999999999999E-4</v>
      </c>
    </row>
    <row r="73" spans="1:19" hidden="1" x14ac:dyDescent="0.2">
      <c r="A73" s="145">
        <v>43677</v>
      </c>
      <c r="B73" s="151">
        <v>-1.7600000000000001E-3</v>
      </c>
      <c r="C73" s="151">
        <v>-8.5999999999999998E-4</v>
      </c>
      <c r="D73" s="151">
        <v>-8.5999999999999998E-4</v>
      </c>
      <c r="E73" s="151">
        <v>-6.9999999999999999E-4</v>
      </c>
      <c r="F73" s="151">
        <v>-1.3500000000000001E-3</v>
      </c>
      <c r="G73" s="151">
        <v>-1.3500000000000001E-3</v>
      </c>
      <c r="H73" s="151">
        <v>-6.9999999999999999E-4</v>
      </c>
      <c r="I73" s="151">
        <v>-8.5999999999999998E-4</v>
      </c>
      <c r="J73" s="151">
        <v>-2.5999999999999998E-4</v>
      </c>
      <c r="K73" s="151">
        <v>-2.5999999999999998E-4</v>
      </c>
      <c r="L73" s="151">
        <v>-1.4999999999999999E-4</v>
      </c>
      <c r="M73" s="151">
        <v>-1.4999999999999999E-4</v>
      </c>
      <c r="N73" s="151">
        <v>-1.4999999999999999E-4</v>
      </c>
      <c r="O73" s="151">
        <v>-1.4999999999999999E-4</v>
      </c>
      <c r="P73" s="151">
        <v>-1.4999999999999999E-4</v>
      </c>
    </row>
    <row r="74" spans="1:19" hidden="1" x14ac:dyDescent="0.2">
      <c r="A74" s="145">
        <v>43708</v>
      </c>
      <c r="B74" s="151">
        <v>-1.7600000000000001E-3</v>
      </c>
      <c r="C74" s="151">
        <v>-8.5999999999999998E-4</v>
      </c>
      <c r="D74" s="151">
        <v>-8.5999999999999998E-4</v>
      </c>
      <c r="E74" s="151">
        <v>-6.9999999999999999E-4</v>
      </c>
      <c r="F74" s="151">
        <v>-1.3500000000000001E-3</v>
      </c>
      <c r="G74" s="151">
        <v>-1.3500000000000001E-3</v>
      </c>
      <c r="H74" s="151">
        <v>-6.9999999999999999E-4</v>
      </c>
      <c r="I74" s="151">
        <v>-8.5999999999999998E-4</v>
      </c>
      <c r="J74" s="151">
        <v>-2.5999999999999998E-4</v>
      </c>
      <c r="K74" s="151">
        <v>-2.5999999999999998E-4</v>
      </c>
      <c r="L74" s="151">
        <v>-1.4999999999999999E-4</v>
      </c>
      <c r="M74" s="151">
        <v>-1.4999999999999999E-4</v>
      </c>
      <c r="N74" s="151">
        <v>-1.4999999999999999E-4</v>
      </c>
      <c r="O74" s="151">
        <v>-1.4999999999999999E-4</v>
      </c>
      <c r="P74" s="151">
        <v>-1.4999999999999999E-4</v>
      </c>
    </row>
    <row r="75" spans="1:19" hidden="1" x14ac:dyDescent="0.2">
      <c r="A75" s="145">
        <v>43738</v>
      </c>
      <c r="B75" s="151">
        <v>-1.7600000000000001E-3</v>
      </c>
      <c r="C75" s="151">
        <v>-8.5999999999999998E-4</v>
      </c>
      <c r="D75" s="151">
        <v>-8.5999999999999998E-4</v>
      </c>
      <c r="E75" s="151">
        <v>-6.9999999999999999E-4</v>
      </c>
      <c r="F75" s="151">
        <v>-1.3500000000000001E-3</v>
      </c>
      <c r="G75" s="151">
        <v>-1.3500000000000001E-3</v>
      </c>
      <c r="H75" s="151">
        <v>-6.9999999999999999E-4</v>
      </c>
      <c r="I75" s="151">
        <v>-8.5999999999999998E-4</v>
      </c>
      <c r="J75" s="151">
        <v>-2.5999999999999998E-4</v>
      </c>
      <c r="K75" s="151">
        <v>-2.5999999999999998E-4</v>
      </c>
      <c r="L75" s="151">
        <v>-1.4999999999999999E-4</v>
      </c>
      <c r="M75" s="151">
        <v>-1.4999999999999999E-4</v>
      </c>
      <c r="N75" s="151">
        <v>-1.4999999999999999E-4</v>
      </c>
      <c r="O75" s="151">
        <v>-1.4999999999999999E-4</v>
      </c>
      <c r="P75" s="151">
        <v>-1.4999999999999999E-4</v>
      </c>
    </row>
    <row r="76" spans="1:19" hidden="1" x14ac:dyDescent="0.2">
      <c r="A76" s="145">
        <v>43769</v>
      </c>
      <c r="B76" s="151">
        <v>-1.7600000000000001E-3</v>
      </c>
      <c r="C76" s="151">
        <v>-8.5999999999999998E-4</v>
      </c>
      <c r="D76" s="151">
        <v>-8.5999999999999998E-4</v>
      </c>
      <c r="E76" s="151">
        <v>-6.9999999999999999E-4</v>
      </c>
      <c r="F76" s="151">
        <v>-1.3500000000000001E-3</v>
      </c>
      <c r="G76" s="151">
        <v>-1.3500000000000001E-3</v>
      </c>
      <c r="H76" s="151">
        <v>-6.9999999999999999E-4</v>
      </c>
      <c r="I76" s="151">
        <v>-8.5999999999999998E-4</v>
      </c>
      <c r="J76" s="151">
        <v>-2.5999999999999998E-4</v>
      </c>
      <c r="K76" s="151">
        <v>-2.5999999999999998E-4</v>
      </c>
      <c r="L76" s="151">
        <v>-1.4999999999999999E-4</v>
      </c>
      <c r="M76" s="151">
        <v>-1.4999999999999999E-4</v>
      </c>
      <c r="N76" s="151">
        <v>-1.4999999999999999E-4</v>
      </c>
      <c r="O76" s="151">
        <v>-1.4999999999999999E-4</v>
      </c>
      <c r="P76" s="151">
        <v>-1.4999999999999999E-4</v>
      </c>
      <c r="R76" s="2" t="s">
        <v>45</v>
      </c>
    </row>
    <row r="77" spans="1:19" hidden="1" x14ac:dyDescent="0.2">
      <c r="A77" s="145">
        <v>43799</v>
      </c>
      <c r="B77" s="151">
        <v>-1.97E-3</v>
      </c>
      <c r="C77" s="151">
        <v>-9.6000000000000002E-4</v>
      </c>
      <c r="D77" s="151">
        <v>-9.6000000000000002E-4</v>
      </c>
      <c r="E77" s="151">
        <v>-7.9000000000000001E-4</v>
      </c>
      <c r="F77" s="151">
        <v>-1.5200000000000001E-3</v>
      </c>
      <c r="G77" s="151">
        <v>-1.5200000000000001E-3</v>
      </c>
      <c r="H77" s="151">
        <v>-7.9000000000000001E-4</v>
      </c>
      <c r="I77" s="151">
        <v>-9.6000000000000002E-4</v>
      </c>
      <c r="J77" s="151">
        <v>-2.9E-4</v>
      </c>
      <c r="K77" s="151">
        <v>-2.9E-4</v>
      </c>
      <c r="L77" s="151">
        <v>-1.7000000000000001E-4</v>
      </c>
      <c r="M77" s="151">
        <v>-1.7000000000000001E-4</v>
      </c>
      <c r="N77" s="151">
        <v>-1.7000000000000001E-4</v>
      </c>
      <c r="O77" s="151">
        <v>-1.7000000000000001E-4</v>
      </c>
      <c r="P77" s="151">
        <v>-1.7000000000000001E-4</v>
      </c>
      <c r="R77" s="2" t="s">
        <v>46</v>
      </c>
      <c r="S77" s="2" t="s">
        <v>105</v>
      </c>
    </row>
    <row r="78" spans="1:19" hidden="1" x14ac:dyDescent="0.2">
      <c r="A78" s="145">
        <v>43830</v>
      </c>
      <c r="B78" s="151">
        <v>-1.97E-3</v>
      </c>
      <c r="C78" s="151">
        <v>-9.6000000000000002E-4</v>
      </c>
      <c r="D78" s="151">
        <v>-9.6000000000000002E-4</v>
      </c>
      <c r="E78" s="151">
        <v>-7.9000000000000001E-4</v>
      </c>
      <c r="F78" s="151">
        <v>-1.5200000000000001E-3</v>
      </c>
      <c r="G78" s="151">
        <v>-1.5200000000000001E-3</v>
      </c>
      <c r="H78" s="151">
        <v>-7.9000000000000001E-4</v>
      </c>
      <c r="I78" s="151">
        <v>-9.6000000000000002E-4</v>
      </c>
      <c r="J78" s="151">
        <v>-2.9E-4</v>
      </c>
      <c r="K78" s="151">
        <v>-2.9E-4</v>
      </c>
      <c r="L78" s="151">
        <v>-1.7000000000000001E-4</v>
      </c>
      <c r="M78" s="151">
        <v>-1.7000000000000001E-4</v>
      </c>
      <c r="N78" s="151">
        <v>-1.7000000000000001E-4</v>
      </c>
      <c r="O78" s="151">
        <v>-1.7000000000000001E-4</v>
      </c>
      <c r="P78" s="151">
        <v>-1.7000000000000001E-4</v>
      </c>
    </row>
    <row r="79" spans="1:19" hidden="1" x14ac:dyDescent="0.2">
      <c r="A79" s="145">
        <v>43861</v>
      </c>
      <c r="B79" s="151">
        <v>-1.97E-3</v>
      </c>
      <c r="C79" s="151">
        <v>-9.6000000000000002E-4</v>
      </c>
      <c r="D79" s="151">
        <v>-9.6000000000000002E-4</v>
      </c>
      <c r="E79" s="151">
        <v>-7.9000000000000001E-4</v>
      </c>
      <c r="F79" s="151">
        <v>-1.5200000000000001E-3</v>
      </c>
      <c r="G79" s="151">
        <v>-1.5200000000000001E-3</v>
      </c>
      <c r="H79" s="151">
        <v>-7.9000000000000001E-4</v>
      </c>
      <c r="I79" s="151">
        <v>-9.6000000000000002E-4</v>
      </c>
      <c r="J79" s="151">
        <v>-2.9E-4</v>
      </c>
      <c r="K79" s="151">
        <v>-2.9E-4</v>
      </c>
      <c r="L79" s="151">
        <v>-1.7000000000000001E-4</v>
      </c>
      <c r="M79" s="151">
        <v>-1.7000000000000001E-4</v>
      </c>
      <c r="N79" s="151">
        <v>-1.7000000000000001E-4</v>
      </c>
      <c r="O79" s="151">
        <v>-1.7000000000000001E-4</v>
      </c>
      <c r="P79" s="151">
        <v>-1.7000000000000001E-4</v>
      </c>
    </row>
    <row r="80" spans="1:19" hidden="1" x14ac:dyDescent="0.2">
      <c r="A80" s="145">
        <v>43890</v>
      </c>
      <c r="B80" s="151">
        <v>-1.97E-3</v>
      </c>
      <c r="C80" s="151">
        <v>-9.6000000000000002E-4</v>
      </c>
      <c r="D80" s="151">
        <v>-9.6000000000000002E-4</v>
      </c>
      <c r="E80" s="151">
        <v>-7.9000000000000001E-4</v>
      </c>
      <c r="F80" s="151">
        <v>-1.5200000000000001E-3</v>
      </c>
      <c r="G80" s="151">
        <v>-1.5200000000000001E-3</v>
      </c>
      <c r="H80" s="151">
        <v>-7.9000000000000001E-4</v>
      </c>
      <c r="I80" s="151">
        <v>-9.6000000000000002E-4</v>
      </c>
      <c r="J80" s="151">
        <v>-2.9E-4</v>
      </c>
      <c r="K80" s="151">
        <v>-2.9E-4</v>
      </c>
      <c r="L80" s="151">
        <v>-1.7000000000000001E-4</v>
      </c>
      <c r="M80" s="151">
        <v>-1.7000000000000001E-4</v>
      </c>
      <c r="N80" s="151">
        <v>-1.7000000000000001E-4</v>
      </c>
      <c r="O80" s="151">
        <v>-1.7000000000000001E-4</v>
      </c>
      <c r="P80" s="151">
        <v>-1.7000000000000001E-4</v>
      </c>
    </row>
    <row r="81" spans="1:19" hidden="1" x14ac:dyDescent="0.2">
      <c r="A81" s="145">
        <v>43921</v>
      </c>
      <c r="B81" s="151">
        <v>-1.97E-3</v>
      </c>
      <c r="C81" s="151">
        <v>-9.6000000000000002E-4</v>
      </c>
      <c r="D81" s="151">
        <v>-9.6000000000000002E-4</v>
      </c>
      <c r="E81" s="151">
        <v>-7.9000000000000001E-4</v>
      </c>
      <c r="F81" s="151">
        <v>-1.5200000000000001E-3</v>
      </c>
      <c r="G81" s="151">
        <v>-1.5200000000000001E-3</v>
      </c>
      <c r="H81" s="151">
        <v>-7.9000000000000001E-4</v>
      </c>
      <c r="I81" s="151">
        <v>-9.6000000000000002E-4</v>
      </c>
      <c r="J81" s="151">
        <v>-2.9E-4</v>
      </c>
      <c r="K81" s="151">
        <v>-2.9E-4</v>
      </c>
      <c r="L81" s="151">
        <v>-1.7000000000000001E-4</v>
      </c>
      <c r="M81" s="151">
        <v>-1.7000000000000001E-4</v>
      </c>
      <c r="N81" s="151">
        <v>-1.7000000000000001E-4</v>
      </c>
      <c r="O81" s="151">
        <v>-1.7000000000000001E-4</v>
      </c>
      <c r="P81" s="151">
        <v>-1.7000000000000001E-4</v>
      </c>
    </row>
    <row r="82" spans="1:19" hidden="1" x14ac:dyDescent="0.2">
      <c r="A82" s="145">
        <v>43951</v>
      </c>
      <c r="B82" s="151">
        <v>-1.97E-3</v>
      </c>
      <c r="C82" s="151">
        <v>-9.6000000000000002E-4</v>
      </c>
      <c r="D82" s="151">
        <v>-9.6000000000000002E-4</v>
      </c>
      <c r="E82" s="151">
        <v>-7.9000000000000001E-4</v>
      </c>
      <c r="F82" s="151">
        <v>-1.5200000000000001E-3</v>
      </c>
      <c r="G82" s="151">
        <v>-1.5200000000000001E-3</v>
      </c>
      <c r="H82" s="151">
        <v>-7.9000000000000001E-4</v>
      </c>
      <c r="I82" s="151">
        <v>-9.6000000000000002E-4</v>
      </c>
      <c r="J82" s="151">
        <v>-2.9E-4</v>
      </c>
      <c r="K82" s="151">
        <v>-2.9E-4</v>
      </c>
      <c r="L82" s="151">
        <v>-1.7000000000000001E-4</v>
      </c>
      <c r="M82" s="151">
        <v>-1.7000000000000001E-4</v>
      </c>
      <c r="N82" s="151">
        <v>-1.7000000000000001E-4</v>
      </c>
      <c r="O82" s="151">
        <v>-1.7000000000000001E-4</v>
      </c>
      <c r="P82" s="151">
        <v>-1.7000000000000001E-4</v>
      </c>
    </row>
    <row r="83" spans="1:19" hidden="1" x14ac:dyDescent="0.2">
      <c r="A83" s="145">
        <v>43982</v>
      </c>
      <c r="B83" s="151">
        <v>-1.97E-3</v>
      </c>
      <c r="C83" s="151">
        <v>-9.6000000000000002E-4</v>
      </c>
      <c r="D83" s="151">
        <v>-9.6000000000000002E-4</v>
      </c>
      <c r="E83" s="151">
        <v>-7.9000000000000001E-4</v>
      </c>
      <c r="F83" s="151">
        <v>-1.5200000000000001E-3</v>
      </c>
      <c r="G83" s="151">
        <v>-1.5200000000000001E-3</v>
      </c>
      <c r="H83" s="151">
        <v>-7.9000000000000001E-4</v>
      </c>
      <c r="I83" s="151">
        <v>-9.6000000000000002E-4</v>
      </c>
      <c r="J83" s="151">
        <v>-2.9E-4</v>
      </c>
      <c r="K83" s="151">
        <v>-2.9E-4</v>
      </c>
      <c r="L83" s="151">
        <v>-1.7000000000000001E-4</v>
      </c>
      <c r="M83" s="151">
        <v>-1.7000000000000001E-4</v>
      </c>
      <c r="N83" s="151">
        <v>-1.7000000000000001E-4</v>
      </c>
      <c r="O83" s="151">
        <v>-1.7000000000000001E-4</v>
      </c>
      <c r="P83" s="151">
        <v>-1.7000000000000001E-4</v>
      </c>
    </row>
    <row r="84" spans="1:19" hidden="1" x14ac:dyDescent="0.2">
      <c r="A84" s="145">
        <v>44012</v>
      </c>
      <c r="B84" s="151">
        <v>-1.97E-3</v>
      </c>
      <c r="C84" s="151">
        <v>-9.6000000000000002E-4</v>
      </c>
      <c r="D84" s="151">
        <v>-9.6000000000000002E-4</v>
      </c>
      <c r="E84" s="151">
        <v>-7.9000000000000001E-4</v>
      </c>
      <c r="F84" s="151">
        <v>-1.5200000000000001E-3</v>
      </c>
      <c r="G84" s="151">
        <v>-1.5200000000000001E-3</v>
      </c>
      <c r="H84" s="151">
        <v>-7.9000000000000001E-4</v>
      </c>
      <c r="I84" s="151">
        <v>-9.6000000000000002E-4</v>
      </c>
      <c r="J84" s="151">
        <v>-2.9E-4</v>
      </c>
      <c r="K84" s="151">
        <v>-2.9E-4</v>
      </c>
      <c r="L84" s="151">
        <v>-1.7000000000000001E-4</v>
      </c>
      <c r="M84" s="151">
        <v>-1.7000000000000001E-4</v>
      </c>
      <c r="N84" s="151">
        <v>-1.7000000000000001E-4</v>
      </c>
      <c r="O84" s="151">
        <v>-1.7000000000000001E-4</v>
      </c>
      <c r="P84" s="151">
        <v>-1.7000000000000001E-4</v>
      </c>
    </row>
    <row r="85" spans="1:19" hidden="1" x14ac:dyDescent="0.2">
      <c r="A85" s="145">
        <v>44043</v>
      </c>
      <c r="B85" s="151">
        <v>-1.97E-3</v>
      </c>
      <c r="C85" s="151">
        <v>-9.6000000000000002E-4</v>
      </c>
      <c r="D85" s="151">
        <v>-9.6000000000000002E-4</v>
      </c>
      <c r="E85" s="151">
        <v>-7.9000000000000001E-4</v>
      </c>
      <c r="F85" s="151">
        <v>-1.5200000000000001E-3</v>
      </c>
      <c r="G85" s="151">
        <v>-1.5200000000000001E-3</v>
      </c>
      <c r="H85" s="151">
        <v>-7.9000000000000001E-4</v>
      </c>
      <c r="I85" s="151">
        <v>-9.6000000000000002E-4</v>
      </c>
      <c r="J85" s="151">
        <v>-2.9E-4</v>
      </c>
      <c r="K85" s="151">
        <v>-2.9E-4</v>
      </c>
      <c r="L85" s="151">
        <v>-1.7000000000000001E-4</v>
      </c>
      <c r="M85" s="151">
        <v>-1.7000000000000001E-4</v>
      </c>
      <c r="N85" s="151">
        <v>-1.7000000000000001E-4</v>
      </c>
      <c r="O85" s="151">
        <v>-1.7000000000000001E-4</v>
      </c>
      <c r="P85" s="151">
        <v>-1.7000000000000001E-4</v>
      </c>
    </row>
    <row r="86" spans="1:19" hidden="1" x14ac:dyDescent="0.2">
      <c r="A86" s="145">
        <v>44074</v>
      </c>
      <c r="B86" s="151">
        <v>-1.97E-3</v>
      </c>
      <c r="C86" s="151">
        <v>-9.6000000000000002E-4</v>
      </c>
      <c r="D86" s="151">
        <v>-9.6000000000000002E-4</v>
      </c>
      <c r="E86" s="151">
        <v>-7.9000000000000001E-4</v>
      </c>
      <c r="F86" s="151">
        <v>-1.5200000000000001E-3</v>
      </c>
      <c r="G86" s="151">
        <v>-1.5200000000000001E-3</v>
      </c>
      <c r="H86" s="151">
        <v>-7.9000000000000001E-4</v>
      </c>
      <c r="I86" s="151">
        <v>-9.6000000000000002E-4</v>
      </c>
      <c r="J86" s="151">
        <v>-2.9E-4</v>
      </c>
      <c r="K86" s="151">
        <v>-2.9E-4</v>
      </c>
      <c r="L86" s="151">
        <v>-1.7000000000000001E-4</v>
      </c>
      <c r="M86" s="151">
        <v>-1.7000000000000001E-4</v>
      </c>
      <c r="N86" s="151">
        <v>-1.7000000000000001E-4</v>
      </c>
      <c r="O86" s="151">
        <v>-1.7000000000000001E-4</v>
      </c>
      <c r="P86" s="151">
        <v>-1.7000000000000001E-4</v>
      </c>
    </row>
    <row r="87" spans="1:19" hidden="1" x14ac:dyDescent="0.2">
      <c r="A87" s="145">
        <v>44104</v>
      </c>
      <c r="B87" s="151">
        <v>-1.97E-3</v>
      </c>
      <c r="C87" s="151">
        <v>-9.6000000000000002E-4</v>
      </c>
      <c r="D87" s="151">
        <v>-9.6000000000000002E-4</v>
      </c>
      <c r="E87" s="151">
        <v>-7.9000000000000001E-4</v>
      </c>
      <c r="F87" s="151">
        <v>-1.5200000000000001E-3</v>
      </c>
      <c r="G87" s="151">
        <v>-1.5200000000000001E-3</v>
      </c>
      <c r="H87" s="151">
        <v>-7.9000000000000001E-4</v>
      </c>
      <c r="I87" s="151">
        <v>-9.6000000000000002E-4</v>
      </c>
      <c r="J87" s="151">
        <v>-2.9E-4</v>
      </c>
      <c r="K87" s="151">
        <v>-2.9E-4</v>
      </c>
      <c r="L87" s="151">
        <v>-1.7000000000000001E-4</v>
      </c>
      <c r="M87" s="151">
        <v>-1.7000000000000001E-4</v>
      </c>
      <c r="N87" s="151">
        <v>-1.7000000000000001E-4</v>
      </c>
      <c r="O87" s="151">
        <v>-1.7000000000000001E-4</v>
      </c>
      <c r="P87" s="151">
        <v>-1.7000000000000001E-4</v>
      </c>
    </row>
    <row r="88" spans="1:19" hidden="1" x14ac:dyDescent="0.2">
      <c r="A88" s="145">
        <v>44135</v>
      </c>
      <c r="B88" s="151">
        <v>-1.97E-3</v>
      </c>
      <c r="C88" s="151">
        <v>-9.6000000000000002E-4</v>
      </c>
      <c r="D88" s="151">
        <v>-9.6000000000000002E-4</v>
      </c>
      <c r="E88" s="151">
        <v>-7.9000000000000001E-4</v>
      </c>
      <c r="F88" s="151">
        <v>-1.5200000000000001E-3</v>
      </c>
      <c r="G88" s="151">
        <v>-1.5200000000000001E-3</v>
      </c>
      <c r="H88" s="151">
        <v>-7.9000000000000001E-4</v>
      </c>
      <c r="I88" s="151">
        <v>-9.6000000000000002E-4</v>
      </c>
      <c r="J88" s="151">
        <v>-2.9E-4</v>
      </c>
      <c r="K88" s="151">
        <v>-2.9E-4</v>
      </c>
      <c r="L88" s="151">
        <v>-1.7000000000000001E-4</v>
      </c>
      <c r="M88" s="151">
        <v>-1.7000000000000001E-4</v>
      </c>
      <c r="N88" s="151">
        <v>-1.7000000000000001E-4</v>
      </c>
      <c r="O88" s="151">
        <v>-1.7000000000000001E-4</v>
      </c>
      <c r="P88" s="151">
        <v>-1.7000000000000001E-4</v>
      </c>
      <c r="R88" s="2" t="s">
        <v>45</v>
      </c>
    </row>
    <row r="89" spans="1:19" hidden="1" x14ac:dyDescent="0.2">
      <c r="A89" s="145">
        <v>44165</v>
      </c>
      <c r="B89" s="151">
        <v>-1.7600000000000001E-3</v>
      </c>
      <c r="C89" s="151">
        <v>-8.5999999999999998E-4</v>
      </c>
      <c r="D89" s="151">
        <v>-8.5999999999999998E-4</v>
      </c>
      <c r="E89" s="151">
        <v>-6.9999999999999999E-4</v>
      </c>
      <c r="F89" s="151">
        <v>-1.3500000000000001E-3</v>
      </c>
      <c r="G89" s="151">
        <v>-1.3500000000000001E-3</v>
      </c>
      <c r="H89" s="151">
        <v>-6.9999999999999999E-4</v>
      </c>
      <c r="I89" s="151">
        <v>-8.5999999999999998E-4</v>
      </c>
      <c r="J89" s="151">
        <v>-2.5999999999999998E-4</v>
      </c>
      <c r="K89" s="151">
        <v>-2.5999999999999998E-4</v>
      </c>
      <c r="L89" s="151">
        <v>-1.4999999999999999E-4</v>
      </c>
      <c r="M89" s="151">
        <v>-1.4999999999999999E-4</v>
      </c>
      <c r="N89" s="151">
        <v>-1.4999999999999999E-4</v>
      </c>
      <c r="O89" s="151">
        <v>-1.4999999999999999E-4</v>
      </c>
      <c r="P89" s="151"/>
      <c r="R89" s="2" t="s">
        <v>46</v>
      </c>
      <c r="S89" s="2" t="s">
        <v>105</v>
      </c>
    </row>
    <row r="90" spans="1:19" hidden="1" x14ac:dyDescent="0.2">
      <c r="A90" s="145">
        <v>44196</v>
      </c>
      <c r="B90" s="151">
        <v>-1.7600000000000001E-3</v>
      </c>
      <c r="C90" s="151">
        <v>-8.5999999999999998E-4</v>
      </c>
      <c r="D90" s="151">
        <v>-8.5999999999999998E-4</v>
      </c>
      <c r="E90" s="151">
        <v>-6.9999999999999999E-4</v>
      </c>
      <c r="F90" s="151">
        <v>-1.3500000000000001E-3</v>
      </c>
      <c r="G90" s="151">
        <v>-1.3500000000000001E-3</v>
      </c>
      <c r="H90" s="151">
        <v>-6.9999999999999999E-4</v>
      </c>
      <c r="I90" s="151">
        <v>-8.5999999999999998E-4</v>
      </c>
      <c r="J90" s="151">
        <v>-2.5999999999999998E-4</v>
      </c>
      <c r="K90" s="151">
        <v>-2.5999999999999998E-4</v>
      </c>
      <c r="L90" s="151">
        <v>-1.4999999999999999E-4</v>
      </c>
      <c r="M90" s="151">
        <v>-1.4999999999999999E-4</v>
      </c>
      <c r="N90" s="151">
        <v>-1.4999999999999999E-4</v>
      </c>
      <c r="O90" s="151">
        <v>-1.4999999999999999E-4</v>
      </c>
      <c r="P90" s="151"/>
    </row>
    <row r="91" spans="1:19" hidden="1" x14ac:dyDescent="0.2">
      <c r="A91" s="145">
        <v>44227</v>
      </c>
      <c r="B91" s="151">
        <v>-1.7600000000000001E-3</v>
      </c>
      <c r="C91" s="151">
        <v>-8.5999999999999998E-4</v>
      </c>
      <c r="D91" s="151">
        <v>-8.5999999999999998E-4</v>
      </c>
      <c r="E91" s="151">
        <v>-6.9999999999999999E-4</v>
      </c>
      <c r="F91" s="151">
        <v>-1.3500000000000001E-3</v>
      </c>
      <c r="G91" s="151">
        <v>-1.3500000000000001E-3</v>
      </c>
      <c r="H91" s="151">
        <v>-6.9999999999999999E-4</v>
      </c>
      <c r="I91" s="151">
        <v>-8.5999999999999998E-4</v>
      </c>
      <c r="J91" s="151">
        <v>-2.5999999999999998E-4</v>
      </c>
      <c r="K91" s="151">
        <v>-2.5999999999999998E-4</v>
      </c>
      <c r="L91" s="151">
        <v>-1.4999999999999999E-4</v>
      </c>
      <c r="M91" s="151">
        <v>-1.4999999999999999E-4</v>
      </c>
      <c r="N91" s="151">
        <v>-1.4999999999999999E-4</v>
      </c>
      <c r="O91" s="151">
        <v>-1.4999999999999999E-4</v>
      </c>
      <c r="P91" s="151"/>
    </row>
    <row r="92" spans="1:19" hidden="1" x14ac:dyDescent="0.2">
      <c r="A92" s="145">
        <v>44255</v>
      </c>
      <c r="B92" s="151">
        <v>-1.7600000000000001E-3</v>
      </c>
      <c r="C92" s="151">
        <v>-8.5999999999999998E-4</v>
      </c>
      <c r="D92" s="151">
        <v>-8.5999999999999998E-4</v>
      </c>
      <c r="E92" s="151">
        <v>-6.9999999999999999E-4</v>
      </c>
      <c r="F92" s="151">
        <v>-1.3500000000000001E-3</v>
      </c>
      <c r="G92" s="151">
        <v>-1.3500000000000001E-3</v>
      </c>
      <c r="H92" s="151">
        <v>-6.9999999999999999E-4</v>
      </c>
      <c r="I92" s="151">
        <v>-8.5999999999999998E-4</v>
      </c>
      <c r="J92" s="151">
        <v>-2.5999999999999998E-4</v>
      </c>
      <c r="K92" s="151">
        <v>-2.5999999999999998E-4</v>
      </c>
      <c r="L92" s="151">
        <v>-1.4999999999999999E-4</v>
      </c>
      <c r="M92" s="151">
        <v>-1.4999999999999999E-4</v>
      </c>
      <c r="N92" s="151">
        <v>-1.4999999999999999E-4</v>
      </c>
      <c r="O92" s="151">
        <v>-1.4999999999999999E-4</v>
      </c>
      <c r="P92" s="151"/>
    </row>
    <row r="93" spans="1:19" hidden="1" x14ac:dyDescent="0.2">
      <c r="A93" s="145">
        <v>44286</v>
      </c>
      <c r="B93" s="151">
        <v>-1.7600000000000001E-3</v>
      </c>
      <c r="C93" s="151">
        <v>-8.5999999999999998E-4</v>
      </c>
      <c r="D93" s="151">
        <v>-8.5999999999999998E-4</v>
      </c>
      <c r="E93" s="151">
        <v>-6.9999999999999999E-4</v>
      </c>
      <c r="F93" s="151">
        <v>-1.3500000000000001E-3</v>
      </c>
      <c r="G93" s="151">
        <v>-1.3500000000000001E-3</v>
      </c>
      <c r="H93" s="151">
        <v>-6.9999999999999999E-4</v>
      </c>
      <c r="I93" s="151">
        <v>-8.5999999999999998E-4</v>
      </c>
      <c r="J93" s="151">
        <v>-2.5999999999999998E-4</v>
      </c>
      <c r="K93" s="151">
        <v>-2.5999999999999998E-4</v>
      </c>
      <c r="L93" s="151">
        <v>-1.4999999999999999E-4</v>
      </c>
      <c r="M93" s="151">
        <v>-1.4999999999999999E-4</v>
      </c>
      <c r="N93" s="151">
        <v>-1.4999999999999999E-4</v>
      </c>
      <c r="O93" s="151">
        <v>-1.4999999999999999E-4</v>
      </c>
      <c r="P93" s="151"/>
    </row>
    <row r="94" spans="1:19" hidden="1" x14ac:dyDescent="0.2">
      <c r="A94" s="145">
        <v>44316</v>
      </c>
      <c r="B94" s="151">
        <v>-1.7600000000000001E-3</v>
      </c>
      <c r="C94" s="151">
        <v>-8.5999999999999998E-4</v>
      </c>
      <c r="D94" s="151">
        <v>-8.5999999999999998E-4</v>
      </c>
      <c r="E94" s="151">
        <v>-6.9999999999999999E-4</v>
      </c>
      <c r="F94" s="151">
        <v>-1.3500000000000001E-3</v>
      </c>
      <c r="G94" s="151">
        <v>-1.3500000000000001E-3</v>
      </c>
      <c r="H94" s="151">
        <v>-6.9999999999999999E-4</v>
      </c>
      <c r="I94" s="151">
        <v>-8.5999999999999998E-4</v>
      </c>
      <c r="J94" s="151">
        <v>-2.5999999999999998E-4</v>
      </c>
      <c r="K94" s="151">
        <v>-2.5999999999999998E-4</v>
      </c>
      <c r="L94" s="151">
        <v>-1.4999999999999999E-4</v>
      </c>
      <c r="M94" s="151">
        <v>-1.4999999999999999E-4</v>
      </c>
      <c r="N94" s="151">
        <v>-1.4999999999999999E-4</v>
      </c>
      <c r="O94" s="151">
        <v>-1.4999999999999999E-4</v>
      </c>
      <c r="P94" s="151"/>
    </row>
    <row r="95" spans="1:19" hidden="1" x14ac:dyDescent="0.2">
      <c r="A95" s="145">
        <v>44347</v>
      </c>
      <c r="B95" s="151">
        <v>-1.7600000000000001E-3</v>
      </c>
      <c r="C95" s="151">
        <v>-8.5999999999999998E-4</v>
      </c>
      <c r="D95" s="151">
        <v>-8.5999999999999998E-4</v>
      </c>
      <c r="E95" s="151">
        <v>-6.9999999999999999E-4</v>
      </c>
      <c r="F95" s="151">
        <v>-1.3500000000000001E-3</v>
      </c>
      <c r="G95" s="151">
        <v>-1.3500000000000001E-3</v>
      </c>
      <c r="H95" s="151">
        <v>-6.9999999999999999E-4</v>
      </c>
      <c r="I95" s="151">
        <v>-8.5999999999999998E-4</v>
      </c>
      <c r="J95" s="151">
        <v>-2.5999999999999998E-4</v>
      </c>
      <c r="K95" s="151">
        <v>-2.5999999999999998E-4</v>
      </c>
      <c r="L95" s="151">
        <v>-1.4999999999999999E-4</v>
      </c>
      <c r="M95" s="151">
        <v>-1.4999999999999999E-4</v>
      </c>
      <c r="N95" s="151">
        <v>-1.4999999999999999E-4</v>
      </c>
      <c r="O95" s="151">
        <v>-1.4999999999999999E-4</v>
      </c>
      <c r="P95" s="151"/>
    </row>
    <row r="96" spans="1:19" hidden="1" x14ac:dyDescent="0.2">
      <c r="A96" s="145">
        <v>44377</v>
      </c>
      <c r="B96" s="151">
        <v>-1.7600000000000001E-3</v>
      </c>
      <c r="C96" s="151">
        <v>-8.5999999999999998E-4</v>
      </c>
      <c r="D96" s="151">
        <v>-8.5999999999999998E-4</v>
      </c>
      <c r="E96" s="151">
        <v>-6.9999999999999999E-4</v>
      </c>
      <c r="F96" s="151">
        <v>-1.3500000000000001E-3</v>
      </c>
      <c r="G96" s="151">
        <v>-1.3500000000000001E-3</v>
      </c>
      <c r="H96" s="151">
        <v>-6.9999999999999999E-4</v>
      </c>
      <c r="I96" s="151">
        <v>-8.5999999999999998E-4</v>
      </c>
      <c r="J96" s="151">
        <v>-2.5999999999999998E-4</v>
      </c>
      <c r="K96" s="151">
        <v>-2.5999999999999998E-4</v>
      </c>
      <c r="L96" s="151">
        <v>-1.4999999999999999E-4</v>
      </c>
      <c r="M96" s="151">
        <v>-1.4999999999999999E-4</v>
      </c>
      <c r="N96" s="151">
        <v>-1.4999999999999999E-4</v>
      </c>
      <c r="O96" s="151">
        <v>-1.4999999999999999E-4</v>
      </c>
      <c r="P96" s="151"/>
    </row>
    <row r="97" spans="1:19" hidden="1" x14ac:dyDescent="0.2">
      <c r="A97" s="145">
        <v>44408</v>
      </c>
      <c r="B97" s="151">
        <v>-1.7600000000000001E-3</v>
      </c>
      <c r="C97" s="151">
        <v>-8.5999999999999998E-4</v>
      </c>
      <c r="D97" s="151">
        <v>-8.5999999999999998E-4</v>
      </c>
      <c r="E97" s="151">
        <v>-6.9999999999999999E-4</v>
      </c>
      <c r="F97" s="151">
        <v>-1.3500000000000001E-3</v>
      </c>
      <c r="G97" s="151">
        <v>-1.3500000000000001E-3</v>
      </c>
      <c r="H97" s="151">
        <v>-6.9999999999999999E-4</v>
      </c>
      <c r="I97" s="151">
        <v>-8.5999999999999998E-4</v>
      </c>
      <c r="J97" s="151">
        <v>-2.5999999999999998E-4</v>
      </c>
      <c r="K97" s="151">
        <v>-2.5999999999999998E-4</v>
      </c>
      <c r="L97" s="151">
        <v>-1.4999999999999999E-4</v>
      </c>
      <c r="M97" s="151">
        <v>-1.4999999999999999E-4</v>
      </c>
      <c r="N97" s="151">
        <v>-1.4999999999999999E-4</v>
      </c>
      <c r="O97" s="151">
        <v>-1.4999999999999999E-4</v>
      </c>
      <c r="P97" s="151"/>
    </row>
    <row r="98" spans="1:19" hidden="1" x14ac:dyDescent="0.2">
      <c r="A98" s="145">
        <v>44439</v>
      </c>
      <c r="B98" s="151">
        <v>-1.7600000000000001E-3</v>
      </c>
      <c r="C98" s="151">
        <v>-8.5999999999999998E-4</v>
      </c>
      <c r="D98" s="151">
        <v>-8.5999999999999998E-4</v>
      </c>
      <c r="E98" s="151">
        <v>-6.9999999999999999E-4</v>
      </c>
      <c r="F98" s="151">
        <v>-1.3500000000000001E-3</v>
      </c>
      <c r="G98" s="151">
        <v>-1.3500000000000001E-3</v>
      </c>
      <c r="H98" s="151">
        <v>-6.9999999999999999E-4</v>
      </c>
      <c r="I98" s="151">
        <v>-8.5999999999999998E-4</v>
      </c>
      <c r="J98" s="151">
        <v>-2.5999999999999998E-4</v>
      </c>
      <c r="K98" s="151">
        <v>-2.5999999999999998E-4</v>
      </c>
      <c r="L98" s="151">
        <v>-1.4999999999999999E-4</v>
      </c>
      <c r="M98" s="151">
        <v>-1.4999999999999999E-4</v>
      </c>
      <c r="N98" s="151">
        <v>-1.4999999999999999E-4</v>
      </c>
      <c r="O98" s="151">
        <v>-1.4999999999999999E-4</v>
      </c>
      <c r="P98" s="151"/>
    </row>
    <row r="99" spans="1:19" hidden="1" x14ac:dyDescent="0.2">
      <c r="A99" s="145">
        <v>44469</v>
      </c>
      <c r="B99" s="151">
        <v>-1.7600000000000001E-3</v>
      </c>
      <c r="C99" s="151">
        <v>-8.5999999999999998E-4</v>
      </c>
      <c r="D99" s="151">
        <v>-8.5999999999999998E-4</v>
      </c>
      <c r="E99" s="151">
        <v>-6.9999999999999999E-4</v>
      </c>
      <c r="F99" s="151">
        <v>-1.3500000000000001E-3</v>
      </c>
      <c r="G99" s="151">
        <v>-1.3500000000000001E-3</v>
      </c>
      <c r="H99" s="151">
        <v>-6.9999999999999999E-4</v>
      </c>
      <c r="I99" s="151">
        <v>-8.5999999999999998E-4</v>
      </c>
      <c r="J99" s="151">
        <v>-2.5999999999999998E-4</v>
      </c>
      <c r="K99" s="151">
        <v>-2.5999999999999998E-4</v>
      </c>
      <c r="L99" s="151">
        <v>-1.4999999999999999E-4</v>
      </c>
      <c r="M99" s="151">
        <v>-1.4999999999999999E-4</v>
      </c>
      <c r="N99" s="151">
        <v>-1.4999999999999999E-4</v>
      </c>
      <c r="O99" s="151">
        <v>-1.4999999999999999E-4</v>
      </c>
      <c r="P99" s="151"/>
    </row>
    <row r="100" spans="1:19" x14ac:dyDescent="0.2">
      <c r="A100" s="145">
        <v>44500</v>
      </c>
      <c r="B100" s="151">
        <v>-1.7600000000000001E-3</v>
      </c>
      <c r="C100" s="151">
        <v>-8.5999999999999998E-4</v>
      </c>
      <c r="D100" s="151">
        <v>-8.5999999999999998E-4</v>
      </c>
      <c r="E100" s="151">
        <v>-6.9999999999999999E-4</v>
      </c>
      <c r="F100" s="151">
        <v>-1.3500000000000001E-3</v>
      </c>
      <c r="G100" s="151">
        <v>-1.3500000000000001E-3</v>
      </c>
      <c r="H100" s="151">
        <v>-6.9999999999999999E-4</v>
      </c>
      <c r="I100" s="151">
        <v>-8.5999999999999998E-4</v>
      </c>
      <c r="J100" s="151">
        <v>-2.5999999999999998E-4</v>
      </c>
      <c r="K100" s="151">
        <v>-2.5999999999999998E-4</v>
      </c>
      <c r="L100" s="151">
        <v>-1.4999999999999999E-4</v>
      </c>
      <c r="M100" s="151">
        <v>-1.4999999999999999E-4</v>
      </c>
      <c r="N100" s="151">
        <v>-1.4999999999999999E-4</v>
      </c>
      <c r="O100" s="151">
        <v>-1.4999999999999999E-4</v>
      </c>
      <c r="P100" s="151"/>
    </row>
    <row r="101" spans="1:19" x14ac:dyDescent="0.2">
      <c r="A101" s="145">
        <v>44530</v>
      </c>
      <c r="B101" s="151">
        <v>-1.8E-3</v>
      </c>
      <c r="C101" s="151">
        <v>-8.7000000000000001E-4</v>
      </c>
      <c r="D101" s="151">
        <v>-8.7000000000000001E-4</v>
      </c>
      <c r="E101" s="151">
        <v>-7.2000000000000005E-4</v>
      </c>
      <c r="F101" s="151">
        <v>-1.3799999999999999E-3</v>
      </c>
      <c r="G101" s="151">
        <v>-1.3799999999999999E-3</v>
      </c>
      <c r="H101" s="151">
        <v>-7.2000000000000005E-4</v>
      </c>
      <c r="I101" s="151">
        <v>-8.7000000000000001E-4</v>
      </c>
      <c r="J101" s="151">
        <v>-2.5999999999999998E-4</v>
      </c>
      <c r="K101" s="151">
        <v>-2.5999999999999998E-4</v>
      </c>
      <c r="L101" s="151">
        <v>-1.6000000000000001E-4</v>
      </c>
      <c r="M101" s="151">
        <v>-1.6000000000000001E-4</v>
      </c>
      <c r="N101" s="151">
        <v>-1.6000000000000001E-4</v>
      </c>
      <c r="O101" s="151">
        <v>-1.6000000000000001E-4</v>
      </c>
      <c r="P101" s="151"/>
      <c r="R101" s="2" t="s">
        <v>46</v>
      </c>
      <c r="S101" s="2" t="s">
        <v>105</v>
      </c>
    </row>
    <row r="102" spans="1:19" x14ac:dyDescent="0.2">
      <c r="A102" s="145">
        <v>44561</v>
      </c>
      <c r="B102" s="151">
        <v>-1.8E-3</v>
      </c>
      <c r="C102" s="151">
        <v>-8.7000000000000001E-4</v>
      </c>
      <c r="D102" s="151">
        <v>-8.7000000000000001E-4</v>
      </c>
      <c r="E102" s="151">
        <v>-7.2000000000000005E-4</v>
      </c>
      <c r="F102" s="151">
        <v>-1.3799999999999999E-3</v>
      </c>
      <c r="G102" s="151">
        <v>-1.3799999999999999E-3</v>
      </c>
      <c r="H102" s="151">
        <v>-7.2000000000000005E-4</v>
      </c>
      <c r="I102" s="151">
        <v>-8.7000000000000001E-4</v>
      </c>
      <c r="J102" s="151">
        <v>-2.5999999999999998E-4</v>
      </c>
      <c r="K102" s="151">
        <v>-2.5999999999999998E-4</v>
      </c>
      <c r="L102" s="151">
        <v>-1.6000000000000001E-4</v>
      </c>
      <c r="M102" s="151">
        <v>-1.6000000000000001E-4</v>
      </c>
      <c r="N102" s="151">
        <v>-1.6000000000000001E-4</v>
      </c>
      <c r="O102" s="151">
        <v>-1.6000000000000001E-4</v>
      </c>
      <c r="P102" s="151"/>
    </row>
    <row r="103" spans="1:19" x14ac:dyDescent="0.2">
      <c r="A103" s="145">
        <v>44592</v>
      </c>
      <c r="B103" s="151">
        <v>-1.8E-3</v>
      </c>
      <c r="C103" s="151">
        <v>-8.7000000000000001E-4</v>
      </c>
      <c r="D103" s="151">
        <v>-8.7000000000000001E-4</v>
      </c>
      <c r="E103" s="151">
        <v>-7.2000000000000005E-4</v>
      </c>
      <c r="F103" s="151">
        <v>-1.3799999999999999E-3</v>
      </c>
      <c r="G103" s="151">
        <v>-1.3799999999999999E-3</v>
      </c>
      <c r="H103" s="151">
        <v>-7.2000000000000005E-4</v>
      </c>
      <c r="I103" s="151">
        <v>-8.7000000000000001E-4</v>
      </c>
      <c r="J103" s="151">
        <v>-2.5999999999999998E-4</v>
      </c>
      <c r="K103" s="151">
        <v>-2.5999999999999998E-4</v>
      </c>
      <c r="L103" s="151">
        <v>-1.6000000000000001E-4</v>
      </c>
      <c r="M103" s="151">
        <v>-1.6000000000000001E-4</v>
      </c>
      <c r="N103" s="151">
        <v>-1.6000000000000001E-4</v>
      </c>
      <c r="O103" s="151">
        <v>-1.6000000000000001E-4</v>
      </c>
      <c r="P103" s="151"/>
    </row>
    <row r="104" spans="1:19" x14ac:dyDescent="0.2">
      <c r="A104" s="145">
        <v>44620</v>
      </c>
      <c r="B104" s="151">
        <v>-1.8E-3</v>
      </c>
      <c r="C104" s="151">
        <v>-8.7000000000000001E-4</v>
      </c>
      <c r="D104" s="151">
        <v>-8.7000000000000001E-4</v>
      </c>
      <c r="E104" s="151">
        <v>-7.2000000000000005E-4</v>
      </c>
      <c r="F104" s="151">
        <v>-1.3799999999999999E-3</v>
      </c>
      <c r="G104" s="151">
        <v>-1.3799999999999999E-3</v>
      </c>
      <c r="H104" s="151">
        <v>-7.2000000000000005E-4</v>
      </c>
      <c r="I104" s="151">
        <v>-8.7000000000000001E-4</v>
      </c>
      <c r="J104" s="151">
        <v>-2.5999999999999998E-4</v>
      </c>
      <c r="K104" s="151">
        <v>-2.5999999999999998E-4</v>
      </c>
      <c r="L104" s="151">
        <v>-1.6000000000000001E-4</v>
      </c>
      <c r="M104" s="151">
        <v>-1.6000000000000001E-4</v>
      </c>
      <c r="N104" s="151">
        <v>-1.6000000000000001E-4</v>
      </c>
      <c r="O104" s="151">
        <v>-1.6000000000000001E-4</v>
      </c>
      <c r="P104" s="151"/>
    </row>
    <row r="105" spans="1:19" x14ac:dyDescent="0.2">
      <c r="A105" s="145">
        <v>44651</v>
      </c>
      <c r="B105" s="151">
        <v>-1.8E-3</v>
      </c>
      <c r="C105" s="151">
        <v>-8.7000000000000001E-4</v>
      </c>
      <c r="D105" s="151">
        <v>-8.7000000000000001E-4</v>
      </c>
      <c r="E105" s="151">
        <v>-7.2000000000000005E-4</v>
      </c>
      <c r="F105" s="151">
        <v>-1.3799999999999999E-3</v>
      </c>
      <c r="G105" s="151">
        <v>-1.3799999999999999E-3</v>
      </c>
      <c r="H105" s="151">
        <v>-7.2000000000000005E-4</v>
      </c>
      <c r="I105" s="151">
        <v>-8.7000000000000001E-4</v>
      </c>
      <c r="J105" s="151">
        <v>-2.5999999999999998E-4</v>
      </c>
      <c r="K105" s="151">
        <v>-2.5999999999999998E-4</v>
      </c>
      <c r="L105" s="151">
        <v>-1.6000000000000001E-4</v>
      </c>
      <c r="M105" s="151">
        <v>-1.6000000000000001E-4</v>
      </c>
      <c r="N105" s="151">
        <v>-1.6000000000000001E-4</v>
      </c>
      <c r="O105" s="151">
        <v>-1.6000000000000001E-4</v>
      </c>
      <c r="P105" s="151"/>
    </row>
    <row r="106" spans="1:19" x14ac:dyDescent="0.2">
      <c r="A106" s="145">
        <v>44681</v>
      </c>
      <c r="B106" s="151">
        <v>-1.8E-3</v>
      </c>
      <c r="C106" s="151">
        <v>-8.7000000000000001E-4</v>
      </c>
      <c r="D106" s="151">
        <v>-8.7000000000000001E-4</v>
      </c>
      <c r="E106" s="151">
        <v>-7.2000000000000005E-4</v>
      </c>
      <c r="F106" s="151">
        <v>-1.3799999999999999E-3</v>
      </c>
      <c r="G106" s="151">
        <v>-1.3799999999999999E-3</v>
      </c>
      <c r="H106" s="151">
        <v>-7.2000000000000005E-4</v>
      </c>
      <c r="I106" s="151">
        <v>-8.7000000000000001E-4</v>
      </c>
      <c r="J106" s="151">
        <v>-2.5999999999999998E-4</v>
      </c>
      <c r="K106" s="151">
        <v>-2.5999999999999998E-4</v>
      </c>
      <c r="L106" s="151">
        <v>-1.6000000000000001E-4</v>
      </c>
      <c r="M106" s="151">
        <v>-1.6000000000000001E-4</v>
      </c>
      <c r="N106" s="151">
        <v>-1.6000000000000001E-4</v>
      </c>
      <c r="O106" s="151">
        <v>-1.6000000000000001E-4</v>
      </c>
      <c r="P106" s="151"/>
    </row>
    <row r="107" spans="1:19" x14ac:dyDescent="0.2">
      <c r="A107" s="145">
        <v>44712</v>
      </c>
      <c r="B107" s="151">
        <v>-1.8E-3</v>
      </c>
      <c r="C107" s="151">
        <v>-8.7000000000000001E-4</v>
      </c>
      <c r="D107" s="151">
        <v>-8.7000000000000001E-4</v>
      </c>
      <c r="E107" s="151">
        <v>-7.2000000000000005E-4</v>
      </c>
      <c r="F107" s="151">
        <v>-1.3799999999999999E-3</v>
      </c>
      <c r="G107" s="151">
        <v>-1.3799999999999999E-3</v>
      </c>
      <c r="H107" s="151">
        <v>-7.2000000000000005E-4</v>
      </c>
      <c r="I107" s="151">
        <v>-8.7000000000000001E-4</v>
      </c>
      <c r="J107" s="151">
        <v>-2.5999999999999998E-4</v>
      </c>
      <c r="K107" s="151">
        <v>-2.5999999999999998E-4</v>
      </c>
      <c r="L107" s="151">
        <v>-1.6000000000000001E-4</v>
      </c>
      <c r="M107" s="151">
        <v>-1.6000000000000001E-4</v>
      </c>
      <c r="N107" s="151">
        <v>-1.6000000000000001E-4</v>
      </c>
      <c r="O107" s="151">
        <v>-1.6000000000000001E-4</v>
      </c>
      <c r="P107" s="151"/>
    </row>
    <row r="108" spans="1:19" x14ac:dyDescent="0.2">
      <c r="A108" s="145">
        <v>44742</v>
      </c>
      <c r="B108" s="151">
        <v>-1.8E-3</v>
      </c>
      <c r="C108" s="151">
        <v>-8.7000000000000001E-4</v>
      </c>
      <c r="D108" s="151">
        <v>-8.7000000000000001E-4</v>
      </c>
      <c r="E108" s="151">
        <v>-7.2000000000000005E-4</v>
      </c>
      <c r="F108" s="151">
        <v>-1.3799999999999999E-3</v>
      </c>
      <c r="G108" s="151">
        <v>-1.3799999999999999E-3</v>
      </c>
      <c r="H108" s="151">
        <v>-7.2000000000000005E-4</v>
      </c>
      <c r="I108" s="151">
        <v>-8.7000000000000001E-4</v>
      </c>
      <c r="J108" s="151">
        <v>-2.5999999999999998E-4</v>
      </c>
      <c r="K108" s="151">
        <v>-2.5999999999999998E-4</v>
      </c>
      <c r="L108" s="151">
        <v>-1.6000000000000001E-4</v>
      </c>
      <c r="M108" s="151">
        <v>-1.6000000000000001E-4</v>
      </c>
      <c r="N108" s="151">
        <v>-1.6000000000000001E-4</v>
      </c>
      <c r="O108" s="151">
        <v>-1.6000000000000001E-4</v>
      </c>
      <c r="P108" s="151"/>
    </row>
    <row r="109" spans="1:19" x14ac:dyDescent="0.2">
      <c r="A109" s="145">
        <v>44773</v>
      </c>
      <c r="B109" s="151">
        <v>-1.8E-3</v>
      </c>
      <c r="C109" s="151">
        <v>-8.7000000000000001E-4</v>
      </c>
      <c r="D109" s="151">
        <v>-8.7000000000000001E-4</v>
      </c>
      <c r="E109" s="151">
        <v>-7.2000000000000005E-4</v>
      </c>
      <c r="F109" s="151">
        <v>-1.3799999999999999E-3</v>
      </c>
      <c r="G109" s="151">
        <v>-1.3799999999999999E-3</v>
      </c>
      <c r="H109" s="151">
        <v>-7.2000000000000005E-4</v>
      </c>
      <c r="I109" s="151">
        <v>-8.7000000000000001E-4</v>
      </c>
      <c r="J109" s="151">
        <v>-2.5999999999999998E-4</v>
      </c>
      <c r="K109" s="151">
        <v>-2.5999999999999998E-4</v>
      </c>
      <c r="L109" s="151">
        <v>-1.6000000000000001E-4</v>
      </c>
      <c r="M109" s="151">
        <v>-1.6000000000000001E-4</v>
      </c>
      <c r="N109" s="151">
        <v>-1.6000000000000001E-4</v>
      </c>
      <c r="O109" s="151">
        <v>-1.6000000000000001E-4</v>
      </c>
      <c r="P109" s="151"/>
    </row>
    <row r="110" spans="1:19" x14ac:dyDescent="0.2">
      <c r="A110" s="145">
        <v>44804</v>
      </c>
      <c r="B110" s="151">
        <v>-1.8E-3</v>
      </c>
      <c r="C110" s="151">
        <v>-8.7000000000000001E-4</v>
      </c>
      <c r="D110" s="151">
        <v>-8.7000000000000001E-4</v>
      </c>
      <c r="E110" s="151">
        <v>-7.2000000000000005E-4</v>
      </c>
      <c r="F110" s="151">
        <v>-1.3799999999999999E-3</v>
      </c>
      <c r="G110" s="151">
        <v>-1.3799999999999999E-3</v>
      </c>
      <c r="H110" s="151">
        <v>-7.2000000000000005E-4</v>
      </c>
      <c r="I110" s="151">
        <v>-8.7000000000000001E-4</v>
      </c>
      <c r="J110" s="151">
        <v>-2.5999999999999998E-4</v>
      </c>
      <c r="K110" s="151">
        <v>-2.5999999999999998E-4</v>
      </c>
      <c r="L110" s="151">
        <v>-1.6000000000000001E-4</v>
      </c>
      <c r="M110" s="151">
        <v>-1.6000000000000001E-4</v>
      </c>
      <c r="N110" s="151">
        <v>-1.6000000000000001E-4</v>
      </c>
      <c r="O110" s="151">
        <v>-1.6000000000000001E-4</v>
      </c>
      <c r="P110" s="151"/>
    </row>
    <row r="111" spans="1:19" x14ac:dyDescent="0.2">
      <c r="A111" s="145">
        <v>44834</v>
      </c>
      <c r="B111" s="151">
        <v>-1.8E-3</v>
      </c>
      <c r="C111" s="151">
        <v>-8.7000000000000001E-4</v>
      </c>
      <c r="D111" s="151">
        <v>-8.7000000000000001E-4</v>
      </c>
      <c r="E111" s="151">
        <v>-7.2000000000000005E-4</v>
      </c>
      <c r="F111" s="151">
        <v>-1.3799999999999999E-3</v>
      </c>
      <c r="G111" s="151">
        <v>-1.3799999999999999E-3</v>
      </c>
      <c r="H111" s="151">
        <v>-7.2000000000000005E-4</v>
      </c>
      <c r="I111" s="151">
        <v>-8.7000000000000001E-4</v>
      </c>
      <c r="J111" s="151">
        <v>-2.5999999999999998E-4</v>
      </c>
      <c r="K111" s="151">
        <v>-2.5999999999999998E-4</v>
      </c>
      <c r="L111" s="151">
        <v>-1.6000000000000001E-4</v>
      </c>
      <c r="M111" s="151">
        <v>-1.6000000000000001E-4</v>
      </c>
      <c r="N111" s="151">
        <v>-1.6000000000000001E-4</v>
      </c>
      <c r="O111" s="151">
        <v>-1.6000000000000001E-4</v>
      </c>
      <c r="P111" s="151"/>
    </row>
    <row r="112" spans="1:19" x14ac:dyDescent="0.2">
      <c r="A112" s="145">
        <v>44865</v>
      </c>
      <c r="B112" s="151">
        <v>-1.8E-3</v>
      </c>
      <c r="C112" s="151">
        <v>-8.7000000000000001E-4</v>
      </c>
      <c r="D112" s="151">
        <v>-8.7000000000000001E-4</v>
      </c>
      <c r="E112" s="151">
        <v>-7.2000000000000005E-4</v>
      </c>
      <c r="F112" s="151">
        <v>-1.3799999999999999E-3</v>
      </c>
      <c r="G112" s="151">
        <v>-1.3799999999999999E-3</v>
      </c>
      <c r="H112" s="151">
        <v>-7.2000000000000005E-4</v>
      </c>
      <c r="I112" s="151">
        <v>-8.7000000000000001E-4</v>
      </c>
      <c r="J112" s="151">
        <v>-2.5999999999999998E-4</v>
      </c>
      <c r="K112" s="151">
        <v>-2.5999999999999998E-4</v>
      </c>
      <c r="L112" s="151">
        <v>-1.6000000000000001E-4</v>
      </c>
      <c r="M112" s="151">
        <v>-1.6000000000000001E-4</v>
      </c>
      <c r="N112" s="151">
        <v>-1.6000000000000001E-4</v>
      </c>
      <c r="O112" s="151">
        <v>-1.6000000000000001E-4</v>
      </c>
      <c r="P112" s="151"/>
    </row>
    <row r="114" spans="1:30" x14ac:dyDescent="0.2">
      <c r="B114" s="150"/>
      <c r="C114" s="150"/>
      <c r="D114" s="150"/>
      <c r="E114" s="150"/>
      <c r="F114" s="150"/>
      <c r="G114" s="150"/>
      <c r="H114" s="150"/>
      <c r="I114" s="150"/>
      <c r="J114" s="150"/>
      <c r="K114" s="25"/>
      <c r="L114" s="25"/>
      <c r="M114" s="25"/>
      <c r="N114" s="25"/>
      <c r="O114" s="25"/>
      <c r="P114" s="25"/>
    </row>
    <row r="115" spans="1:30" x14ac:dyDescent="0.2">
      <c r="B115" s="139">
        <v>503</v>
      </c>
      <c r="C115" s="139" t="s">
        <v>38</v>
      </c>
      <c r="D115" s="139">
        <v>505</v>
      </c>
      <c r="E115" s="139">
        <v>511</v>
      </c>
      <c r="F115" s="139" t="s">
        <v>39</v>
      </c>
      <c r="G115" s="139">
        <v>504</v>
      </c>
      <c r="H115" s="139" t="s">
        <v>41</v>
      </c>
      <c r="I115" s="139" t="s">
        <v>38</v>
      </c>
      <c r="J115" s="139">
        <v>570</v>
      </c>
      <c r="K115" s="139">
        <v>570</v>
      </c>
      <c r="L115" s="142" t="s">
        <v>42</v>
      </c>
      <c r="M115" s="142">
        <v>6631</v>
      </c>
      <c r="N115" s="142">
        <v>6633</v>
      </c>
      <c r="O115" s="142">
        <v>6635</v>
      </c>
      <c r="P115" s="142">
        <v>916</v>
      </c>
      <c r="R115" s="144" t="s">
        <v>51</v>
      </c>
      <c r="T115" s="142">
        <v>4800</v>
      </c>
      <c r="U115" s="142">
        <v>4809</v>
      </c>
      <c r="V115" s="142">
        <v>4810</v>
      </c>
      <c r="W115" s="142">
        <v>4811</v>
      </c>
      <c r="X115" s="142">
        <v>4813</v>
      </c>
      <c r="Y115" s="142" t="s">
        <v>12</v>
      </c>
      <c r="Z115" s="142">
        <v>4861</v>
      </c>
      <c r="AA115" s="142">
        <v>4863</v>
      </c>
      <c r="AB115" s="142" t="s">
        <v>14</v>
      </c>
      <c r="AC115" s="144" t="s">
        <v>51</v>
      </c>
    </row>
    <row r="116" spans="1:30" hidden="1" x14ac:dyDescent="0.2">
      <c r="A116" s="145">
        <f>'TAX Interest Rates'!A17</f>
        <v>43343</v>
      </c>
      <c r="B116" s="153">
        <f t="shared" ref="B116:P116" si="9">ROUND(-B4*B62,2)</f>
        <v>1585.06</v>
      </c>
      <c r="C116" s="153">
        <f t="shared" si="9"/>
        <v>0</v>
      </c>
      <c r="D116" s="153">
        <f t="shared" si="9"/>
        <v>123.25</v>
      </c>
      <c r="E116" s="153">
        <f t="shared" si="9"/>
        <v>55.75</v>
      </c>
      <c r="F116" s="153">
        <f t="shared" si="9"/>
        <v>0.19</v>
      </c>
      <c r="G116" s="153">
        <f t="shared" si="9"/>
        <v>1202.96</v>
      </c>
      <c r="H116" s="153">
        <f t="shared" si="9"/>
        <v>86.51</v>
      </c>
      <c r="I116" s="153">
        <f t="shared" si="9"/>
        <v>0.28000000000000003</v>
      </c>
      <c r="J116" s="153">
        <f t="shared" si="9"/>
        <v>0</v>
      </c>
      <c r="K116" s="153">
        <f t="shared" si="9"/>
        <v>22.41</v>
      </c>
      <c r="L116" s="153">
        <f t="shared" si="9"/>
        <v>3769.5</v>
      </c>
      <c r="M116" s="153">
        <f t="shared" si="9"/>
        <v>0</v>
      </c>
      <c r="N116" s="153">
        <f t="shared" si="9"/>
        <v>1786.76</v>
      </c>
      <c r="O116" s="153">
        <f t="shared" si="9"/>
        <v>741.09</v>
      </c>
      <c r="P116" s="153">
        <f t="shared" si="9"/>
        <v>2015.01</v>
      </c>
      <c r="R116" s="2">
        <f t="shared" ref="R116:R127" si="10">SUM(B116:Q116)</f>
        <v>11388.77</v>
      </c>
      <c r="T116" s="2">
        <f>+B116</f>
        <v>1585.06</v>
      </c>
      <c r="U116" s="2">
        <f>+C116+D116+E116</f>
        <v>179</v>
      </c>
      <c r="V116" s="2">
        <f>+F116+G116+H116</f>
        <v>1289.6600000000001</v>
      </c>
      <c r="W116" s="2">
        <f>+I116+J116</f>
        <v>0.28000000000000003</v>
      </c>
      <c r="X116" s="2">
        <f>+K116</f>
        <v>22.41</v>
      </c>
      <c r="Y116" s="2">
        <f>SUM(T116:X116)</f>
        <v>3076.4100000000003</v>
      </c>
      <c r="Z116" s="2">
        <f>+L116</f>
        <v>3769.5</v>
      </c>
      <c r="AA116" s="2">
        <f>+M116+N116+O116+P116</f>
        <v>4542.8599999999997</v>
      </c>
      <c r="AB116" s="2">
        <f>SUM(Z116:AA116)</f>
        <v>8312.36</v>
      </c>
      <c r="AC116" s="2">
        <f>+Y116+AB116</f>
        <v>11388.77</v>
      </c>
      <c r="AD116" s="2">
        <f>+R116-Y116-AB116</f>
        <v>0</v>
      </c>
    </row>
    <row r="117" spans="1:30" hidden="1" x14ac:dyDescent="0.2">
      <c r="A117" s="145">
        <f>'TAX Interest Rates'!A18</f>
        <v>43373</v>
      </c>
      <c r="B117" s="153">
        <f t="shared" ref="B117:P117" si="11">ROUND(-B5*B63,2)</f>
        <v>4466.6099999999997</v>
      </c>
      <c r="C117" s="153">
        <f t="shared" si="11"/>
        <v>-0.28000000000000003</v>
      </c>
      <c r="D117" s="153">
        <f t="shared" si="11"/>
        <v>498.97</v>
      </c>
      <c r="E117" s="153">
        <f t="shared" si="11"/>
        <v>151.84</v>
      </c>
      <c r="F117" s="153">
        <f t="shared" si="11"/>
        <v>0.61</v>
      </c>
      <c r="G117" s="153">
        <f t="shared" si="11"/>
        <v>3396.7</v>
      </c>
      <c r="H117" s="153">
        <f t="shared" si="11"/>
        <v>242.05</v>
      </c>
      <c r="I117" s="153">
        <f t="shared" si="11"/>
        <v>0.42</v>
      </c>
      <c r="J117" s="153">
        <f t="shared" si="11"/>
        <v>0</v>
      </c>
      <c r="K117" s="153">
        <f t="shared" si="11"/>
        <v>28.47</v>
      </c>
      <c r="L117" s="153">
        <f t="shared" si="11"/>
        <v>4264.5600000000004</v>
      </c>
      <c r="M117" s="153">
        <f t="shared" si="11"/>
        <v>2143.81</v>
      </c>
      <c r="N117" s="153">
        <f t="shared" si="11"/>
        <v>2013.34</v>
      </c>
      <c r="O117" s="153">
        <f t="shared" si="11"/>
        <v>291.33</v>
      </c>
      <c r="P117" s="153">
        <f t="shared" si="11"/>
        <v>0</v>
      </c>
      <c r="R117" s="2">
        <f t="shared" si="10"/>
        <v>17498.43</v>
      </c>
      <c r="T117" s="2">
        <f t="shared" ref="T117:T127" si="12">+B117</f>
        <v>4466.6099999999997</v>
      </c>
      <c r="U117" s="2">
        <f t="shared" ref="U117:U127" si="13">+C117+D117+E117</f>
        <v>650.53000000000009</v>
      </c>
      <c r="V117" s="2">
        <f t="shared" ref="V117:V127" si="14">+F117+G117+H117</f>
        <v>3639.36</v>
      </c>
      <c r="W117" s="2">
        <f t="shared" ref="W117:W127" si="15">+I117+J117</f>
        <v>0.42</v>
      </c>
      <c r="X117" s="2">
        <f t="shared" ref="X117:X127" si="16">+K117</f>
        <v>28.47</v>
      </c>
      <c r="Y117" s="2">
        <f t="shared" ref="Y117:Y127" si="17">SUM(T117:X117)</f>
        <v>8785.39</v>
      </c>
      <c r="Z117" s="2">
        <f t="shared" ref="Z117:Z127" si="18">+L117</f>
        <v>4264.5600000000004</v>
      </c>
      <c r="AA117" s="2">
        <f t="shared" ref="AA117:AA127" si="19">+M117+N117+O117+P117</f>
        <v>4448.4799999999996</v>
      </c>
      <c r="AB117" s="2">
        <f t="shared" ref="AB117:AB127" si="20">SUM(Z117:AA117)</f>
        <v>8713.0400000000009</v>
      </c>
      <c r="AC117" s="2">
        <f t="shared" ref="AC117:AC127" si="21">+Y117+AB117</f>
        <v>17498.43</v>
      </c>
      <c r="AD117" s="2">
        <f t="shared" ref="AD117:AD127" si="22">+R117-Y117-AB117</f>
        <v>0</v>
      </c>
    </row>
    <row r="118" spans="1:30" hidden="1" x14ac:dyDescent="0.2">
      <c r="A118" s="145">
        <f>'TAX Interest Rates'!A19</f>
        <v>43404</v>
      </c>
      <c r="B118" s="153">
        <f t="shared" ref="B118:P118" si="23">ROUND(-B6*B64,2)</f>
        <v>8438.31</v>
      </c>
      <c r="C118" s="153">
        <f t="shared" si="23"/>
        <v>0</v>
      </c>
      <c r="D118" s="153">
        <f t="shared" si="23"/>
        <v>794.32</v>
      </c>
      <c r="E118" s="153">
        <f t="shared" si="23"/>
        <v>281.69</v>
      </c>
      <c r="F118" s="153">
        <f t="shared" si="23"/>
        <v>2.54</v>
      </c>
      <c r="G118" s="153">
        <f t="shared" si="23"/>
        <v>5196.91</v>
      </c>
      <c r="H118" s="153">
        <f t="shared" si="23"/>
        <v>425.02</v>
      </c>
      <c r="I118" s="153">
        <f t="shared" si="23"/>
        <v>0.02</v>
      </c>
      <c r="J118" s="153">
        <f t="shared" si="23"/>
        <v>0</v>
      </c>
      <c r="K118" s="153">
        <f t="shared" si="23"/>
        <v>47.46</v>
      </c>
      <c r="L118" s="153">
        <f t="shared" si="23"/>
        <v>4542.8</v>
      </c>
      <c r="M118" s="153">
        <f t="shared" si="23"/>
        <v>1080</v>
      </c>
      <c r="N118" s="153">
        <f t="shared" si="23"/>
        <v>564.77</v>
      </c>
      <c r="O118" s="153">
        <f t="shared" si="23"/>
        <v>280.22000000000003</v>
      </c>
      <c r="P118" s="153">
        <f t="shared" si="23"/>
        <v>0</v>
      </c>
      <c r="R118" s="2">
        <f t="shared" si="10"/>
        <v>21654.06</v>
      </c>
      <c r="T118" s="2">
        <f t="shared" si="12"/>
        <v>8438.31</v>
      </c>
      <c r="U118" s="2">
        <f t="shared" si="13"/>
        <v>1076.01</v>
      </c>
      <c r="V118" s="2">
        <f t="shared" si="14"/>
        <v>5624.4699999999993</v>
      </c>
      <c r="W118" s="2">
        <f t="shared" si="15"/>
        <v>0.02</v>
      </c>
      <c r="X118" s="2">
        <f t="shared" si="16"/>
        <v>47.46</v>
      </c>
      <c r="Y118" s="2">
        <f t="shared" si="17"/>
        <v>15186.269999999999</v>
      </c>
      <c r="Z118" s="2">
        <f t="shared" si="18"/>
        <v>4542.8</v>
      </c>
      <c r="AA118" s="2">
        <f t="shared" si="19"/>
        <v>1924.99</v>
      </c>
      <c r="AB118" s="2">
        <f t="shared" si="20"/>
        <v>6467.79</v>
      </c>
      <c r="AC118" s="2">
        <f t="shared" si="21"/>
        <v>21654.059999999998</v>
      </c>
      <c r="AD118" s="2">
        <f t="shared" si="22"/>
        <v>0</v>
      </c>
    </row>
    <row r="119" spans="1:30" hidden="1" x14ac:dyDescent="0.2">
      <c r="A119" s="145">
        <f>'TAX Interest Rates'!A20</f>
        <v>43434</v>
      </c>
      <c r="B119" s="153">
        <f t="shared" ref="B119:P119" si="24">ROUND(-B7*B64,2)</f>
        <v>9106.7099999999991</v>
      </c>
      <c r="C119" s="153">
        <f t="shared" si="24"/>
        <v>0</v>
      </c>
      <c r="D119" s="153">
        <f t="shared" si="24"/>
        <v>532.28</v>
      </c>
      <c r="E119" s="153">
        <f t="shared" si="24"/>
        <v>67.7</v>
      </c>
      <c r="F119" s="153">
        <f t="shared" si="24"/>
        <v>0</v>
      </c>
      <c r="G119" s="153">
        <f t="shared" si="24"/>
        <v>4918.25</v>
      </c>
      <c r="H119" s="153">
        <f t="shared" si="24"/>
        <v>289.69</v>
      </c>
      <c r="I119" s="153">
        <f t="shared" si="24"/>
        <v>0</v>
      </c>
      <c r="J119" s="153">
        <f t="shared" si="24"/>
        <v>0</v>
      </c>
      <c r="K119" s="153">
        <f t="shared" si="24"/>
        <v>0</v>
      </c>
      <c r="L119" s="153">
        <f t="shared" si="24"/>
        <v>0</v>
      </c>
      <c r="M119" s="153">
        <f t="shared" si="24"/>
        <v>0</v>
      </c>
      <c r="N119" s="153">
        <f t="shared" si="24"/>
        <v>0</v>
      </c>
      <c r="O119" s="153">
        <f t="shared" si="24"/>
        <v>0</v>
      </c>
      <c r="P119" s="153">
        <f t="shared" si="24"/>
        <v>0</v>
      </c>
      <c r="R119" s="2">
        <f t="shared" ref="R119" si="25">SUM(B119:Q119)</f>
        <v>14914.630000000001</v>
      </c>
      <c r="S119" s="2" t="s">
        <v>45</v>
      </c>
      <c r="T119" s="2">
        <f t="shared" ref="T119" si="26">+B119</f>
        <v>9106.7099999999991</v>
      </c>
      <c r="U119" s="2">
        <f t="shared" ref="U119" si="27">+C119+D119+E119</f>
        <v>599.98</v>
      </c>
      <c r="V119" s="2">
        <f t="shared" ref="V119" si="28">+F119+G119+H119</f>
        <v>5207.9399999999996</v>
      </c>
      <c r="W119" s="2">
        <f t="shared" ref="W119" si="29">+I119+J119</f>
        <v>0</v>
      </c>
      <c r="X119" s="2">
        <f t="shared" ref="X119" si="30">+K119</f>
        <v>0</v>
      </c>
      <c r="Y119" s="2">
        <f t="shared" si="17"/>
        <v>14914.629999999997</v>
      </c>
      <c r="Z119" s="2">
        <f t="shared" si="18"/>
        <v>0</v>
      </c>
      <c r="AA119" s="2">
        <f t="shared" si="19"/>
        <v>0</v>
      </c>
      <c r="AB119" s="2">
        <f t="shared" si="20"/>
        <v>0</v>
      </c>
      <c r="AC119" s="2">
        <f t="shared" si="21"/>
        <v>14914.629999999997</v>
      </c>
      <c r="AD119" s="2">
        <f t="shared" si="22"/>
        <v>3.637978807091713E-12</v>
      </c>
    </row>
    <row r="120" spans="1:30" hidden="1" x14ac:dyDescent="0.2">
      <c r="A120" s="145">
        <f>'TAX Interest Rates'!A20</f>
        <v>43434</v>
      </c>
      <c r="B120" s="153">
        <f t="shared" ref="B120:P120" si="31">ROUND(-B8*B65,2)</f>
        <v>5690.85</v>
      </c>
      <c r="C120" s="153">
        <f t="shared" si="31"/>
        <v>0.05</v>
      </c>
      <c r="D120" s="153">
        <f t="shared" si="31"/>
        <v>256.35000000000002</v>
      </c>
      <c r="E120" s="153">
        <f t="shared" si="31"/>
        <v>54.3</v>
      </c>
      <c r="F120" s="153">
        <f t="shared" si="31"/>
        <v>4.68</v>
      </c>
      <c r="G120" s="153">
        <f t="shared" si="31"/>
        <v>2865.42</v>
      </c>
      <c r="H120" s="153">
        <f t="shared" si="31"/>
        <v>232.35</v>
      </c>
      <c r="I120" s="153">
        <f t="shared" si="31"/>
        <v>0</v>
      </c>
      <c r="J120" s="153">
        <f t="shared" si="31"/>
        <v>0</v>
      </c>
      <c r="K120" s="153">
        <f t="shared" si="31"/>
        <v>56.6</v>
      </c>
      <c r="L120" s="153">
        <f t="shared" si="31"/>
        <v>3892.31</v>
      </c>
      <c r="M120" s="153">
        <f t="shared" si="31"/>
        <v>11.51</v>
      </c>
      <c r="N120" s="153">
        <f t="shared" si="31"/>
        <v>4.2300000000000004</v>
      </c>
      <c r="O120" s="153">
        <f t="shared" si="31"/>
        <v>5.08</v>
      </c>
      <c r="P120" s="153">
        <f t="shared" si="31"/>
        <v>0</v>
      </c>
      <c r="R120" s="2">
        <f t="shared" si="10"/>
        <v>13073.730000000001</v>
      </c>
      <c r="S120" s="2" t="s">
        <v>46</v>
      </c>
      <c r="T120" s="2">
        <f t="shared" si="12"/>
        <v>5690.85</v>
      </c>
      <c r="U120" s="2">
        <f t="shared" si="13"/>
        <v>310.70000000000005</v>
      </c>
      <c r="V120" s="2">
        <f t="shared" si="14"/>
        <v>3102.45</v>
      </c>
      <c r="W120" s="2">
        <f t="shared" si="15"/>
        <v>0</v>
      </c>
      <c r="X120" s="2">
        <f t="shared" si="16"/>
        <v>56.6</v>
      </c>
      <c r="Y120" s="2">
        <f t="shared" si="17"/>
        <v>9160.6</v>
      </c>
      <c r="Z120" s="2">
        <f t="shared" si="18"/>
        <v>3892.31</v>
      </c>
      <c r="AA120" s="2">
        <f t="shared" si="19"/>
        <v>20.82</v>
      </c>
      <c r="AB120" s="2">
        <f t="shared" si="20"/>
        <v>3913.13</v>
      </c>
      <c r="AC120" s="2">
        <f t="shared" si="21"/>
        <v>13073.73</v>
      </c>
      <c r="AD120" s="2">
        <f t="shared" si="22"/>
        <v>0</v>
      </c>
    </row>
    <row r="121" spans="1:30" hidden="1" x14ac:dyDescent="0.2">
      <c r="A121" s="145">
        <f>'TAX Interest Rates'!A21</f>
        <v>43465</v>
      </c>
      <c r="B121" s="153">
        <f t="shared" ref="B121:P121" si="32">ROUND(-B9*B66,2)</f>
        <v>29974.92</v>
      </c>
      <c r="C121" s="153">
        <f t="shared" si="32"/>
        <v>-0.05</v>
      </c>
      <c r="D121" s="153">
        <f t="shared" si="32"/>
        <v>1268.75</v>
      </c>
      <c r="E121" s="153">
        <f t="shared" si="32"/>
        <v>213.7</v>
      </c>
      <c r="F121" s="153">
        <f t="shared" si="32"/>
        <v>6.64</v>
      </c>
      <c r="G121" s="153">
        <f t="shared" si="32"/>
        <v>15471.26</v>
      </c>
      <c r="H121" s="153">
        <f t="shared" si="32"/>
        <v>968.55</v>
      </c>
      <c r="I121" s="153">
        <f t="shared" si="32"/>
        <v>0.12</v>
      </c>
      <c r="J121" s="153">
        <f t="shared" si="32"/>
        <v>0</v>
      </c>
      <c r="K121" s="153">
        <f t="shared" si="32"/>
        <v>67.73</v>
      </c>
      <c r="L121" s="153">
        <f t="shared" si="32"/>
        <v>4402.03</v>
      </c>
      <c r="M121" s="153">
        <f t="shared" si="32"/>
        <v>2157.39</v>
      </c>
      <c r="N121" s="153">
        <f t="shared" si="32"/>
        <v>667.59</v>
      </c>
      <c r="O121" s="153">
        <f t="shared" si="32"/>
        <v>8.6199999999999992</v>
      </c>
      <c r="P121" s="153">
        <f t="shared" si="32"/>
        <v>0</v>
      </c>
      <c r="R121" s="2">
        <f t="shared" si="10"/>
        <v>55207.250000000007</v>
      </c>
      <c r="T121" s="2">
        <f t="shared" si="12"/>
        <v>29974.92</v>
      </c>
      <c r="U121" s="2">
        <f t="shared" si="13"/>
        <v>1482.4</v>
      </c>
      <c r="V121" s="2">
        <f t="shared" si="14"/>
        <v>16446.45</v>
      </c>
      <c r="W121" s="2">
        <f t="shared" si="15"/>
        <v>0.12</v>
      </c>
      <c r="X121" s="2">
        <f t="shared" si="16"/>
        <v>67.73</v>
      </c>
      <c r="Y121" s="2">
        <f t="shared" si="17"/>
        <v>47971.62000000001</v>
      </c>
      <c r="Z121" s="2">
        <f t="shared" si="18"/>
        <v>4402.03</v>
      </c>
      <c r="AA121" s="2">
        <f t="shared" si="19"/>
        <v>2833.6</v>
      </c>
      <c r="AB121" s="2">
        <f t="shared" si="20"/>
        <v>7235.6299999999992</v>
      </c>
      <c r="AC121" s="2">
        <f t="shared" si="21"/>
        <v>55207.250000000007</v>
      </c>
      <c r="AD121" s="2">
        <f t="shared" si="22"/>
        <v>0</v>
      </c>
    </row>
    <row r="122" spans="1:30" hidden="1" x14ac:dyDescent="0.2">
      <c r="A122" s="145">
        <f>'TAX Interest Rates'!A22</f>
        <v>43496</v>
      </c>
      <c r="B122" s="153">
        <f t="shared" ref="B122:P122" si="33">ROUND(-B10*B67,2)</f>
        <v>34189.019999999997</v>
      </c>
      <c r="C122" s="153">
        <f t="shared" si="33"/>
        <v>0</v>
      </c>
      <c r="D122" s="153">
        <f t="shared" si="33"/>
        <v>1232.99</v>
      </c>
      <c r="E122" s="153">
        <f t="shared" si="33"/>
        <v>231.67</v>
      </c>
      <c r="F122" s="153">
        <f t="shared" si="33"/>
        <v>6.25</v>
      </c>
      <c r="G122" s="153">
        <f t="shared" si="33"/>
        <v>17709.259999999998</v>
      </c>
      <c r="H122" s="153">
        <f t="shared" si="33"/>
        <v>1034.3499999999999</v>
      </c>
      <c r="I122" s="153">
        <f t="shared" si="33"/>
        <v>0.01</v>
      </c>
      <c r="J122" s="153">
        <f t="shared" si="33"/>
        <v>0</v>
      </c>
      <c r="K122" s="153">
        <f t="shared" si="33"/>
        <v>67.290000000000006</v>
      </c>
      <c r="L122" s="153">
        <f t="shared" si="33"/>
        <v>4661.54</v>
      </c>
      <c r="M122" s="153">
        <f t="shared" si="33"/>
        <v>2241.67</v>
      </c>
      <c r="N122" s="153">
        <f t="shared" si="33"/>
        <v>613.21</v>
      </c>
      <c r="O122" s="153">
        <f t="shared" si="33"/>
        <v>15.91</v>
      </c>
      <c r="P122" s="153">
        <f t="shared" si="33"/>
        <v>0</v>
      </c>
      <c r="R122" s="2">
        <f t="shared" si="10"/>
        <v>62003.169999999991</v>
      </c>
      <c r="T122" s="2">
        <f t="shared" si="12"/>
        <v>34189.019999999997</v>
      </c>
      <c r="U122" s="2">
        <f t="shared" si="13"/>
        <v>1464.66</v>
      </c>
      <c r="V122" s="2">
        <f t="shared" si="14"/>
        <v>18749.859999999997</v>
      </c>
      <c r="W122" s="2">
        <f t="shared" si="15"/>
        <v>0.01</v>
      </c>
      <c r="X122" s="2">
        <f t="shared" si="16"/>
        <v>67.290000000000006</v>
      </c>
      <c r="Y122" s="2">
        <f t="shared" si="17"/>
        <v>54470.84</v>
      </c>
      <c r="Z122" s="2">
        <f t="shared" si="18"/>
        <v>4661.54</v>
      </c>
      <c r="AA122" s="2">
        <f t="shared" si="19"/>
        <v>2870.79</v>
      </c>
      <c r="AB122" s="2">
        <f t="shared" si="20"/>
        <v>7532.33</v>
      </c>
      <c r="AC122" s="2">
        <f t="shared" si="21"/>
        <v>62003.17</v>
      </c>
      <c r="AD122" s="2">
        <f t="shared" si="22"/>
        <v>0</v>
      </c>
    </row>
    <row r="123" spans="1:30" hidden="1" x14ac:dyDescent="0.2">
      <c r="A123" s="145">
        <f>'TAX Interest Rates'!A23</f>
        <v>43524</v>
      </c>
      <c r="B123" s="153">
        <f t="shared" ref="B123:P123" si="34">ROUND(-B11*B68,2)</f>
        <v>36654.629999999997</v>
      </c>
      <c r="C123" s="153">
        <f t="shared" si="34"/>
        <v>0</v>
      </c>
      <c r="D123" s="153">
        <f t="shared" si="34"/>
        <v>1389.89</v>
      </c>
      <c r="E123" s="153">
        <f t="shared" si="34"/>
        <v>228.18</v>
      </c>
      <c r="F123" s="153">
        <f t="shared" si="34"/>
        <v>7.41</v>
      </c>
      <c r="G123" s="153">
        <f t="shared" si="34"/>
        <v>18884.11</v>
      </c>
      <c r="H123" s="153">
        <f t="shared" si="34"/>
        <v>1069.25</v>
      </c>
      <c r="I123" s="153">
        <f t="shared" si="34"/>
        <v>0</v>
      </c>
      <c r="J123" s="153">
        <f t="shared" si="34"/>
        <v>0</v>
      </c>
      <c r="K123" s="153">
        <f t="shared" si="34"/>
        <v>70.25</v>
      </c>
      <c r="L123" s="153">
        <f t="shared" si="34"/>
        <v>4533.78</v>
      </c>
      <c r="M123" s="153">
        <f t="shared" si="34"/>
        <v>1111.33</v>
      </c>
      <c r="N123" s="153">
        <f t="shared" si="34"/>
        <v>877.01</v>
      </c>
      <c r="O123" s="153">
        <f t="shared" si="34"/>
        <v>34.299999999999997</v>
      </c>
      <c r="P123" s="153">
        <f t="shared" si="34"/>
        <v>0</v>
      </c>
      <c r="R123" s="2">
        <f t="shared" si="10"/>
        <v>64860.140000000007</v>
      </c>
      <c r="T123" s="2">
        <f t="shared" si="12"/>
        <v>36654.629999999997</v>
      </c>
      <c r="U123" s="2">
        <f t="shared" si="13"/>
        <v>1618.0700000000002</v>
      </c>
      <c r="V123" s="2">
        <f t="shared" si="14"/>
        <v>19960.77</v>
      </c>
      <c r="W123" s="2">
        <f t="shared" si="15"/>
        <v>0</v>
      </c>
      <c r="X123" s="2">
        <f t="shared" si="16"/>
        <v>70.25</v>
      </c>
      <c r="Y123" s="2">
        <f t="shared" si="17"/>
        <v>58303.72</v>
      </c>
      <c r="Z123" s="2">
        <f t="shared" si="18"/>
        <v>4533.78</v>
      </c>
      <c r="AA123" s="2">
        <f t="shared" si="19"/>
        <v>2022.6399999999999</v>
      </c>
      <c r="AB123" s="2">
        <f t="shared" si="20"/>
        <v>6556.42</v>
      </c>
      <c r="AC123" s="2">
        <f t="shared" si="21"/>
        <v>64860.14</v>
      </c>
      <c r="AD123" s="2">
        <f t="shared" si="22"/>
        <v>0</v>
      </c>
    </row>
    <row r="124" spans="1:30" hidden="1" x14ac:dyDescent="0.2">
      <c r="A124" s="145">
        <f>'TAX Interest Rates'!A24</f>
        <v>43555</v>
      </c>
      <c r="B124" s="153">
        <f t="shared" ref="B124:P124" si="35">ROUND(-B12*B69,2)</f>
        <v>39435.75</v>
      </c>
      <c r="C124" s="153">
        <f t="shared" si="35"/>
        <v>0</v>
      </c>
      <c r="D124" s="153">
        <f t="shared" si="35"/>
        <v>1543.47</v>
      </c>
      <c r="E124" s="153">
        <f t="shared" si="35"/>
        <v>241.11</v>
      </c>
      <c r="F124" s="153">
        <f t="shared" si="35"/>
        <v>4.76</v>
      </c>
      <c r="G124" s="153">
        <f t="shared" si="35"/>
        <v>21521.46</v>
      </c>
      <c r="H124" s="153">
        <f t="shared" si="35"/>
        <v>1155.07</v>
      </c>
      <c r="I124" s="153">
        <f t="shared" si="35"/>
        <v>0</v>
      </c>
      <c r="J124" s="153">
        <f t="shared" si="35"/>
        <v>0</v>
      </c>
      <c r="K124" s="153">
        <f t="shared" si="35"/>
        <v>64.52</v>
      </c>
      <c r="L124" s="153">
        <f t="shared" si="35"/>
        <v>4416.18</v>
      </c>
      <c r="M124" s="153">
        <f t="shared" si="35"/>
        <v>1472.65</v>
      </c>
      <c r="N124" s="153">
        <f t="shared" si="35"/>
        <v>463.22</v>
      </c>
      <c r="O124" s="153">
        <f t="shared" si="35"/>
        <v>0</v>
      </c>
      <c r="P124" s="153">
        <f t="shared" si="35"/>
        <v>0</v>
      </c>
      <c r="R124" s="2">
        <f t="shared" si="10"/>
        <v>70318.19</v>
      </c>
      <c r="T124" s="2">
        <f t="shared" si="12"/>
        <v>39435.75</v>
      </c>
      <c r="U124" s="2">
        <f t="shared" si="13"/>
        <v>1784.58</v>
      </c>
      <c r="V124" s="2">
        <f t="shared" si="14"/>
        <v>22681.289999999997</v>
      </c>
      <c r="W124" s="2">
        <f t="shared" si="15"/>
        <v>0</v>
      </c>
      <c r="X124" s="2">
        <f t="shared" si="16"/>
        <v>64.52</v>
      </c>
      <c r="Y124" s="2">
        <f t="shared" si="17"/>
        <v>63966.139999999992</v>
      </c>
      <c r="Z124" s="2">
        <f t="shared" si="18"/>
        <v>4416.18</v>
      </c>
      <c r="AA124" s="2">
        <f t="shared" si="19"/>
        <v>1935.8700000000001</v>
      </c>
      <c r="AB124" s="2">
        <f t="shared" si="20"/>
        <v>6352.05</v>
      </c>
      <c r="AC124" s="2">
        <f t="shared" si="21"/>
        <v>70318.189999999988</v>
      </c>
      <c r="AD124" s="2">
        <f t="shared" si="22"/>
        <v>1.0004441719502211E-11</v>
      </c>
    </row>
    <row r="125" spans="1:30" hidden="1" x14ac:dyDescent="0.2">
      <c r="A125" s="145">
        <f>'TAX Interest Rates'!A25</f>
        <v>43585</v>
      </c>
      <c r="B125" s="153">
        <f t="shared" ref="B125:P125" si="36">ROUND(-B13*B70,2)</f>
        <v>21581.75</v>
      </c>
      <c r="C125" s="153">
        <f t="shared" si="36"/>
        <v>0</v>
      </c>
      <c r="D125" s="153">
        <f t="shared" si="36"/>
        <v>1144.93</v>
      </c>
      <c r="E125" s="153">
        <f t="shared" si="36"/>
        <v>237.33</v>
      </c>
      <c r="F125" s="153">
        <f t="shared" si="36"/>
        <v>3.05</v>
      </c>
      <c r="G125" s="153">
        <f t="shared" si="36"/>
        <v>12280.34</v>
      </c>
      <c r="H125" s="153">
        <f t="shared" si="36"/>
        <v>720.19</v>
      </c>
      <c r="I125" s="153">
        <f t="shared" si="36"/>
        <v>0.11</v>
      </c>
      <c r="J125" s="153">
        <f t="shared" si="36"/>
        <v>0</v>
      </c>
      <c r="K125" s="153">
        <f t="shared" si="36"/>
        <v>49.78</v>
      </c>
      <c r="L125" s="153">
        <f t="shared" si="36"/>
        <v>4171.34</v>
      </c>
      <c r="M125" s="153">
        <f t="shared" si="36"/>
        <v>1139.1300000000001</v>
      </c>
      <c r="N125" s="153">
        <f t="shared" si="36"/>
        <v>382.66</v>
      </c>
      <c r="O125" s="153">
        <f t="shared" si="36"/>
        <v>3.64</v>
      </c>
      <c r="P125" s="153">
        <f t="shared" si="36"/>
        <v>0</v>
      </c>
      <c r="R125" s="2">
        <f t="shared" si="10"/>
        <v>41714.250000000007</v>
      </c>
      <c r="T125" s="2">
        <f t="shared" si="12"/>
        <v>21581.75</v>
      </c>
      <c r="U125" s="2">
        <f t="shared" si="13"/>
        <v>1382.26</v>
      </c>
      <c r="V125" s="2">
        <f t="shared" si="14"/>
        <v>13003.58</v>
      </c>
      <c r="W125" s="2">
        <f t="shared" si="15"/>
        <v>0.11</v>
      </c>
      <c r="X125" s="2">
        <f t="shared" si="16"/>
        <v>49.78</v>
      </c>
      <c r="Y125" s="2">
        <f t="shared" si="17"/>
        <v>36017.479999999996</v>
      </c>
      <c r="Z125" s="2">
        <f t="shared" si="18"/>
        <v>4171.34</v>
      </c>
      <c r="AA125" s="2">
        <f t="shared" si="19"/>
        <v>1525.4300000000003</v>
      </c>
      <c r="AB125" s="2">
        <f t="shared" si="20"/>
        <v>5696.77</v>
      </c>
      <c r="AC125" s="2">
        <f t="shared" si="21"/>
        <v>41714.25</v>
      </c>
      <c r="AD125" s="2">
        <f t="shared" si="22"/>
        <v>1.0913936421275139E-11</v>
      </c>
    </row>
    <row r="126" spans="1:30" hidden="1" x14ac:dyDescent="0.2">
      <c r="A126" s="145">
        <f>'TAX Interest Rates'!A26</f>
        <v>43616</v>
      </c>
      <c r="B126" s="153">
        <f t="shared" ref="B126:P126" si="37">ROUND(-B14*B71,2)</f>
        <v>13040.84</v>
      </c>
      <c r="C126" s="153">
        <f t="shared" si="37"/>
        <v>0</v>
      </c>
      <c r="D126" s="153">
        <f t="shared" si="37"/>
        <v>679.3</v>
      </c>
      <c r="E126" s="153">
        <f t="shared" si="37"/>
        <v>187.36</v>
      </c>
      <c r="F126" s="153">
        <f t="shared" si="37"/>
        <v>0.87</v>
      </c>
      <c r="G126" s="153">
        <f t="shared" si="37"/>
        <v>7250.22</v>
      </c>
      <c r="H126" s="153">
        <f t="shared" si="37"/>
        <v>484.54</v>
      </c>
      <c r="I126" s="153">
        <f t="shared" si="37"/>
        <v>0.13</v>
      </c>
      <c r="J126" s="153">
        <f t="shared" si="37"/>
        <v>0</v>
      </c>
      <c r="K126" s="153">
        <f t="shared" si="37"/>
        <v>36.99</v>
      </c>
      <c r="L126" s="153">
        <f t="shared" si="37"/>
        <v>4477.1899999999996</v>
      </c>
      <c r="M126" s="153">
        <f t="shared" si="37"/>
        <v>801.1</v>
      </c>
      <c r="N126" s="153">
        <f t="shared" si="37"/>
        <v>57.3</v>
      </c>
      <c r="O126" s="153">
        <f t="shared" si="37"/>
        <v>35.11</v>
      </c>
      <c r="P126" s="153">
        <f t="shared" si="37"/>
        <v>0</v>
      </c>
      <c r="R126" s="2">
        <f t="shared" si="10"/>
        <v>27050.95</v>
      </c>
      <c r="T126" s="2">
        <f t="shared" si="12"/>
        <v>13040.84</v>
      </c>
      <c r="U126" s="2">
        <f t="shared" si="13"/>
        <v>866.66</v>
      </c>
      <c r="V126" s="2">
        <f t="shared" si="14"/>
        <v>7735.63</v>
      </c>
      <c r="W126" s="2">
        <f t="shared" si="15"/>
        <v>0.13</v>
      </c>
      <c r="X126" s="2">
        <f t="shared" si="16"/>
        <v>36.99</v>
      </c>
      <c r="Y126" s="2">
        <f t="shared" si="17"/>
        <v>21680.250000000004</v>
      </c>
      <c r="Z126" s="2">
        <f t="shared" si="18"/>
        <v>4477.1899999999996</v>
      </c>
      <c r="AA126" s="2">
        <f t="shared" si="19"/>
        <v>893.51</v>
      </c>
      <c r="AB126" s="2">
        <f t="shared" si="20"/>
        <v>5370.7</v>
      </c>
      <c r="AC126" s="2">
        <f t="shared" si="21"/>
        <v>27050.950000000004</v>
      </c>
      <c r="AD126" s="2">
        <f t="shared" si="22"/>
        <v>0</v>
      </c>
    </row>
    <row r="127" spans="1:30" hidden="1" x14ac:dyDescent="0.2">
      <c r="A127" s="145">
        <f>'TAX Interest Rates'!A27</f>
        <v>43646</v>
      </c>
      <c r="B127" s="153">
        <f t="shared" ref="B127:P127" si="38">ROUND(-B15*B72,2)</f>
        <v>7122.2</v>
      </c>
      <c r="C127" s="153">
        <f t="shared" si="38"/>
        <v>0</v>
      </c>
      <c r="D127" s="153">
        <f t="shared" si="38"/>
        <v>497.97</v>
      </c>
      <c r="E127" s="153">
        <f t="shared" si="38"/>
        <v>192.53</v>
      </c>
      <c r="F127" s="153">
        <f t="shared" si="38"/>
        <v>0.5</v>
      </c>
      <c r="G127" s="153">
        <f t="shared" si="38"/>
        <v>4678.3999999999996</v>
      </c>
      <c r="H127" s="153">
        <f t="shared" si="38"/>
        <v>335.96</v>
      </c>
      <c r="I127" s="153">
        <f t="shared" si="38"/>
        <v>0</v>
      </c>
      <c r="J127" s="153">
        <f t="shared" si="38"/>
        <v>0</v>
      </c>
      <c r="K127" s="153">
        <f t="shared" si="38"/>
        <v>28.86</v>
      </c>
      <c r="L127" s="153">
        <f t="shared" si="38"/>
        <v>4059.03</v>
      </c>
      <c r="M127" s="153">
        <f t="shared" si="38"/>
        <v>1173.68</v>
      </c>
      <c r="N127" s="153">
        <f t="shared" si="38"/>
        <v>1016.52</v>
      </c>
      <c r="O127" s="153">
        <f t="shared" si="38"/>
        <v>166.93</v>
      </c>
      <c r="P127" s="153">
        <f t="shared" si="38"/>
        <v>0</v>
      </c>
      <c r="R127" s="2">
        <f t="shared" si="10"/>
        <v>19272.579999999998</v>
      </c>
      <c r="T127" s="2">
        <f t="shared" si="12"/>
        <v>7122.2</v>
      </c>
      <c r="U127" s="2">
        <f t="shared" si="13"/>
        <v>690.5</v>
      </c>
      <c r="V127" s="2">
        <f t="shared" si="14"/>
        <v>5014.8599999999997</v>
      </c>
      <c r="W127" s="2">
        <f t="shared" si="15"/>
        <v>0</v>
      </c>
      <c r="X127" s="2">
        <f t="shared" si="16"/>
        <v>28.86</v>
      </c>
      <c r="Y127" s="2">
        <f t="shared" si="17"/>
        <v>12856.42</v>
      </c>
      <c r="Z127" s="2">
        <f t="shared" si="18"/>
        <v>4059.03</v>
      </c>
      <c r="AA127" s="2">
        <f t="shared" si="19"/>
        <v>2357.1299999999997</v>
      </c>
      <c r="AB127" s="2">
        <f t="shared" si="20"/>
        <v>6416.16</v>
      </c>
      <c r="AC127" s="2">
        <f t="shared" si="21"/>
        <v>19272.580000000002</v>
      </c>
      <c r="AD127" s="2">
        <f t="shared" si="22"/>
        <v>0</v>
      </c>
    </row>
    <row r="128" spans="1:30" hidden="1" x14ac:dyDescent="0.2">
      <c r="A128" s="145">
        <f>'TAX Interest Rates'!A28</f>
        <v>43677</v>
      </c>
      <c r="B128" s="153">
        <f t="shared" ref="B128:P128" si="39">ROUND(-B16*B73,2)</f>
        <v>5662.85</v>
      </c>
      <c r="C128" s="153">
        <f t="shared" si="39"/>
        <v>0</v>
      </c>
      <c r="D128" s="153">
        <f t="shared" si="39"/>
        <v>461.96</v>
      </c>
      <c r="E128" s="153">
        <f t="shared" si="39"/>
        <v>220.64</v>
      </c>
      <c r="F128" s="153">
        <f t="shared" si="39"/>
        <v>0.21</v>
      </c>
      <c r="G128" s="153">
        <f t="shared" si="39"/>
        <v>4123.6099999999997</v>
      </c>
      <c r="H128" s="153">
        <f t="shared" si="39"/>
        <v>284.27</v>
      </c>
      <c r="I128" s="153">
        <f t="shared" si="39"/>
        <v>0.14000000000000001</v>
      </c>
      <c r="J128" s="153">
        <f t="shared" si="39"/>
        <v>0</v>
      </c>
      <c r="K128" s="153">
        <f t="shared" si="39"/>
        <v>31.21</v>
      </c>
      <c r="L128" s="153">
        <f t="shared" si="39"/>
        <v>3911.3</v>
      </c>
      <c r="M128" s="153">
        <f t="shared" si="39"/>
        <v>2175.1799999999998</v>
      </c>
      <c r="N128" s="153">
        <f t="shared" si="39"/>
        <v>2118.4299999999998</v>
      </c>
      <c r="O128" s="153">
        <f t="shared" si="39"/>
        <v>757.58</v>
      </c>
      <c r="P128" s="153">
        <f t="shared" si="39"/>
        <v>0</v>
      </c>
      <c r="R128" s="2">
        <f t="shared" ref="R128:R134" si="40">SUM(B128:Q128)</f>
        <v>19747.38</v>
      </c>
      <c r="T128" s="2">
        <f t="shared" ref="T128:T134" si="41">+B128</f>
        <v>5662.85</v>
      </c>
      <c r="U128" s="2">
        <f t="shared" ref="U128:U134" si="42">+C128+D128+E128</f>
        <v>682.59999999999991</v>
      </c>
      <c r="V128" s="2">
        <f t="shared" ref="V128:V134" si="43">+F128+G128+H128</f>
        <v>4408.09</v>
      </c>
      <c r="W128" s="2">
        <f t="shared" ref="W128:W134" si="44">+I128+J128</f>
        <v>0.14000000000000001</v>
      </c>
      <c r="X128" s="2">
        <f t="shared" ref="X128:X134" si="45">+K128</f>
        <v>31.21</v>
      </c>
      <c r="Y128" s="2">
        <f t="shared" ref="Y128:Y134" si="46">SUM(T128:X128)</f>
        <v>10784.89</v>
      </c>
      <c r="Z128" s="2">
        <f t="shared" ref="Z128:Z134" si="47">+L128</f>
        <v>3911.3</v>
      </c>
      <c r="AA128" s="2">
        <f t="shared" ref="AA128:AA134" si="48">+M128+N128+O128+P128</f>
        <v>5051.1899999999996</v>
      </c>
      <c r="AB128" s="2">
        <f t="shared" ref="AB128:AB134" si="49">SUM(Z128:AA128)</f>
        <v>8962.49</v>
      </c>
      <c r="AC128" s="2">
        <f t="shared" ref="AC128:AC134" si="50">+Y128+AB128</f>
        <v>19747.379999999997</v>
      </c>
      <c r="AD128" s="2">
        <f t="shared" ref="AD128:AD134" si="51">+R128-Y128-AB128</f>
        <v>0</v>
      </c>
    </row>
    <row r="129" spans="1:30" hidden="1" x14ac:dyDescent="0.2">
      <c r="A129" s="145">
        <f>'TAX Interest Rates'!A29</f>
        <v>43708</v>
      </c>
      <c r="B129" s="153">
        <f t="shared" ref="B129:P129" si="52">ROUND(-B17*B74,2)</f>
        <v>4884.17</v>
      </c>
      <c r="C129" s="153">
        <f t="shared" si="52"/>
        <v>0</v>
      </c>
      <c r="D129" s="153">
        <f t="shared" si="52"/>
        <v>485.39</v>
      </c>
      <c r="E129" s="153">
        <f t="shared" si="52"/>
        <v>245.57</v>
      </c>
      <c r="F129" s="153">
        <f t="shared" si="52"/>
        <v>0.19</v>
      </c>
      <c r="G129" s="153">
        <f t="shared" si="52"/>
        <v>3768.89</v>
      </c>
      <c r="H129" s="153">
        <f t="shared" si="52"/>
        <v>280.64999999999998</v>
      </c>
      <c r="I129" s="153">
        <f t="shared" si="52"/>
        <v>0</v>
      </c>
      <c r="J129" s="153">
        <f t="shared" si="52"/>
        <v>0</v>
      </c>
      <c r="K129" s="153">
        <f t="shared" si="52"/>
        <v>24.34</v>
      </c>
      <c r="L129" s="153">
        <f t="shared" si="52"/>
        <v>4228.67</v>
      </c>
      <c r="M129" s="153">
        <f t="shared" si="52"/>
        <v>2424.6999999999998</v>
      </c>
      <c r="N129" s="153">
        <f t="shared" si="52"/>
        <v>2340.79</v>
      </c>
      <c r="O129" s="153">
        <f t="shared" si="52"/>
        <v>1425.14</v>
      </c>
      <c r="P129" s="153">
        <f t="shared" si="52"/>
        <v>0</v>
      </c>
      <c r="R129" s="2">
        <f t="shared" si="40"/>
        <v>20108.5</v>
      </c>
      <c r="T129" s="2">
        <f t="shared" si="41"/>
        <v>4884.17</v>
      </c>
      <c r="U129" s="2">
        <f t="shared" si="42"/>
        <v>730.96</v>
      </c>
      <c r="V129" s="2">
        <f t="shared" si="43"/>
        <v>4049.73</v>
      </c>
      <c r="W129" s="2">
        <f t="shared" si="44"/>
        <v>0</v>
      </c>
      <c r="X129" s="2">
        <f t="shared" si="45"/>
        <v>24.34</v>
      </c>
      <c r="Y129" s="2">
        <f t="shared" si="46"/>
        <v>9689.2000000000007</v>
      </c>
      <c r="Z129" s="2">
        <f t="shared" si="47"/>
        <v>4228.67</v>
      </c>
      <c r="AA129" s="2">
        <f t="shared" si="48"/>
        <v>6190.63</v>
      </c>
      <c r="AB129" s="2">
        <f t="shared" si="49"/>
        <v>10419.299999999999</v>
      </c>
      <c r="AC129" s="2">
        <f t="shared" si="50"/>
        <v>20108.5</v>
      </c>
      <c r="AD129" s="2">
        <f t="shared" si="51"/>
        <v>0</v>
      </c>
    </row>
    <row r="130" spans="1:30" hidden="1" x14ac:dyDescent="0.2">
      <c r="A130" s="145">
        <f>'TAX Interest Rates'!A30</f>
        <v>43738</v>
      </c>
      <c r="B130" s="153">
        <f t="shared" ref="B130:P130" si="53">ROUND(-B18*B75,2)</f>
        <v>4737.6499999999996</v>
      </c>
      <c r="C130" s="153">
        <f t="shared" si="53"/>
        <v>0</v>
      </c>
      <c r="D130" s="153">
        <f t="shared" si="53"/>
        <v>560.71</v>
      </c>
      <c r="E130" s="153">
        <f t="shared" si="53"/>
        <v>217.43</v>
      </c>
      <c r="F130" s="153">
        <f t="shared" si="53"/>
        <v>0.84</v>
      </c>
      <c r="G130" s="153">
        <f t="shared" si="53"/>
        <v>3608.13</v>
      </c>
      <c r="H130" s="153">
        <f t="shared" si="53"/>
        <v>242.79</v>
      </c>
      <c r="I130" s="153">
        <f t="shared" si="53"/>
        <v>0.35</v>
      </c>
      <c r="J130" s="153">
        <f t="shared" si="53"/>
        <v>0</v>
      </c>
      <c r="K130" s="153">
        <f t="shared" si="53"/>
        <v>28.97</v>
      </c>
      <c r="L130" s="153">
        <f t="shared" si="53"/>
        <v>4711.8999999999996</v>
      </c>
      <c r="M130" s="153">
        <f t="shared" si="53"/>
        <v>2348.09</v>
      </c>
      <c r="N130" s="153">
        <f t="shared" si="53"/>
        <v>2176.9299999999998</v>
      </c>
      <c r="O130" s="153">
        <f t="shared" si="53"/>
        <v>727.89</v>
      </c>
      <c r="P130" s="153">
        <f t="shared" si="53"/>
        <v>0</v>
      </c>
      <c r="R130" s="2">
        <f t="shared" si="40"/>
        <v>19361.68</v>
      </c>
      <c r="T130" s="2">
        <f t="shared" si="41"/>
        <v>4737.6499999999996</v>
      </c>
      <c r="U130" s="2">
        <f t="shared" si="42"/>
        <v>778.1400000000001</v>
      </c>
      <c r="V130" s="2">
        <f t="shared" si="43"/>
        <v>3851.76</v>
      </c>
      <c r="W130" s="2">
        <f t="shared" si="44"/>
        <v>0.35</v>
      </c>
      <c r="X130" s="2">
        <f t="shared" si="45"/>
        <v>28.97</v>
      </c>
      <c r="Y130" s="2">
        <f t="shared" si="46"/>
        <v>9396.869999999999</v>
      </c>
      <c r="Z130" s="2">
        <f t="shared" si="47"/>
        <v>4711.8999999999996</v>
      </c>
      <c r="AA130" s="2">
        <f t="shared" si="48"/>
        <v>5252.9100000000008</v>
      </c>
      <c r="AB130" s="2">
        <f t="shared" si="49"/>
        <v>9964.8100000000013</v>
      </c>
      <c r="AC130" s="2">
        <f t="shared" si="50"/>
        <v>19361.68</v>
      </c>
      <c r="AD130" s="2">
        <f t="shared" si="51"/>
        <v>0</v>
      </c>
    </row>
    <row r="131" spans="1:30" hidden="1" x14ac:dyDescent="0.2">
      <c r="A131" s="145">
        <f>'TAX Interest Rates'!A31</f>
        <v>43769</v>
      </c>
      <c r="B131" s="153">
        <f t="shared" ref="B131:P131" si="54">ROUND(-B19*B76,2)</f>
        <v>11204.98</v>
      </c>
      <c r="C131" s="153">
        <f t="shared" si="54"/>
        <v>0</v>
      </c>
      <c r="D131" s="153">
        <f t="shared" si="54"/>
        <v>1095.94</v>
      </c>
      <c r="E131" s="153">
        <f t="shared" si="54"/>
        <v>289.29000000000002</v>
      </c>
      <c r="F131" s="153">
        <f t="shared" si="54"/>
        <v>3.99</v>
      </c>
      <c r="G131" s="153">
        <f t="shared" si="54"/>
        <v>6552.16</v>
      </c>
      <c r="H131" s="153">
        <f t="shared" si="54"/>
        <v>1419.4</v>
      </c>
      <c r="I131" s="153">
        <f t="shared" si="54"/>
        <v>0.27</v>
      </c>
      <c r="J131" s="153">
        <f t="shared" si="54"/>
        <v>0</v>
      </c>
      <c r="K131" s="153">
        <f t="shared" si="54"/>
        <v>60.53</v>
      </c>
      <c r="L131" s="153">
        <f t="shared" si="54"/>
        <v>5161.43</v>
      </c>
      <c r="M131" s="153">
        <f t="shared" si="54"/>
        <v>1659.95</v>
      </c>
      <c r="N131" s="153">
        <f t="shared" si="54"/>
        <v>100.07</v>
      </c>
      <c r="O131" s="153">
        <f t="shared" si="54"/>
        <v>134.61000000000001</v>
      </c>
      <c r="P131" s="153">
        <f t="shared" si="54"/>
        <v>0</v>
      </c>
      <c r="R131" s="2">
        <f t="shared" si="40"/>
        <v>27682.620000000003</v>
      </c>
      <c r="T131" s="2">
        <f t="shared" si="41"/>
        <v>11204.98</v>
      </c>
      <c r="U131" s="2">
        <f t="shared" si="42"/>
        <v>1385.23</v>
      </c>
      <c r="V131" s="2">
        <f t="shared" si="43"/>
        <v>7975.5499999999993</v>
      </c>
      <c r="W131" s="2">
        <f t="shared" si="44"/>
        <v>0.27</v>
      </c>
      <c r="X131" s="2">
        <f t="shared" si="45"/>
        <v>60.53</v>
      </c>
      <c r="Y131" s="2">
        <f t="shared" si="46"/>
        <v>20626.559999999998</v>
      </c>
      <c r="Z131" s="2">
        <f t="shared" si="47"/>
        <v>5161.43</v>
      </c>
      <c r="AA131" s="2">
        <f t="shared" si="48"/>
        <v>1894.63</v>
      </c>
      <c r="AB131" s="2">
        <f t="shared" si="49"/>
        <v>7056.06</v>
      </c>
      <c r="AC131" s="2">
        <f t="shared" si="50"/>
        <v>27682.62</v>
      </c>
      <c r="AD131" s="2">
        <f t="shared" si="51"/>
        <v>0</v>
      </c>
    </row>
    <row r="132" spans="1:30" hidden="1" x14ac:dyDescent="0.2">
      <c r="A132" s="145">
        <f>'TAX Interest Rates'!A32</f>
        <v>43799</v>
      </c>
      <c r="B132" s="153">
        <f t="shared" ref="B132:P132" si="55">ROUND(-B20*B76,2)</f>
        <v>13414.96</v>
      </c>
      <c r="C132" s="153">
        <f t="shared" si="55"/>
        <v>0</v>
      </c>
      <c r="D132" s="153">
        <f t="shared" si="55"/>
        <v>693.55</v>
      </c>
      <c r="E132" s="153">
        <f t="shared" si="55"/>
        <v>204.59</v>
      </c>
      <c r="F132" s="153">
        <f t="shared" si="55"/>
        <v>0</v>
      </c>
      <c r="G132" s="153">
        <f t="shared" si="55"/>
        <v>7180.84</v>
      </c>
      <c r="H132" s="153">
        <f t="shared" si="55"/>
        <v>438.81</v>
      </c>
      <c r="I132" s="153">
        <f t="shared" si="55"/>
        <v>0</v>
      </c>
      <c r="J132" s="153">
        <f t="shared" si="55"/>
        <v>0</v>
      </c>
      <c r="K132" s="153">
        <f t="shared" si="55"/>
        <v>0</v>
      </c>
      <c r="L132" s="153">
        <f t="shared" si="55"/>
        <v>0.02</v>
      </c>
      <c r="M132" s="153">
        <f t="shared" si="55"/>
        <v>0</v>
      </c>
      <c r="N132" s="153">
        <f t="shared" si="55"/>
        <v>0</v>
      </c>
      <c r="O132" s="153">
        <f t="shared" si="55"/>
        <v>0</v>
      </c>
      <c r="P132" s="153">
        <f t="shared" si="55"/>
        <v>0</v>
      </c>
      <c r="R132" s="2">
        <f t="shared" si="40"/>
        <v>21932.77</v>
      </c>
      <c r="S132" s="2" t="s">
        <v>45</v>
      </c>
      <c r="T132" s="2">
        <f t="shared" si="41"/>
        <v>13414.96</v>
      </c>
      <c r="U132" s="2">
        <f t="shared" si="42"/>
        <v>898.14</v>
      </c>
      <c r="V132" s="2">
        <f t="shared" si="43"/>
        <v>7619.6500000000005</v>
      </c>
      <c r="W132" s="2">
        <f t="shared" si="44"/>
        <v>0</v>
      </c>
      <c r="X132" s="2">
        <f t="shared" si="45"/>
        <v>0</v>
      </c>
      <c r="Y132" s="2">
        <f t="shared" si="46"/>
        <v>21932.75</v>
      </c>
      <c r="Z132" s="2">
        <f t="shared" si="47"/>
        <v>0.02</v>
      </c>
      <c r="AA132" s="2">
        <f t="shared" si="48"/>
        <v>0</v>
      </c>
      <c r="AB132" s="2">
        <f t="shared" si="49"/>
        <v>0.02</v>
      </c>
      <c r="AC132" s="2">
        <f t="shared" si="50"/>
        <v>21932.77</v>
      </c>
      <c r="AD132" s="2">
        <f t="shared" si="51"/>
        <v>4.3655704051737132E-13</v>
      </c>
    </row>
    <row r="133" spans="1:30" hidden="1" x14ac:dyDescent="0.2">
      <c r="A133" s="145">
        <f>'TAX Interest Rates'!A32</f>
        <v>43799</v>
      </c>
      <c r="B133" s="153">
        <f t="shared" ref="B133:P133" si="56">ROUND(-B21*B77,2)</f>
        <v>7893.46</v>
      </c>
      <c r="C133" s="153">
        <f t="shared" si="56"/>
        <v>0</v>
      </c>
      <c r="D133" s="153">
        <f t="shared" si="56"/>
        <v>338.08</v>
      </c>
      <c r="E133" s="153">
        <f t="shared" si="56"/>
        <v>152.19</v>
      </c>
      <c r="F133" s="153">
        <f t="shared" si="56"/>
        <v>6.02</v>
      </c>
      <c r="G133" s="153">
        <f t="shared" si="56"/>
        <v>3936.09</v>
      </c>
      <c r="H133" s="153">
        <f t="shared" si="56"/>
        <v>1508.03</v>
      </c>
      <c r="I133" s="153">
        <f t="shared" si="56"/>
        <v>0.47</v>
      </c>
      <c r="J133" s="153">
        <f t="shared" si="56"/>
        <v>0</v>
      </c>
      <c r="K133" s="153">
        <f t="shared" si="56"/>
        <v>66.77</v>
      </c>
      <c r="L133" s="153">
        <f t="shared" si="56"/>
        <v>5064.3900000000003</v>
      </c>
      <c r="M133" s="153">
        <f t="shared" si="56"/>
        <v>2158.84</v>
      </c>
      <c r="N133" s="153">
        <f t="shared" si="56"/>
        <v>1012.52</v>
      </c>
      <c r="O133" s="153">
        <f t="shared" si="56"/>
        <v>35.92</v>
      </c>
      <c r="P133" s="153">
        <f t="shared" si="56"/>
        <v>0</v>
      </c>
      <c r="R133" s="2">
        <f t="shared" ref="R133" si="57">SUM(B133:Q133)</f>
        <v>22172.780000000002</v>
      </c>
      <c r="S133" s="2" t="s">
        <v>46</v>
      </c>
      <c r="T133" s="2">
        <f t="shared" ref="T133" si="58">+B133</f>
        <v>7893.46</v>
      </c>
      <c r="U133" s="2">
        <f t="shared" ref="U133" si="59">+C133+D133+E133</f>
        <v>490.27</v>
      </c>
      <c r="V133" s="2">
        <f t="shared" ref="V133" si="60">+F133+G133+H133</f>
        <v>5450.14</v>
      </c>
      <c r="W133" s="2">
        <f t="shared" ref="W133" si="61">+I133+J133</f>
        <v>0.47</v>
      </c>
      <c r="X133" s="2">
        <f t="shared" ref="X133" si="62">+K133</f>
        <v>66.77</v>
      </c>
      <c r="Y133" s="2">
        <f t="shared" ref="Y133" si="63">SUM(T133:X133)</f>
        <v>13901.109999999999</v>
      </c>
      <c r="Z133" s="2">
        <f t="shared" ref="Z133" si="64">+L133</f>
        <v>5064.3900000000003</v>
      </c>
      <c r="AA133" s="2">
        <f t="shared" ref="AA133" si="65">+M133+N133+O133+P133</f>
        <v>3207.28</v>
      </c>
      <c r="AB133" s="2">
        <f t="shared" ref="AB133" si="66">SUM(Z133:AA133)</f>
        <v>8271.67</v>
      </c>
      <c r="AC133" s="2">
        <f t="shared" ref="AC133" si="67">+Y133+AB133</f>
        <v>22172.78</v>
      </c>
      <c r="AD133" s="2">
        <f t="shared" ref="AD133" si="68">+R133-Y133-AB133</f>
        <v>0</v>
      </c>
    </row>
    <row r="134" spans="1:30" hidden="1" x14ac:dyDescent="0.2">
      <c r="A134" s="145">
        <f>'TAX Interest Rates'!A33</f>
        <v>43830</v>
      </c>
      <c r="B134" s="153">
        <f t="shared" ref="B134:P134" si="69">ROUND(-B22*B78,2)</f>
        <v>34771.519999999997</v>
      </c>
      <c r="C134" s="153">
        <f t="shared" si="69"/>
        <v>0</v>
      </c>
      <c r="D134" s="153">
        <f t="shared" si="69"/>
        <v>1365.73</v>
      </c>
      <c r="E134" s="153">
        <f t="shared" si="69"/>
        <v>291.24</v>
      </c>
      <c r="F134" s="153">
        <f t="shared" si="69"/>
        <v>6.92</v>
      </c>
      <c r="G134" s="153">
        <f t="shared" si="69"/>
        <v>18204.59</v>
      </c>
      <c r="H134" s="153">
        <f t="shared" si="69"/>
        <v>2337.73</v>
      </c>
      <c r="I134" s="153">
        <f t="shared" si="69"/>
        <v>0.25</v>
      </c>
      <c r="J134" s="153">
        <f t="shared" si="69"/>
        <v>0</v>
      </c>
      <c r="K134" s="153">
        <f t="shared" si="69"/>
        <v>73.66</v>
      </c>
      <c r="L134" s="153">
        <f t="shared" si="69"/>
        <v>5374.95</v>
      </c>
      <c r="M134" s="153">
        <f t="shared" si="69"/>
        <v>2409.5700000000002</v>
      </c>
      <c r="N134" s="153">
        <f t="shared" si="69"/>
        <v>2360.79</v>
      </c>
      <c r="O134" s="153">
        <f t="shared" si="69"/>
        <v>220.59</v>
      </c>
      <c r="P134" s="153">
        <f t="shared" si="69"/>
        <v>0</v>
      </c>
      <c r="R134" s="2">
        <f t="shared" si="40"/>
        <v>67417.539999999994</v>
      </c>
      <c r="T134" s="2">
        <f t="shared" si="41"/>
        <v>34771.519999999997</v>
      </c>
      <c r="U134" s="2">
        <f t="shared" si="42"/>
        <v>1656.97</v>
      </c>
      <c r="V134" s="2">
        <f t="shared" si="43"/>
        <v>20549.239999999998</v>
      </c>
      <c r="W134" s="2">
        <f t="shared" si="44"/>
        <v>0.25</v>
      </c>
      <c r="X134" s="2">
        <f t="shared" si="45"/>
        <v>73.66</v>
      </c>
      <c r="Y134" s="2">
        <f t="shared" si="46"/>
        <v>57051.64</v>
      </c>
      <c r="Z134" s="2">
        <f t="shared" si="47"/>
        <v>5374.95</v>
      </c>
      <c r="AA134" s="2">
        <f t="shared" si="48"/>
        <v>4990.9500000000007</v>
      </c>
      <c r="AB134" s="2">
        <f t="shared" si="49"/>
        <v>10365.900000000001</v>
      </c>
      <c r="AC134" s="2">
        <f t="shared" si="50"/>
        <v>67417.540000000008</v>
      </c>
      <c r="AD134" s="2">
        <f t="shared" si="51"/>
        <v>0</v>
      </c>
    </row>
    <row r="135" spans="1:30" hidden="1" x14ac:dyDescent="0.2">
      <c r="A135" s="145">
        <f>'TAX Interest Rates'!A34</f>
        <v>43861</v>
      </c>
      <c r="B135" s="153">
        <f t="shared" ref="B135:P135" si="70">ROUND(-B23*B79,2)</f>
        <v>42243.91</v>
      </c>
      <c r="C135" s="153">
        <f t="shared" si="70"/>
        <v>0</v>
      </c>
      <c r="D135" s="153">
        <f t="shared" si="70"/>
        <v>1461.85</v>
      </c>
      <c r="E135" s="153">
        <f t="shared" si="70"/>
        <v>340.69</v>
      </c>
      <c r="F135" s="153">
        <f t="shared" si="70"/>
        <v>7.43</v>
      </c>
      <c r="G135" s="153">
        <f t="shared" si="70"/>
        <v>22007.64</v>
      </c>
      <c r="H135" s="153">
        <f t="shared" si="70"/>
        <v>2614.52</v>
      </c>
      <c r="I135" s="153">
        <f t="shared" si="70"/>
        <v>0.08</v>
      </c>
      <c r="J135" s="153">
        <f t="shared" si="70"/>
        <v>0</v>
      </c>
      <c r="K135" s="153">
        <f t="shared" si="70"/>
        <v>74.3</v>
      </c>
      <c r="L135" s="153">
        <f t="shared" si="70"/>
        <v>5519.51</v>
      </c>
      <c r="M135" s="153">
        <f t="shared" si="70"/>
        <v>2077.46</v>
      </c>
      <c r="N135" s="153">
        <f t="shared" si="70"/>
        <v>1647.87</v>
      </c>
      <c r="O135" s="153">
        <f t="shared" si="70"/>
        <v>61.6</v>
      </c>
      <c r="P135" s="153">
        <f t="shared" si="70"/>
        <v>0</v>
      </c>
      <c r="R135" s="2">
        <f t="shared" ref="R135:R146" si="71">SUM(B135:Q135)</f>
        <v>78056.860000000015</v>
      </c>
      <c r="T135" s="2">
        <f t="shared" ref="T135:T146" si="72">+B135</f>
        <v>42243.91</v>
      </c>
      <c r="U135" s="2">
        <f t="shared" ref="U135:U146" si="73">+C135+D135+E135</f>
        <v>1802.54</v>
      </c>
      <c r="V135" s="2">
        <f t="shared" ref="V135:V146" si="74">+F135+G135+H135</f>
        <v>24629.59</v>
      </c>
      <c r="W135" s="2">
        <f t="shared" ref="W135:W146" si="75">+I135+J135</f>
        <v>0.08</v>
      </c>
      <c r="X135" s="2">
        <f t="shared" ref="X135:X146" si="76">+K135</f>
        <v>74.3</v>
      </c>
      <c r="Y135" s="2">
        <f t="shared" ref="Y135:Y146" si="77">SUM(T135:X135)</f>
        <v>68750.420000000013</v>
      </c>
      <c r="Z135" s="2">
        <f t="shared" ref="Z135:Z146" si="78">+L135</f>
        <v>5519.51</v>
      </c>
      <c r="AA135" s="2">
        <f t="shared" ref="AA135:AA146" si="79">+M135+N135+O135+P135</f>
        <v>3786.93</v>
      </c>
      <c r="AB135" s="2">
        <f t="shared" ref="AB135:AB146" si="80">SUM(Z135:AA135)</f>
        <v>9306.44</v>
      </c>
      <c r="AC135" s="2">
        <f t="shared" ref="AC135:AC146" si="81">+Y135+AB135</f>
        <v>78056.860000000015</v>
      </c>
      <c r="AD135" s="2">
        <f t="shared" ref="AD135:AD146" si="82">+R135-Y135-AB135</f>
        <v>0</v>
      </c>
    </row>
    <row r="136" spans="1:30" hidden="1" x14ac:dyDescent="0.2">
      <c r="A136" s="145">
        <f>'TAX Interest Rates'!A35</f>
        <v>43890</v>
      </c>
      <c r="B136" s="153">
        <f t="shared" ref="B136:P136" si="83">ROUND(-B24*B80,2)</f>
        <v>34488.35</v>
      </c>
      <c r="C136" s="153">
        <f t="shared" si="83"/>
        <v>0</v>
      </c>
      <c r="D136" s="153">
        <f t="shared" si="83"/>
        <v>1269.5999999999999</v>
      </c>
      <c r="E136" s="153">
        <f t="shared" si="83"/>
        <v>310.76</v>
      </c>
      <c r="F136" s="153">
        <f t="shared" si="83"/>
        <v>7.07</v>
      </c>
      <c r="G136" s="153">
        <f t="shared" si="83"/>
        <v>18195.77</v>
      </c>
      <c r="H136" s="153">
        <f t="shared" si="83"/>
        <v>2282.6799999999998</v>
      </c>
      <c r="I136" s="153">
        <f t="shared" si="83"/>
        <v>0.33</v>
      </c>
      <c r="J136" s="153">
        <f t="shared" si="83"/>
        <v>0</v>
      </c>
      <c r="K136" s="153">
        <f t="shared" si="83"/>
        <v>66.41</v>
      </c>
      <c r="L136" s="153">
        <f t="shared" si="83"/>
        <v>5160.47</v>
      </c>
      <c r="M136" s="153">
        <f t="shared" si="83"/>
        <v>2022.56</v>
      </c>
      <c r="N136" s="153">
        <f t="shared" si="83"/>
        <v>1264.58</v>
      </c>
      <c r="O136" s="153">
        <f t="shared" si="83"/>
        <v>129.47999999999999</v>
      </c>
      <c r="P136" s="153">
        <f t="shared" si="83"/>
        <v>0</v>
      </c>
      <c r="R136" s="2">
        <f t="shared" si="71"/>
        <v>65198.060000000012</v>
      </c>
      <c r="T136" s="2">
        <f t="shared" si="72"/>
        <v>34488.35</v>
      </c>
      <c r="U136" s="2">
        <f t="shared" si="73"/>
        <v>1580.36</v>
      </c>
      <c r="V136" s="2">
        <f t="shared" si="74"/>
        <v>20485.52</v>
      </c>
      <c r="W136" s="2">
        <f t="shared" si="75"/>
        <v>0.33</v>
      </c>
      <c r="X136" s="2">
        <f t="shared" si="76"/>
        <v>66.41</v>
      </c>
      <c r="Y136" s="2">
        <f t="shared" si="77"/>
        <v>56620.97</v>
      </c>
      <c r="Z136" s="2">
        <f t="shared" si="78"/>
        <v>5160.47</v>
      </c>
      <c r="AA136" s="2">
        <f t="shared" si="79"/>
        <v>3416.62</v>
      </c>
      <c r="AB136" s="2">
        <f t="shared" si="80"/>
        <v>8577.09</v>
      </c>
      <c r="AC136" s="2">
        <f t="shared" si="81"/>
        <v>65198.06</v>
      </c>
      <c r="AD136" s="2">
        <f t="shared" si="82"/>
        <v>0</v>
      </c>
    </row>
    <row r="137" spans="1:30" hidden="1" x14ac:dyDescent="0.2">
      <c r="A137" s="145">
        <f>'TAX Interest Rates'!A36</f>
        <v>43921</v>
      </c>
      <c r="B137" s="153">
        <f t="shared" ref="B137:P137" si="84">ROUND(-B25*B81,2)</f>
        <v>34742.550000000003</v>
      </c>
      <c r="C137" s="153">
        <f t="shared" si="84"/>
        <v>0</v>
      </c>
      <c r="D137" s="153">
        <f t="shared" si="84"/>
        <v>1302.02</v>
      </c>
      <c r="E137" s="153">
        <f t="shared" si="84"/>
        <v>235.08</v>
      </c>
      <c r="F137" s="153">
        <f t="shared" si="84"/>
        <v>7.45</v>
      </c>
      <c r="G137" s="153">
        <f t="shared" si="84"/>
        <v>17955.7</v>
      </c>
      <c r="H137" s="153">
        <f t="shared" si="84"/>
        <v>2396.62</v>
      </c>
      <c r="I137" s="153">
        <f t="shared" si="84"/>
        <v>0.17</v>
      </c>
      <c r="J137" s="153">
        <f t="shared" si="84"/>
        <v>0</v>
      </c>
      <c r="K137" s="153">
        <f t="shared" si="84"/>
        <v>66.489999999999995</v>
      </c>
      <c r="L137" s="153">
        <f t="shared" si="84"/>
        <v>5543.13</v>
      </c>
      <c r="M137" s="153">
        <f t="shared" si="84"/>
        <v>2664.04</v>
      </c>
      <c r="N137" s="153">
        <f t="shared" si="84"/>
        <v>2418.9499999999998</v>
      </c>
      <c r="O137" s="153">
        <f t="shared" si="84"/>
        <v>510.83</v>
      </c>
      <c r="P137" s="153">
        <f t="shared" si="84"/>
        <v>0</v>
      </c>
      <c r="R137" s="2">
        <f t="shared" si="71"/>
        <v>67843.03</v>
      </c>
      <c r="T137" s="2">
        <f t="shared" si="72"/>
        <v>34742.550000000003</v>
      </c>
      <c r="U137" s="2">
        <f t="shared" si="73"/>
        <v>1537.1</v>
      </c>
      <c r="V137" s="2">
        <f t="shared" si="74"/>
        <v>20359.77</v>
      </c>
      <c r="W137" s="2">
        <f t="shared" si="75"/>
        <v>0.17</v>
      </c>
      <c r="X137" s="2">
        <f t="shared" si="76"/>
        <v>66.489999999999995</v>
      </c>
      <c r="Y137" s="2">
        <f t="shared" si="77"/>
        <v>56706.079999999994</v>
      </c>
      <c r="Z137" s="2">
        <f t="shared" si="78"/>
        <v>5543.13</v>
      </c>
      <c r="AA137" s="2">
        <f t="shared" si="79"/>
        <v>5593.82</v>
      </c>
      <c r="AB137" s="2">
        <f t="shared" si="80"/>
        <v>11136.95</v>
      </c>
      <c r="AC137" s="2">
        <f t="shared" si="81"/>
        <v>67843.03</v>
      </c>
      <c r="AD137" s="2">
        <f t="shared" si="82"/>
        <v>0</v>
      </c>
    </row>
    <row r="138" spans="1:30" hidden="1" x14ac:dyDescent="0.2">
      <c r="A138" s="145">
        <f>'TAX Interest Rates'!A37</f>
        <v>43951</v>
      </c>
      <c r="B138" s="153">
        <f t="shared" ref="B138:P138" si="85">ROUND(-B26*B82,2)</f>
        <v>27442.69</v>
      </c>
      <c r="C138" s="153">
        <f t="shared" si="85"/>
        <v>0</v>
      </c>
      <c r="D138" s="153">
        <f t="shared" si="85"/>
        <v>1083.28</v>
      </c>
      <c r="E138" s="153">
        <f t="shared" si="85"/>
        <v>424.84</v>
      </c>
      <c r="F138" s="153">
        <f t="shared" si="85"/>
        <v>5.91</v>
      </c>
      <c r="G138" s="153">
        <f t="shared" si="85"/>
        <v>13002.94</v>
      </c>
      <c r="H138" s="153">
        <f t="shared" si="85"/>
        <v>1878.6</v>
      </c>
      <c r="I138" s="153">
        <f t="shared" si="85"/>
        <v>0.19</v>
      </c>
      <c r="J138" s="153">
        <f t="shared" si="85"/>
        <v>0</v>
      </c>
      <c r="K138" s="153">
        <f t="shared" si="85"/>
        <v>54.96</v>
      </c>
      <c r="L138" s="153">
        <f t="shared" si="85"/>
        <v>4616.1099999999997</v>
      </c>
      <c r="M138" s="153">
        <f t="shared" si="85"/>
        <v>2306.86</v>
      </c>
      <c r="N138" s="153">
        <f t="shared" si="85"/>
        <v>1870.33</v>
      </c>
      <c r="O138" s="153">
        <f t="shared" si="85"/>
        <v>583.24</v>
      </c>
      <c r="P138" s="153">
        <f t="shared" si="85"/>
        <v>0</v>
      </c>
      <c r="R138" s="2">
        <f t="shared" si="71"/>
        <v>53269.95</v>
      </c>
      <c r="T138" s="2">
        <f t="shared" si="72"/>
        <v>27442.69</v>
      </c>
      <c r="U138" s="2">
        <f t="shared" si="73"/>
        <v>1508.12</v>
      </c>
      <c r="V138" s="2">
        <f t="shared" si="74"/>
        <v>14887.45</v>
      </c>
      <c r="W138" s="2">
        <f t="shared" si="75"/>
        <v>0.19</v>
      </c>
      <c r="X138" s="2">
        <f t="shared" si="76"/>
        <v>54.96</v>
      </c>
      <c r="Y138" s="2">
        <f t="shared" si="77"/>
        <v>43893.409999999996</v>
      </c>
      <c r="Z138" s="2">
        <f t="shared" si="78"/>
        <v>4616.1099999999997</v>
      </c>
      <c r="AA138" s="2">
        <f t="shared" si="79"/>
        <v>4760.43</v>
      </c>
      <c r="AB138" s="2">
        <f t="shared" si="80"/>
        <v>9376.5400000000009</v>
      </c>
      <c r="AC138" s="2">
        <f t="shared" si="81"/>
        <v>53269.95</v>
      </c>
      <c r="AD138" s="2">
        <f t="shared" si="82"/>
        <v>0</v>
      </c>
    </row>
    <row r="139" spans="1:30" hidden="1" x14ac:dyDescent="0.2">
      <c r="A139" s="145">
        <f>'TAX Interest Rates'!A38</f>
        <v>43982</v>
      </c>
      <c r="B139" s="153">
        <f t="shared" ref="B139:P139" si="86">ROUND(-B27*B83,2)</f>
        <v>13414.72</v>
      </c>
      <c r="C139" s="153">
        <f t="shared" si="86"/>
        <v>0</v>
      </c>
      <c r="D139" s="153">
        <f t="shared" si="86"/>
        <v>684.68</v>
      </c>
      <c r="E139" s="153">
        <f t="shared" si="86"/>
        <v>176.13</v>
      </c>
      <c r="F139" s="153">
        <f t="shared" si="86"/>
        <v>3.37</v>
      </c>
      <c r="G139" s="153">
        <f t="shared" si="86"/>
        <v>6274.44</v>
      </c>
      <c r="H139" s="153">
        <f t="shared" si="86"/>
        <v>1176.8399999999999</v>
      </c>
      <c r="I139" s="153">
        <f t="shared" si="86"/>
        <v>0</v>
      </c>
      <c r="J139" s="153">
        <f t="shared" si="86"/>
        <v>0</v>
      </c>
      <c r="K139" s="153">
        <f t="shared" si="86"/>
        <v>40.450000000000003</v>
      </c>
      <c r="L139" s="153">
        <f t="shared" si="86"/>
        <v>4967.54</v>
      </c>
      <c r="M139" s="153">
        <f t="shared" si="86"/>
        <v>373.82</v>
      </c>
      <c r="N139" s="153">
        <f t="shared" si="86"/>
        <v>134.57</v>
      </c>
      <c r="O139" s="153">
        <f t="shared" si="86"/>
        <v>76.12</v>
      </c>
      <c r="P139" s="153">
        <f t="shared" si="86"/>
        <v>0</v>
      </c>
      <c r="R139" s="2">
        <f t="shared" si="71"/>
        <v>27322.68</v>
      </c>
      <c r="T139" s="2">
        <f t="shared" si="72"/>
        <v>13414.72</v>
      </c>
      <c r="U139" s="2">
        <f t="shared" si="73"/>
        <v>860.81</v>
      </c>
      <c r="V139" s="2">
        <f t="shared" si="74"/>
        <v>7454.65</v>
      </c>
      <c r="W139" s="2">
        <f t="shared" si="75"/>
        <v>0</v>
      </c>
      <c r="X139" s="2">
        <f t="shared" si="76"/>
        <v>40.450000000000003</v>
      </c>
      <c r="Y139" s="2">
        <f t="shared" si="77"/>
        <v>21770.63</v>
      </c>
      <c r="Z139" s="2">
        <f t="shared" si="78"/>
        <v>4967.54</v>
      </c>
      <c r="AA139" s="2">
        <f t="shared" si="79"/>
        <v>584.51</v>
      </c>
      <c r="AB139" s="2">
        <f t="shared" si="80"/>
        <v>5552.05</v>
      </c>
      <c r="AC139" s="2">
        <f t="shared" si="81"/>
        <v>27322.68</v>
      </c>
      <c r="AD139" s="2">
        <f t="shared" si="82"/>
        <v>0</v>
      </c>
    </row>
    <row r="140" spans="1:30" hidden="1" x14ac:dyDescent="0.2">
      <c r="A140" s="145">
        <f>'TAX Interest Rates'!A39</f>
        <v>44012</v>
      </c>
      <c r="B140" s="153">
        <f t="shared" ref="B140:P140" si="87">ROUND(-B28*B84,2)</f>
        <v>9860.7999999999993</v>
      </c>
      <c r="C140" s="153">
        <f t="shared" si="87"/>
        <v>0</v>
      </c>
      <c r="D140" s="153">
        <f t="shared" si="87"/>
        <v>611.74</v>
      </c>
      <c r="E140" s="153">
        <f t="shared" si="87"/>
        <v>342.51</v>
      </c>
      <c r="F140" s="153">
        <f t="shared" si="87"/>
        <v>3.19</v>
      </c>
      <c r="G140" s="153">
        <f t="shared" si="87"/>
        <v>4801.51</v>
      </c>
      <c r="H140" s="153">
        <f t="shared" si="87"/>
        <v>960.83</v>
      </c>
      <c r="I140" s="153">
        <f t="shared" si="87"/>
        <v>0</v>
      </c>
      <c r="J140" s="153">
        <f t="shared" si="87"/>
        <v>0</v>
      </c>
      <c r="K140" s="153">
        <f t="shared" si="87"/>
        <v>31.76</v>
      </c>
      <c r="L140" s="153">
        <f t="shared" si="87"/>
        <v>4702.54</v>
      </c>
      <c r="M140" s="153">
        <f t="shared" si="87"/>
        <v>512.70000000000005</v>
      </c>
      <c r="N140" s="153">
        <f t="shared" si="87"/>
        <v>222.18</v>
      </c>
      <c r="O140" s="153">
        <f t="shared" si="87"/>
        <v>125.19</v>
      </c>
      <c r="P140" s="153">
        <f t="shared" si="87"/>
        <v>0</v>
      </c>
      <c r="R140" s="2">
        <f t="shared" si="71"/>
        <v>22174.95</v>
      </c>
      <c r="T140" s="2">
        <f t="shared" si="72"/>
        <v>9860.7999999999993</v>
      </c>
      <c r="U140" s="2">
        <f t="shared" si="73"/>
        <v>954.25</v>
      </c>
      <c r="V140" s="2">
        <f t="shared" si="74"/>
        <v>5765.53</v>
      </c>
      <c r="W140" s="2">
        <f t="shared" si="75"/>
        <v>0</v>
      </c>
      <c r="X140" s="2">
        <f t="shared" si="76"/>
        <v>31.76</v>
      </c>
      <c r="Y140" s="2">
        <f t="shared" si="77"/>
        <v>16612.339999999997</v>
      </c>
      <c r="Z140" s="2">
        <f t="shared" si="78"/>
        <v>4702.54</v>
      </c>
      <c r="AA140" s="2">
        <f t="shared" si="79"/>
        <v>860.07000000000016</v>
      </c>
      <c r="AB140" s="2">
        <f t="shared" si="80"/>
        <v>5562.6100000000006</v>
      </c>
      <c r="AC140" s="2">
        <f t="shared" si="81"/>
        <v>22174.949999999997</v>
      </c>
      <c r="AD140" s="2">
        <f t="shared" si="82"/>
        <v>0</v>
      </c>
    </row>
    <row r="141" spans="1:30" hidden="1" x14ac:dyDescent="0.2">
      <c r="A141" s="145">
        <f>'TAX Interest Rates'!A40</f>
        <v>44043</v>
      </c>
      <c r="B141" s="153">
        <f t="shared" ref="B141:P141" si="88">ROUND(-B29*B85,2)</f>
        <v>7928.98</v>
      </c>
      <c r="C141" s="153">
        <f t="shared" si="88"/>
        <v>0</v>
      </c>
      <c r="D141" s="153">
        <f t="shared" si="88"/>
        <v>539.97</v>
      </c>
      <c r="E141" s="153">
        <f t="shared" si="88"/>
        <v>264.87</v>
      </c>
      <c r="F141" s="153">
        <f t="shared" si="88"/>
        <v>1.43</v>
      </c>
      <c r="G141" s="153">
        <f t="shared" si="88"/>
        <v>4311.4399999999996</v>
      </c>
      <c r="H141" s="153">
        <f t="shared" si="88"/>
        <v>961.75</v>
      </c>
      <c r="I141" s="153">
        <f t="shared" si="88"/>
        <v>0</v>
      </c>
      <c r="J141" s="153">
        <f t="shared" si="88"/>
        <v>0</v>
      </c>
      <c r="K141" s="153">
        <f t="shared" si="88"/>
        <v>30.85</v>
      </c>
      <c r="L141" s="153">
        <f t="shared" si="88"/>
        <v>4924.37</v>
      </c>
      <c r="M141" s="153">
        <f t="shared" si="88"/>
        <v>1678.6</v>
      </c>
      <c r="N141" s="153">
        <f t="shared" si="88"/>
        <v>880.64</v>
      </c>
      <c r="O141" s="153">
        <f t="shared" si="88"/>
        <v>337.33</v>
      </c>
      <c r="P141" s="153">
        <f t="shared" si="88"/>
        <v>0</v>
      </c>
      <c r="R141" s="2">
        <f t="shared" si="71"/>
        <v>21860.23</v>
      </c>
      <c r="T141" s="2">
        <f t="shared" si="72"/>
        <v>7928.98</v>
      </c>
      <c r="U141" s="2">
        <f t="shared" si="73"/>
        <v>804.84</v>
      </c>
      <c r="V141" s="2">
        <f t="shared" si="74"/>
        <v>5274.62</v>
      </c>
      <c r="W141" s="2">
        <f t="shared" si="75"/>
        <v>0</v>
      </c>
      <c r="X141" s="2">
        <f t="shared" si="76"/>
        <v>30.85</v>
      </c>
      <c r="Y141" s="2">
        <f t="shared" si="77"/>
        <v>14039.289999999999</v>
      </c>
      <c r="Z141" s="2">
        <f t="shared" si="78"/>
        <v>4924.37</v>
      </c>
      <c r="AA141" s="2">
        <f t="shared" si="79"/>
        <v>2896.5699999999997</v>
      </c>
      <c r="AB141" s="2">
        <f t="shared" si="80"/>
        <v>7820.94</v>
      </c>
      <c r="AC141" s="2">
        <f t="shared" si="81"/>
        <v>21860.23</v>
      </c>
      <c r="AD141" s="2">
        <f t="shared" si="82"/>
        <v>0</v>
      </c>
    </row>
    <row r="142" spans="1:30" hidden="1" x14ac:dyDescent="0.2">
      <c r="A142" s="145">
        <f>'TAX Interest Rates'!A41</f>
        <v>44074</v>
      </c>
      <c r="B142" s="153">
        <f t="shared" ref="B142:P142" si="89">ROUND(-B30*B86,2)</f>
        <v>5382.76</v>
      </c>
      <c r="C142" s="153">
        <f t="shared" si="89"/>
        <v>0</v>
      </c>
      <c r="D142" s="153">
        <f t="shared" si="89"/>
        <v>477.45</v>
      </c>
      <c r="E142" s="153">
        <f t="shared" si="89"/>
        <v>236</v>
      </c>
      <c r="F142" s="153">
        <f t="shared" si="89"/>
        <v>1.24</v>
      </c>
      <c r="G142" s="153">
        <f t="shared" si="89"/>
        <v>3292.01</v>
      </c>
      <c r="H142" s="153">
        <f t="shared" si="89"/>
        <v>755.98</v>
      </c>
      <c r="I142" s="153">
        <f t="shared" si="89"/>
        <v>0</v>
      </c>
      <c r="J142" s="153">
        <f t="shared" si="89"/>
        <v>0</v>
      </c>
      <c r="K142" s="153">
        <f t="shared" si="89"/>
        <v>29.15</v>
      </c>
      <c r="L142" s="153">
        <f t="shared" si="89"/>
        <v>5497.92</v>
      </c>
      <c r="M142" s="153">
        <f t="shared" si="89"/>
        <v>2236.71</v>
      </c>
      <c r="N142" s="153">
        <f t="shared" si="89"/>
        <v>1747.29</v>
      </c>
      <c r="O142" s="153">
        <f t="shared" si="89"/>
        <v>736.94</v>
      </c>
      <c r="P142" s="153">
        <f t="shared" si="89"/>
        <v>0</v>
      </c>
      <c r="R142" s="2">
        <f t="shared" si="71"/>
        <v>20393.449999999997</v>
      </c>
      <c r="T142" s="2">
        <f t="shared" si="72"/>
        <v>5382.76</v>
      </c>
      <c r="U142" s="2">
        <f t="shared" si="73"/>
        <v>713.45</v>
      </c>
      <c r="V142" s="2">
        <f t="shared" si="74"/>
        <v>4049.23</v>
      </c>
      <c r="W142" s="2">
        <f t="shared" si="75"/>
        <v>0</v>
      </c>
      <c r="X142" s="2">
        <f t="shared" si="76"/>
        <v>29.15</v>
      </c>
      <c r="Y142" s="2">
        <f t="shared" si="77"/>
        <v>10174.59</v>
      </c>
      <c r="Z142" s="2">
        <f t="shared" si="78"/>
        <v>5497.92</v>
      </c>
      <c r="AA142" s="2">
        <f t="shared" si="79"/>
        <v>4720.9400000000005</v>
      </c>
      <c r="AB142" s="2">
        <f t="shared" si="80"/>
        <v>10218.86</v>
      </c>
      <c r="AC142" s="2">
        <f t="shared" si="81"/>
        <v>20393.45</v>
      </c>
      <c r="AD142" s="2">
        <f t="shared" si="82"/>
        <v>0</v>
      </c>
    </row>
    <row r="143" spans="1:30" hidden="1" x14ac:dyDescent="0.2">
      <c r="A143" s="145">
        <f>'TAX Interest Rates'!A42</f>
        <v>44104</v>
      </c>
      <c r="B143" s="153">
        <f t="shared" ref="B143:P143" si="90">ROUND(-B31*B87,2)</f>
        <v>5808.51</v>
      </c>
      <c r="C143" s="153">
        <f t="shared" si="90"/>
        <v>0</v>
      </c>
      <c r="D143" s="153">
        <f t="shared" si="90"/>
        <v>595.97</v>
      </c>
      <c r="E143" s="153">
        <f t="shared" si="90"/>
        <v>270</v>
      </c>
      <c r="F143" s="153">
        <f t="shared" si="90"/>
        <v>0.98</v>
      </c>
      <c r="G143" s="153">
        <f t="shared" si="90"/>
        <v>3724.59</v>
      </c>
      <c r="H143" s="153">
        <f t="shared" si="90"/>
        <v>737.51</v>
      </c>
      <c r="I143" s="153">
        <f t="shared" si="90"/>
        <v>0</v>
      </c>
      <c r="J143" s="153">
        <f t="shared" si="90"/>
        <v>0</v>
      </c>
      <c r="K143" s="153">
        <f t="shared" si="90"/>
        <v>27.42</v>
      </c>
      <c r="L143" s="153">
        <f t="shared" si="90"/>
        <v>5820.91</v>
      </c>
      <c r="M143" s="153">
        <f t="shared" si="90"/>
        <v>2390.4899999999998</v>
      </c>
      <c r="N143" s="153">
        <f t="shared" si="90"/>
        <v>2137.77</v>
      </c>
      <c r="O143" s="153">
        <f t="shared" si="90"/>
        <v>924.1</v>
      </c>
      <c r="P143" s="153">
        <f t="shared" si="90"/>
        <v>0</v>
      </c>
      <c r="R143" s="2">
        <f t="shared" si="71"/>
        <v>22438.249999999996</v>
      </c>
      <c r="T143" s="2">
        <f t="shared" si="72"/>
        <v>5808.51</v>
      </c>
      <c r="U143" s="2">
        <f t="shared" si="73"/>
        <v>865.97</v>
      </c>
      <c r="V143" s="2">
        <f t="shared" si="74"/>
        <v>4463.08</v>
      </c>
      <c r="W143" s="2">
        <f t="shared" si="75"/>
        <v>0</v>
      </c>
      <c r="X143" s="2">
        <f t="shared" si="76"/>
        <v>27.42</v>
      </c>
      <c r="Y143" s="2">
        <f t="shared" si="77"/>
        <v>11164.980000000001</v>
      </c>
      <c r="Z143" s="2">
        <f t="shared" si="78"/>
        <v>5820.91</v>
      </c>
      <c r="AA143" s="2">
        <f t="shared" si="79"/>
        <v>5452.3600000000006</v>
      </c>
      <c r="AB143" s="2">
        <f t="shared" si="80"/>
        <v>11273.27</v>
      </c>
      <c r="AC143" s="2">
        <f t="shared" si="81"/>
        <v>22438.25</v>
      </c>
      <c r="AD143" s="2">
        <f t="shared" si="82"/>
        <v>0</v>
      </c>
    </row>
    <row r="144" spans="1:30" hidden="1" x14ac:dyDescent="0.2">
      <c r="A144" s="145">
        <f>'TAX Interest Rates'!A43</f>
        <v>44135</v>
      </c>
      <c r="B144" s="153">
        <f t="shared" ref="B144:P144" si="91">ROUND(-B32*B88,2)</f>
        <v>8337.9500000000007</v>
      </c>
      <c r="C144" s="153">
        <f t="shared" si="91"/>
        <v>0</v>
      </c>
      <c r="D144" s="153">
        <f t="shared" si="91"/>
        <v>960.71</v>
      </c>
      <c r="E144" s="153">
        <f t="shared" si="91"/>
        <v>295.47000000000003</v>
      </c>
      <c r="F144" s="153">
        <f t="shared" si="91"/>
        <v>5</v>
      </c>
      <c r="G144" s="153">
        <f t="shared" si="91"/>
        <v>4839.07</v>
      </c>
      <c r="H144" s="153">
        <f t="shared" si="91"/>
        <v>400.1</v>
      </c>
      <c r="I144" s="153">
        <f t="shared" si="91"/>
        <v>0</v>
      </c>
      <c r="J144" s="153">
        <f t="shared" si="91"/>
        <v>0</v>
      </c>
      <c r="K144" s="153">
        <f t="shared" si="91"/>
        <v>51.86</v>
      </c>
      <c r="L144" s="153">
        <f t="shared" si="91"/>
        <v>6271.32</v>
      </c>
      <c r="M144" s="153">
        <f t="shared" si="91"/>
        <v>1608.04</v>
      </c>
      <c r="N144" s="153">
        <f t="shared" si="91"/>
        <v>1405.61</v>
      </c>
      <c r="O144" s="153">
        <f t="shared" si="91"/>
        <v>270.39999999999998</v>
      </c>
      <c r="P144" s="153">
        <f t="shared" si="91"/>
        <v>0</v>
      </c>
      <c r="R144" s="2">
        <f t="shared" si="71"/>
        <v>24445.530000000002</v>
      </c>
      <c r="T144" s="2">
        <f t="shared" si="72"/>
        <v>8337.9500000000007</v>
      </c>
      <c r="U144" s="2">
        <f t="shared" si="73"/>
        <v>1256.18</v>
      </c>
      <c r="V144" s="2">
        <f t="shared" si="74"/>
        <v>5244.17</v>
      </c>
      <c r="W144" s="2">
        <f t="shared" si="75"/>
        <v>0</v>
      </c>
      <c r="X144" s="2">
        <f t="shared" si="76"/>
        <v>51.86</v>
      </c>
      <c r="Y144" s="2">
        <f t="shared" si="77"/>
        <v>14890.160000000002</v>
      </c>
      <c r="Z144" s="2">
        <f t="shared" si="78"/>
        <v>6271.32</v>
      </c>
      <c r="AA144" s="2">
        <f t="shared" si="79"/>
        <v>3284.0499999999997</v>
      </c>
      <c r="AB144" s="2">
        <f t="shared" si="80"/>
        <v>9555.369999999999</v>
      </c>
      <c r="AC144" s="2">
        <f t="shared" si="81"/>
        <v>24445.53</v>
      </c>
      <c r="AD144" s="2">
        <f t="shared" si="82"/>
        <v>0</v>
      </c>
    </row>
    <row r="145" spans="1:30" hidden="1" x14ac:dyDescent="0.2">
      <c r="A145" s="145">
        <f>'TAX Interest Rates'!A44</f>
        <v>44165</v>
      </c>
      <c r="B145" s="153">
        <f>ROUND(-B33*B88,2)</f>
        <v>13567.29</v>
      </c>
      <c r="C145" s="153">
        <f t="shared" ref="C145:P145" si="92">ROUND(-C33*C88,2)</f>
        <v>0</v>
      </c>
      <c r="D145" s="153">
        <f t="shared" si="92"/>
        <v>590.63</v>
      </c>
      <c r="E145" s="153">
        <f t="shared" si="92"/>
        <v>177.01</v>
      </c>
      <c r="F145" s="153">
        <f t="shared" si="92"/>
        <v>0</v>
      </c>
      <c r="G145" s="153">
        <f t="shared" si="92"/>
        <v>6731.14</v>
      </c>
      <c r="H145" s="153">
        <f t="shared" si="92"/>
        <v>450.83</v>
      </c>
      <c r="I145" s="153">
        <f t="shared" si="92"/>
        <v>0</v>
      </c>
      <c r="J145" s="153">
        <f t="shared" si="92"/>
        <v>0</v>
      </c>
      <c r="K145" s="153">
        <f t="shared" si="92"/>
        <v>0</v>
      </c>
      <c r="L145" s="153">
        <f t="shared" si="92"/>
        <v>-7.32</v>
      </c>
      <c r="M145" s="153">
        <f t="shared" si="92"/>
        <v>0</v>
      </c>
      <c r="N145" s="153">
        <f t="shared" si="92"/>
        <v>0</v>
      </c>
      <c r="O145" s="153">
        <f t="shared" si="92"/>
        <v>0</v>
      </c>
      <c r="P145" s="153">
        <f t="shared" si="92"/>
        <v>0</v>
      </c>
      <c r="R145" s="2">
        <f t="shared" si="71"/>
        <v>21509.58</v>
      </c>
      <c r="S145" s="2" t="s">
        <v>45</v>
      </c>
      <c r="T145" s="2">
        <f t="shared" si="72"/>
        <v>13567.29</v>
      </c>
      <c r="U145" s="2">
        <f t="shared" si="73"/>
        <v>767.64</v>
      </c>
      <c r="V145" s="2">
        <f t="shared" si="74"/>
        <v>7181.97</v>
      </c>
      <c r="W145" s="2">
        <f t="shared" si="75"/>
        <v>0</v>
      </c>
      <c r="X145" s="2">
        <f t="shared" si="76"/>
        <v>0</v>
      </c>
      <c r="Y145" s="2">
        <f t="shared" si="77"/>
        <v>21516.9</v>
      </c>
      <c r="Z145" s="2">
        <f t="shared" si="78"/>
        <v>-7.32</v>
      </c>
      <c r="AA145" s="2">
        <f t="shared" si="79"/>
        <v>0</v>
      </c>
      <c r="AB145" s="2">
        <f t="shared" si="80"/>
        <v>-7.32</v>
      </c>
      <c r="AC145" s="2">
        <f t="shared" si="81"/>
        <v>21509.58</v>
      </c>
      <c r="AD145" s="2">
        <f t="shared" si="82"/>
        <v>2.9132252166164108E-13</v>
      </c>
    </row>
    <row r="146" spans="1:30" hidden="1" x14ac:dyDescent="0.2">
      <c r="A146" s="145">
        <f>'TAX Interest Rates'!A44</f>
        <v>44165</v>
      </c>
      <c r="B146" s="153">
        <f>ROUND(-B34*B89,2)</f>
        <v>6274.33</v>
      </c>
      <c r="C146" s="153">
        <f t="shared" ref="C146:P146" si="93">ROUND(-C34*C89,2)</f>
        <v>0</v>
      </c>
      <c r="D146" s="153">
        <f t="shared" si="93"/>
        <v>219.34</v>
      </c>
      <c r="E146" s="153">
        <f t="shared" si="93"/>
        <v>75.89</v>
      </c>
      <c r="F146" s="153">
        <f t="shared" si="93"/>
        <v>7.64</v>
      </c>
      <c r="G146" s="153">
        <f t="shared" si="93"/>
        <v>2780.79</v>
      </c>
      <c r="H146" s="153">
        <f t="shared" si="93"/>
        <v>238.93</v>
      </c>
      <c r="I146" s="153">
        <f t="shared" si="93"/>
        <v>0</v>
      </c>
      <c r="J146" s="153">
        <f t="shared" si="93"/>
        <v>0</v>
      </c>
      <c r="K146" s="153">
        <f t="shared" si="93"/>
        <v>57.28</v>
      </c>
      <c r="L146" s="153">
        <f t="shared" si="93"/>
        <v>5730.57</v>
      </c>
      <c r="M146" s="153">
        <f t="shared" si="93"/>
        <v>1127.47</v>
      </c>
      <c r="N146" s="153">
        <f t="shared" si="93"/>
        <v>362.89</v>
      </c>
      <c r="O146" s="153">
        <f t="shared" si="93"/>
        <v>137.46</v>
      </c>
      <c r="P146" s="153">
        <f t="shared" si="93"/>
        <v>0</v>
      </c>
      <c r="R146" s="2">
        <f t="shared" si="71"/>
        <v>17012.59</v>
      </c>
      <c r="S146" s="2" t="s">
        <v>46</v>
      </c>
      <c r="T146" s="2">
        <f t="shared" si="72"/>
        <v>6274.33</v>
      </c>
      <c r="U146" s="2">
        <f t="shared" si="73"/>
        <v>295.23</v>
      </c>
      <c r="V146" s="2">
        <f t="shared" si="74"/>
        <v>3027.3599999999997</v>
      </c>
      <c r="W146" s="2">
        <f t="shared" si="75"/>
        <v>0</v>
      </c>
      <c r="X146" s="2">
        <f t="shared" si="76"/>
        <v>57.28</v>
      </c>
      <c r="Y146" s="2">
        <f t="shared" si="77"/>
        <v>9654.1999999999989</v>
      </c>
      <c r="Z146" s="2">
        <f t="shared" si="78"/>
        <v>5730.57</v>
      </c>
      <c r="AA146" s="2">
        <f t="shared" si="79"/>
        <v>1627.8200000000002</v>
      </c>
      <c r="AB146" s="2">
        <f t="shared" si="80"/>
        <v>7358.3899999999994</v>
      </c>
      <c r="AC146" s="2">
        <f t="shared" si="81"/>
        <v>17012.589999999997</v>
      </c>
      <c r="AD146" s="2">
        <f t="shared" si="82"/>
        <v>0</v>
      </c>
    </row>
    <row r="147" spans="1:30" hidden="1" x14ac:dyDescent="0.2">
      <c r="A147" s="145">
        <f>'TAX Interest Rates'!A45</f>
        <v>44196</v>
      </c>
      <c r="B147" s="153">
        <f>ROUND(-B35*B90,2)</f>
        <v>32516.62</v>
      </c>
      <c r="C147" s="153">
        <f t="shared" ref="C147:P147" si="94">ROUND(-C35*C90,2)</f>
        <v>0</v>
      </c>
      <c r="D147" s="153">
        <f t="shared" si="94"/>
        <v>1166.44</v>
      </c>
      <c r="E147" s="153">
        <f t="shared" si="94"/>
        <v>293.98</v>
      </c>
      <c r="F147" s="153">
        <f t="shared" si="94"/>
        <v>10.17</v>
      </c>
      <c r="G147" s="153">
        <f t="shared" si="94"/>
        <v>16269.66</v>
      </c>
      <c r="H147" s="153">
        <f t="shared" si="94"/>
        <v>1051.56</v>
      </c>
      <c r="I147" s="153">
        <f t="shared" si="94"/>
        <v>0</v>
      </c>
      <c r="J147" s="153">
        <f t="shared" si="94"/>
        <v>0</v>
      </c>
      <c r="K147" s="153">
        <f t="shared" si="94"/>
        <v>63.56</v>
      </c>
      <c r="L147" s="153">
        <f t="shared" si="94"/>
        <v>5586.6</v>
      </c>
      <c r="M147" s="153">
        <f t="shared" si="94"/>
        <v>2002.98</v>
      </c>
      <c r="N147" s="153">
        <f t="shared" si="94"/>
        <v>1376.5</v>
      </c>
      <c r="O147" s="153">
        <f t="shared" si="94"/>
        <v>114.67</v>
      </c>
      <c r="P147" s="153">
        <f t="shared" si="94"/>
        <v>0</v>
      </c>
      <c r="R147" s="2">
        <f t="shared" ref="R147:R157" si="95">SUM(B147:Q147)</f>
        <v>60452.739999999991</v>
      </c>
      <c r="T147" s="2">
        <f t="shared" ref="T147:T157" si="96">+B147</f>
        <v>32516.62</v>
      </c>
      <c r="U147" s="2">
        <f t="shared" ref="U147:U157" si="97">+C147+D147+E147</f>
        <v>1460.42</v>
      </c>
      <c r="V147" s="2">
        <f t="shared" ref="V147:V157" si="98">+F147+G147+H147</f>
        <v>17331.39</v>
      </c>
      <c r="W147" s="2">
        <f t="shared" ref="W147:W157" si="99">+I147+J147</f>
        <v>0</v>
      </c>
      <c r="X147" s="2">
        <f t="shared" ref="X147:X157" si="100">+K147</f>
        <v>63.56</v>
      </c>
      <c r="Y147" s="2">
        <f t="shared" ref="Y147:Y157" si="101">SUM(T147:X147)</f>
        <v>51371.99</v>
      </c>
      <c r="Z147" s="2">
        <f t="shared" ref="Z147:Z157" si="102">+L147</f>
        <v>5586.6</v>
      </c>
      <c r="AA147" s="2">
        <f t="shared" ref="AA147:AA157" si="103">+M147+N147+O147+P147</f>
        <v>3494.15</v>
      </c>
      <c r="AB147" s="2">
        <f t="shared" ref="AB147:AB157" si="104">SUM(Z147:AA147)</f>
        <v>9080.75</v>
      </c>
      <c r="AC147" s="2">
        <f t="shared" ref="AC147:AC157" si="105">+Y147+AB147</f>
        <v>60452.74</v>
      </c>
      <c r="AD147" s="2">
        <f t="shared" ref="AD147:AD157" si="106">+R147-Y147-AB147</f>
        <v>0</v>
      </c>
    </row>
    <row r="148" spans="1:30" hidden="1" x14ac:dyDescent="0.2">
      <c r="A148" s="145">
        <f>'TAX Interest Rates'!A46</f>
        <v>44227</v>
      </c>
      <c r="B148" s="153">
        <f t="shared" ref="B148:P148" si="107">ROUND(-B36*B91,2)</f>
        <v>34646.129999999997</v>
      </c>
      <c r="C148" s="153">
        <f t="shared" si="107"/>
        <v>0</v>
      </c>
      <c r="D148" s="153">
        <f t="shared" si="107"/>
        <v>1087.45</v>
      </c>
      <c r="E148" s="153">
        <f t="shared" si="107"/>
        <v>301.95999999999998</v>
      </c>
      <c r="F148" s="153">
        <f t="shared" si="107"/>
        <v>17.14</v>
      </c>
      <c r="G148" s="153">
        <f t="shared" si="107"/>
        <v>17347.48</v>
      </c>
      <c r="H148" s="153">
        <f t="shared" si="107"/>
        <v>1022.02</v>
      </c>
      <c r="I148" s="153">
        <f t="shared" si="107"/>
        <v>0</v>
      </c>
      <c r="J148" s="153">
        <f t="shared" si="107"/>
        <v>0</v>
      </c>
      <c r="K148" s="153">
        <f t="shared" si="107"/>
        <v>64.650000000000006</v>
      </c>
      <c r="L148" s="153">
        <f t="shared" si="107"/>
        <v>5930.17</v>
      </c>
      <c r="M148" s="153">
        <f t="shared" si="107"/>
        <v>1849.98</v>
      </c>
      <c r="N148" s="153">
        <f t="shared" si="107"/>
        <v>778.62</v>
      </c>
      <c r="O148" s="153">
        <f t="shared" si="107"/>
        <v>37.89</v>
      </c>
      <c r="P148" s="153">
        <f t="shared" si="107"/>
        <v>0</v>
      </c>
      <c r="R148" s="2">
        <f t="shared" si="95"/>
        <v>63083.489999999991</v>
      </c>
      <c r="T148" s="2">
        <f t="shared" si="96"/>
        <v>34646.129999999997</v>
      </c>
      <c r="U148" s="2">
        <f t="shared" si="97"/>
        <v>1389.41</v>
      </c>
      <c r="V148" s="2">
        <f t="shared" si="98"/>
        <v>18386.64</v>
      </c>
      <c r="W148" s="2">
        <f t="shared" si="99"/>
        <v>0</v>
      </c>
      <c r="X148" s="2">
        <f t="shared" si="100"/>
        <v>64.650000000000006</v>
      </c>
      <c r="Y148" s="2">
        <f t="shared" si="101"/>
        <v>54486.83</v>
      </c>
      <c r="Z148" s="2">
        <f t="shared" si="102"/>
        <v>5930.17</v>
      </c>
      <c r="AA148" s="2">
        <f t="shared" si="103"/>
        <v>2666.49</v>
      </c>
      <c r="AB148" s="2">
        <f t="shared" si="104"/>
        <v>8596.66</v>
      </c>
      <c r="AC148" s="2">
        <f t="shared" si="105"/>
        <v>63083.490000000005</v>
      </c>
      <c r="AD148" s="2">
        <f t="shared" si="106"/>
        <v>0</v>
      </c>
    </row>
    <row r="149" spans="1:30" hidden="1" x14ac:dyDescent="0.2">
      <c r="A149" s="145">
        <f>'TAX Interest Rates'!A47</f>
        <v>44255</v>
      </c>
      <c r="B149" s="153">
        <f t="shared" ref="B149:P149" si="108">ROUND(-B37*B92,2)</f>
        <v>32735.18</v>
      </c>
      <c r="C149" s="153">
        <f t="shared" si="108"/>
        <v>0</v>
      </c>
      <c r="D149" s="153">
        <f t="shared" si="108"/>
        <v>1054.47</v>
      </c>
      <c r="E149" s="153">
        <f t="shared" si="108"/>
        <v>260.75</v>
      </c>
      <c r="F149" s="153">
        <f t="shared" si="108"/>
        <v>10.199999999999999</v>
      </c>
      <c r="G149" s="153">
        <f t="shared" si="108"/>
        <v>16267.86</v>
      </c>
      <c r="H149" s="153">
        <f t="shared" si="108"/>
        <v>989.57</v>
      </c>
      <c r="I149" s="153">
        <f t="shared" si="108"/>
        <v>0</v>
      </c>
      <c r="J149" s="153">
        <f t="shared" si="108"/>
        <v>0</v>
      </c>
      <c r="K149" s="153">
        <f t="shared" si="108"/>
        <v>62.36</v>
      </c>
      <c r="L149" s="153">
        <f t="shared" si="108"/>
        <v>5437.43</v>
      </c>
      <c r="M149" s="153">
        <f t="shared" si="108"/>
        <v>1570.79</v>
      </c>
      <c r="N149" s="153">
        <f t="shared" si="108"/>
        <v>807.33</v>
      </c>
      <c r="O149" s="153">
        <f t="shared" si="108"/>
        <v>147.34</v>
      </c>
      <c r="P149" s="153">
        <f t="shared" si="108"/>
        <v>0</v>
      </c>
      <c r="R149" s="2">
        <f t="shared" si="95"/>
        <v>59343.28</v>
      </c>
      <c r="T149" s="2">
        <f t="shared" si="96"/>
        <v>32735.18</v>
      </c>
      <c r="U149" s="2">
        <f t="shared" si="97"/>
        <v>1315.22</v>
      </c>
      <c r="V149" s="2">
        <f t="shared" si="98"/>
        <v>17267.63</v>
      </c>
      <c r="W149" s="2">
        <f t="shared" si="99"/>
        <v>0</v>
      </c>
      <c r="X149" s="2">
        <f t="shared" si="100"/>
        <v>62.36</v>
      </c>
      <c r="Y149" s="2">
        <f t="shared" si="101"/>
        <v>51380.39</v>
      </c>
      <c r="Z149" s="2">
        <f t="shared" si="102"/>
        <v>5437.43</v>
      </c>
      <c r="AA149" s="2">
        <f t="shared" si="103"/>
        <v>2525.46</v>
      </c>
      <c r="AB149" s="2">
        <f t="shared" si="104"/>
        <v>7962.89</v>
      </c>
      <c r="AC149" s="2">
        <f t="shared" si="105"/>
        <v>59343.28</v>
      </c>
      <c r="AD149" s="2">
        <f t="shared" si="106"/>
        <v>0</v>
      </c>
    </row>
    <row r="150" spans="1:30" hidden="1" x14ac:dyDescent="0.2">
      <c r="A150" s="145">
        <f>'TAX Interest Rates'!A48</f>
        <v>44286</v>
      </c>
      <c r="B150" s="153">
        <f t="shared" ref="B150:P150" si="109">ROUND(-B38*B93,2)</f>
        <v>34631.089999999997</v>
      </c>
      <c r="C150" s="153">
        <f t="shared" si="109"/>
        <v>0</v>
      </c>
      <c r="D150" s="153">
        <f t="shared" si="109"/>
        <v>1171.97</v>
      </c>
      <c r="E150" s="153">
        <f t="shared" si="109"/>
        <v>319.27</v>
      </c>
      <c r="F150" s="153">
        <f t="shared" si="109"/>
        <v>5.4</v>
      </c>
      <c r="G150" s="153">
        <f t="shared" si="109"/>
        <v>17764.64</v>
      </c>
      <c r="H150" s="153">
        <f t="shared" si="109"/>
        <v>1039.1099999999999</v>
      </c>
      <c r="I150" s="153">
        <f t="shared" si="109"/>
        <v>0</v>
      </c>
      <c r="J150" s="153">
        <f t="shared" si="109"/>
        <v>0</v>
      </c>
      <c r="K150" s="153">
        <f t="shared" si="109"/>
        <v>60.99</v>
      </c>
      <c r="L150" s="153">
        <f t="shared" si="109"/>
        <v>5810.7</v>
      </c>
      <c r="M150" s="153">
        <f t="shared" si="109"/>
        <v>2257.58</v>
      </c>
      <c r="N150" s="153">
        <f t="shared" si="109"/>
        <v>1646.08</v>
      </c>
      <c r="O150" s="153">
        <f t="shared" si="109"/>
        <v>310.35000000000002</v>
      </c>
      <c r="P150" s="153">
        <f t="shared" si="109"/>
        <v>0</v>
      </c>
      <c r="R150" s="2">
        <f t="shared" si="95"/>
        <v>65017.179999999993</v>
      </c>
      <c r="T150" s="2">
        <f t="shared" si="96"/>
        <v>34631.089999999997</v>
      </c>
      <c r="U150" s="2">
        <f t="shared" si="97"/>
        <v>1491.24</v>
      </c>
      <c r="V150" s="2">
        <f t="shared" si="98"/>
        <v>18809.150000000001</v>
      </c>
      <c r="W150" s="2">
        <f t="shared" si="99"/>
        <v>0</v>
      </c>
      <c r="X150" s="2">
        <f t="shared" si="100"/>
        <v>60.99</v>
      </c>
      <c r="Y150" s="2">
        <f t="shared" si="101"/>
        <v>54992.469999999994</v>
      </c>
      <c r="Z150" s="2">
        <f t="shared" si="102"/>
        <v>5810.7</v>
      </c>
      <c r="AA150" s="2">
        <f t="shared" si="103"/>
        <v>4214.01</v>
      </c>
      <c r="AB150" s="2">
        <f t="shared" si="104"/>
        <v>10024.709999999999</v>
      </c>
      <c r="AC150" s="2">
        <f t="shared" si="105"/>
        <v>65017.179999999993</v>
      </c>
      <c r="AD150" s="2">
        <f t="shared" si="106"/>
        <v>0</v>
      </c>
    </row>
    <row r="151" spans="1:30" hidden="1" x14ac:dyDescent="0.2">
      <c r="A151" s="145">
        <f>'TAX Interest Rates'!A49</f>
        <v>44316</v>
      </c>
      <c r="B151" s="153">
        <f t="shared" ref="B151:P151" si="110">ROUND(-B39*B94,2)</f>
        <v>23879.3</v>
      </c>
      <c r="C151" s="153">
        <f t="shared" si="110"/>
        <v>0</v>
      </c>
      <c r="D151" s="153">
        <f t="shared" si="110"/>
        <v>917.58</v>
      </c>
      <c r="E151" s="153">
        <f t="shared" si="110"/>
        <v>298.35000000000002</v>
      </c>
      <c r="F151" s="153">
        <f t="shared" si="110"/>
        <v>2.97</v>
      </c>
      <c r="G151" s="153">
        <f t="shared" si="110"/>
        <v>12357.99</v>
      </c>
      <c r="H151" s="153">
        <f t="shared" si="110"/>
        <v>794.25</v>
      </c>
      <c r="I151" s="153">
        <f t="shared" si="110"/>
        <v>0</v>
      </c>
      <c r="J151" s="153">
        <f t="shared" si="110"/>
        <v>0</v>
      </c>
      <c r="K151" s="153">
        <f t="shared" si="110"/>
        <v>46.95</v>
      </c>
      <c r="L151" s="153">
        <f t="shared" si="110"/>
        <v>5431.63</v>
      </c>
      <c r="M151" s="153">
        <f t="shared" si="110"/>
        <v>984.41</v>
      </c>
      <c r="N151" s="153">
        <f t="shared" si="110"/>
        <v>1934.53</v>
      </c>
      <c r="O151" s="153">
        <f t="shared" si="110"/>
        <v>1256.73</v>
      </c>
      <c r="P151" s="153">
        <f t="shared" si="110"/>
        <v>0</v>
      </c>
      <c r="R151" s="2">
        <f t="shared" si="95"/>
        <v>47904.69</v>
      </c>
      <c r="T151" s="2">
        <f t="shared" si="96"/>
        <v>23879.3</v>
      </c>
      <c r="U151" s="2">
        <f t="shared" si="97"/>
        <v>1215.93</v>
      </c>
      <c r="V151" s="2">
        <f t="shared" si="98"/>
        <v>13155.21</v>
      </c>
      <c r="W151" s="2">
        <f t="shared" si="99"/>
        <v>0</v>
      </c>
      <c r="X151" s="2">
        <f t="shared" si="100"/>
        <v>46.95</v>
      </c>
      <c r="Y151" s="2">
        <f t="shared" si="101"/>
        <v>38297.39</v>
      </c>
      <c r="Z151" s="2">
        <f t="shared" si="102"/>
        <v>5431.63</v>
      </c>
      <c r="AA151" s="2">
        <f t="shared" si="103"/>
        <v>4175.67</v>
      </c>
      <c r="AB151" s="2">
        <f t="shared" si="104"/>
        <v>9607.2999999999993</v>
      </c>
      <c r="AC151" s="2">
        <f t="shared" si="105"/>
        <v>47904.69</v>
      </c>
      <c r="AD151" s="2">
        <f t="shared" si="106"/>
        <v>0</v>
      </c>
    </row>
    <row r="152" spans="1:30" hidden="1" x14ac:dyDescent="0.2">
      <c r="A152" s="145">
        <f>'TAX Interest Rates'!A50</f>
        <v>44347</v>
      </c>
      <c r="B152" s="153">
        <f t="shared" ref="B152:P152" si="111">ROUND(-B40*B95,2)</f>
        <v>11657.12</v>
      </c>
      <c r="C152" s="153">
        <f t="shared" si="111"/>
        <v>0</v>
      </c>
      <c r="D152" s="153">
        <f t="shared" si="111"/>
        <v>584.87</v>
      </c>
      <c r="E152" s="153">
        <f t="shared" si="111"/>
        <v>200.35</v>
      </c>
      <c r="F152" s="153">
        <f t="shared" si="111"/>
        <v>4.8600000000000003</v>
      </c>
      <c r="G152" s="153">
        <f t="shared" si="111"/>
        <v>6656.79</v>
      </c>
      <c r="H152" s="153">
        <f t="shared" si="111"/>
        <v>448.96</v>
      </c>
      <c r="I152" s="153">
        <f t="shared" si="111"/>
        <v>0</v>
      </c>
      <c r="J152" s="153">
        <f t="shared" si="111"/>
        <v>0</v>
      </c>
      <c r="K152" s="153">
        <f t="shared" si="111"/>
        <v>37.39</v>
      </c>
      <c r="L152" s="153">
        <f t="shared" si="111"/>
        <v>5121.49</v>
      </c>
      <c r="M152" s="153">
        <f t="shared" si="111"/>
        <v>0.05</v>
      </c>
      <c r="N152" s="153">
        <f t="shared" si="111"/>
        <v>880.7</v>
      </c>
      <c r="O152" s="153">
        <f t="shared" si="111"/>
        <v>435.56</v>
      </c>
      <c r="P152" s="153">
        <f t="shared" si="111"/>
        <v>0</v>
      </c>
      <c r="R152" s="2">
        <f t="shared" si="95"/>
        <v>26028.140000000003</v>
      </c>
      <c r="T152" s="2">
        <f t="shared" si="96"/>
        <v>11657.12</v>
      </c>
      <c r="U152" s="2">
        <f t="shared" si="97"/>
        <v>785.22</v>
      </c>
      <c r="V152" s="2">
        <f t="shared" si="98"/>
        <v>7110.61</v>
      </c>
      <c r="W152" s="2">
        <f t="shared" si="99"/>
        <v>0</v>
      </c>
      <c r="X152" s="2">
        <f t="shared" si="100"/>
        <v>37.39</v>
      </c>
      <c r="Y152" s="2">
        <f t="shared" si="101"/>
        <v>19590.34</v>
      </c>
      <c r="Z152" s="2">
        <f t="shared" si="102"/>
        <v>5121.49</v>
      </c>
      <c r="AA152" s="2">
        <f t="shared" si="103"/>
        <v>1316.31</v>
      </c>
      <c r="AB152" s="2">
        <f t="shared" si="104"/>
        <v>6437.7999999999993</v>
      </c>
      <c r="AC152" s="2">
        <f t="shared" si="105"/>
        <v>26028.14</v>
      </c>
      <c r="AD152" s="2">
        <f t="shared" si="106"/>
        <v>0</v>
      </c>
    </row>
    <row r="153" spans="1:30" hidden="1" x14ac:dyDescent="0.2">
      <c r="A153" s="145">
        <f>'TAX Interest Rates'!A51</f>
        <v>44377</v>
      </c>
      <c r="B153" s="153">
        <f t="shared" ref="B153:P153" si="112">ROUND(-B41*B96,2)</f>
        <v>9091.24</v>
      </c>
      <c r="C153" s="153">
        <f t="shared" si="112"/>
        <v>0</v>
      </c>
      <c r="D153" s="153">
        <f t="shared" si="112"/>
        <v>503.18</v>
      </c>
      <c r="E153" s="153">
        <f t="shared" si="112"/>
        <v>313.7</v>
      </c>
      <c r="F153" s="153">
        <f t="shared" si="112"/>
        <v>2.04</v>
      </c>
      <c r="G153" s="153">
        <f t="shared" si="112"/>
        <v>5423.6</v>
      </c>
      <c r="H153" s="153">
        <f t="shared" si="112"/>
        <v>357.14</v>
      </c>
      <c r="I153" s="153">
        <f t="shared" si="112"/>
        <v>0</v>
      </c>
      <c r="J153" s="153">
        <f t="shared" si="112"/>
        <v>0</v>
      </c>
      <c r="K153" s="153">
        <f t="shared" si="112"/>
        <v>27.17</v>
      </c>
      <c r="L153" s="153">
        <f t="shared" si="112"/>
        <v>4904.88</v>
      </c>
      <c r="M153" s="153">
        <f t="shared" si="112"/>
        <v>1587.13</v>
      </c>
      <c r="N153" s="153">
        <f t="shared" si="112"/>
        <v>1394.69</v>
      </c>
      <c r="O153" s="153">
        <f t="shared" si="112"/>
        <v>805.29</v>
      </c>
      <c r="P153" s="153">
        <f t="shared" si="112"/>
        <v>0</v>
      </c>
      <c r="R153" s="2">
        <f t="shared" si="95"/>
        <v>24410.06</v>
      </c>
      <c r="T153" s="2">
        <f t="shared" si="96"/>
        <v>9091.24</v>
      </c>
      <c r="U153" s="2">
        <f t="shared" si="97"/>
        <v>816.88</v>
      </c>
      <c r="V153" s="2">
        <f t="shared" si="98"/>
        <v>5782.7800000000007</v>
      </c>
      <c r="W153" s="2">
        <f t="shared" si="99"/>
        <v>0</v>
      </c>
      <c r="X153" s="2">
        <f t="shared" si="100"/>
        <v>27.17</v>
      </c>
      <c r="Y153" s="2">
        <f t="shared" si="101"/>
        <v>15718.07</v>
      </c>
      <c r="Z153" s="2">
        <f t="shared" si="102"/>
        <v>4904.88</v>
      </c>
      <c r="AA153" s="2">
        <f t="shared" si="103"/>
        <v>3787.11</v>
      </c>
      <c r="AB153" s="2">
        <f t="shared" si="104"/>
        <v>8691.99</v>
      </c>
      <c r="AC153" s="2">
        <f t="shared" si="105"/>
        <v>24410.059999999998</v>
      </c>
      <c r="AD153" s="2">
        <f t="shared" si="106"/>
        <v>0</v>
      </c>
    </row>
    <row r="154" spans="1:30" hidden="1" x14ac:dyDescent="0.2">
      <c r="A154" s="145">
        <f>'TAX Interest Rates'!A52</f>
        <v>44408</v>
      </c>
      <c r="B154" s="153">
        <f t="shared" ref="B154:P154" si="113">ROUND(-B42*B97,2)</f>
        <v>5356.98</v>
      </c>
      <c r="C154" s="153">
        <f t="shared" si="113"/>
        <v>0</v>
      </c>
      <c r="D154" s="153">
        <f t="shared" si="113"/>
        <v>426.89</v>
      </c>
      <c r="E154" s="153">
        <f t="shared" si="113"/>
        <v>182.03</v>
      </c>
      <c r="F154" s="153">
        <f t="shared" si="113"/>
        <v>1.62</v>
      </c>
      <c r="G154" s="153">
        <f t="shared" si="113"/>
        <v>3687.56</v>
      </c>
      <c r="H154" s="153">
        <f t="shared" si="113"/>
        <v>233.33</v>
      </c>
      <c r="I154" s="153">
        <f t="shared" si="113"/>
        <v>0</v>
      </c>
      <c r="J154" s="153">
        <f t="shared" si="113"/>
        <v>0</v>
      </c>
      <c r="K154" s="153">
        <f t="shared" si="113"/>
        <v>23.09</v>
      </c>
      <c r="L154" s="153">
        <f t="shared" si="113"/>
        <v>4446.18</v>
      </c>
      <c r="M154" s="153">
        <f t="shared" si="113"/>
        <v>2205.2600000000002</v>
      </c>
      <c r="N154" s="153">
        <f t="shared" si="113"/>
        <v>1832.56</v>
      </c>
      <c r="O154" s="153">
        <f t="shared" si="113"/>
        <v>1293.04</v>
      </c>
      <c r="P154" s="153">
        <f t="shared" si="113"/>
        <v>0</v>
      </c>
      <c r="R154" s="2">
        <f t="shared" si="95"/>
        <v>19688.540000000005</v>
      </c>
      <c r="T154" s="2">
        <f t="shared" si="96"/>
        <v>5356.98</v>
      </c>
      <c r="U154" s="2">
        <f t="shared" si="97"/>
        <v>608.91999999999996</v>
      </c>
      <c r="V154" s="2">
        <f t="shared" si="98"/>
        <v>3922.5099999999998</v>
      </c>
      <c r="W154" s="2">
        <f t="shared" si="99"/>
        <v>0</v>
      </c>
      <c r="X154" s="2">
        <f t="shared" si="100"/>
        <v>23.09</v>
      </c>
      <c r="Y154" s="2">
        <f t="shared" si="101"/>
        <v>9911.5</v>
      </c>
      <c r="Z154" s="2">
        <f t="shared" si="102"/>
        <v>4446.18</v>
      </c>
      <c r="AA154" s="2">
        <f t="shared" si="103"/>
        <v>5330.8600000000006</v>
      </c>
      <c r="AB154" s="2">
        <f t="shared" si="104"/>
        <v>9777.0400000000009</v>
      </c>
      <c r="AC154" s="2">
        <f t="shared" si="105"/>
        <v>19688.54</v>
      </c>
      <c r="AD154" s="2">
        <f t="shared" si="106"/>
        <v>0</v>
      </c>
    </row>
    <row r="155" spans="1:30" hidden="1" x14ac:dyDescent="0.2">
      <c r="A155" s="145">
        <f>'TAX Interest Rates'!A53</f>
        <v>44439</v>
      </c>
      <c r="B155" s="153">
        <f t="shared" ref="B155:P155" si="114">ROUND(-B43*B98,2)</f>
        <v>4679.25</v>
      </c>
      <c r="C155" s="153">
        <f t="shared" si="114"/>
        <v>0</v>
      </c>
      <c r="D155" s="153">
        <f t="shared" si="114"/>
        <v>400.4</v>
      </c>
      <c r="E155" s="153">
        <f t="shared" si="114"/>
        <v>220.87</v>
      </c>
      <c r="F155" s="153">
        <f t="shared" si="114"/>
        <v>2.48</v>
      </c>
      <c r="G155" s="153">
        <f t="shared" si="114"/>
        <v>3473.43</v>
      </c>
      <c r="H155" s="153">
        <f t="shared" si="114"/>
        <v>212.94</v>
      </c>
      <c r="I155" s="153">
        <f t="shared" si="114"/>
        <v>0</v>
      </c>
      <c r="J155" s="153">
        <f t="shared" si="114"/>
        <v>0</v>
      </c>
      <c r="K155" s="153">
        <f t="shared" si="114"/>
        <v>26.79</v>
      </c>
      <c r="L155" s="153">
        <f t="shared" si="114"/>
        <v>4552.8100000000004</v>
      </c>
      <c r="M155" s="153">
        <f t="shared" si="114"/>
        <v>2227.41</v>
      </c>
      <c r="N155" s="153">
        <f t="shared" si="114"/>
        <v>1855.73</v>
      </c>
      <c r="O155" s="153">
        <f t="shared" si="114"/>
        <v>1015.41</v>
      </c>
      <c r="P155" s="153">
        <f t="shared" si="114"/>
        <v>0</v>
      </c>
      <c r="R155" s="2">
        <f t="shared" si="95"/>
        <v>18667.52</v>
      </c>
      <c r="T155" s="2">
        <f t="shared" si="96"/>
        <v>4679.25</v>
      </c>
      <c r="U155" s="2">
        <f t="shared" si="97"/>
        <v>621.27</v>
      </c>
      <c r="V155" s="2">
        <f t="shared" si="98"/>
        <v>3688.85</v>
      </c>
      <c r="W155" s="2">
        <f t="shared" si="99"/>
        <v>0</v>
      </c>
      <c r="X155" s="2">
        <f t="shared" si="100"/>
        <v>26.79</v>
      </c>
      <c r="Y155" s="2">
        <f t="shared" si="101"/>
        <v>9016.1600000000017</v>
      </c>
      <c r="Z155" s="2">
        <f t="shared" si="102"/>
        <v>4552.8100000000004</v>
      </c>
      <c r="AA155" s="2">
        <f t="shared" si="103"/>
        <v>5098.55</v>
      </c>
      <c r="AB155" s="2">
        <f t="shared" si="104"/>
        <v>9651.36</v>
      </c>
      <c r="AC155" s="2">
        <f t="shared" si="105"/>
        <v>18667.520000000004</v>
      </c>
      <c r="AD155" s="2">
        <f t="shared" si="106"/>
        <v>0</v>
      </c>
    </row>
    <row r="156" spans="1:30" hidden="1" x14ac:dyDescent="0.2">
      <c r="A156" s="145">
        <f>'TAX Interest Rates'!A54</f>
        <v>44469</v>
      </c>
      <c r="B156" s="153">
        <f t="shared" ref="B156:P156" si="115">ROUND(-B44*B99,2)</f>
        <v>5323.27</v>
      </c>
      <c r="C156" s="153">
        <f t="shared" si="115"/>
        <v>0</v>
      </c>
      <c r="D156" s="153">
        <f t="shared" si="115"/>
        <v>503.32</v>
      </c>
      <c r="E156" s="153">
        <f t="shared" si="115"/>
        <v>204.9</v>
      </c>
      <c r="F156" s="153">
        <f t="shared" si="115"/>
        <v>2.99</v>
      </c>
      <c r="G156" s="153">
        <f t="shared" si="115"/>
        <v>3758.97</v>
      </c>
      <c r="H156" s="153">
        <f t="shared" si="115"/>
        <v>226.29</v>
      </c>
      <c r="I156" s="153">
        <f t="shared" si="115"/>
        <v>0</v>
      </c>
      <c r="J156" s="153">
        <f t="shared" si="115"/>
        <v>0</v>
      </c>
      <c r="K156" s="153">
        <f t="shared" si="115"/>
        <v>33.15</v>
      </c>
      <c r="L156" s="153">
        <f t="shared" si="115"/>
        <v>4836.2299999999996</v>
      </c>
      <c r="M156" s="153">
        <f t="shared" si="115"/>
        <v>2098.25</v>
      </c>
      <c r="N156" s="153">
        <f t="shared" si="115"/>
        <v>2088.5</v>
      </c>
      <c r="O156" s="153">
        <f t="shared" si="115"/>
        <v>685.63</v>
      </c>
      <c r="P156" s="153">
        <f t="shared" si="115"/>
        <v>0</v>
      </c>
      <c r="R156" s="2">
        <f t="shared" si="95"/>
        <v>19761.5</v>
      </c>
      <c r="T156" s="2">
        <f t="shared" si="96"/>
        <v>5323.27</v>
      </c>
      <c r="U156" s="2">
        <f t="shared" si="97"/>
        <v>708.22</v>
      </c>
      <c r="V156" s="2">
        <f t="shared" si="98"/>
        <v>3988.2499999999995</v>
      </c>
      <c r="W156" s="2">
        <f t="shared" si="99"/>
        <v>0</v>
      </c>
      <c r="X156" s="2">
        <f t="shared" si="100"/>
        <v>33.15</v>
      </c>
      <c r="Y156" s="2">
        <f t="shared" si="101"/>
        <v>10052.89</v>
      </c>
      <c r="Z156" s="2">
        <f t="shared" si="102"/>
        <v>4836.2299999999996</v>
      </c>
      <c r="AA156" s="2">
        <f t="shared" si="103"/>
        <v>4872.38</v>
      </c>
      <c r="AB156" s="2">
        <f t="shared" si="104"/>
        <v>9708.61</v>
      </c>
      <c r="AC156" s="2">
        <f t="shared" si="105"/>
        <v>19761.5</v>
      </c>
      <c r="AD156" s="2">
        <f t="shared" si="106"/>
        <v>0</v>
      </c>
    </row>
    <row r="157" spans="1:30" hidden="1" x14ac:dyDescent="0.2">
      <c r="A157" s="145">
        <f>'TAX Interest Rates'!A55</f>
        <v>44500</v>
      </c>
      <c r="B157" s="153">
        <f t="shared" ref="B157:P157" si="116">ROUND(-B45*B100,2)</f>
        <v>9332.7900000000009</v>
      </c>
      <c r="C157" s="153">
        <f t="shared" si="116"/>
        <v>0</v>
      </c>
      <c r="D157" s="153">
        <f t="shared" si="116"/>
        <v>1048.71</v>
      </c>
      <c r="E157" s="153">
        <f t="shared" si="116"/>
        <v>234.31</v>
      </c>
      <c r="F157" s="153">
        <f t="shared" si="116"/>
        <v>4.1399999999999997</v>
      </c>
      <c r="G157" s="153">
        <f t="shared" si="116"/>
        <v>5357.97</v>
      </c>
      <c r="H157" s="153">
        <f t="shared" si="116"/>
        <v>370.58</v>
      </c>
      <c r="I157" s="153">
        <f t="shared" si="116"/>
        <v>0</v>
      </c>
      <c r="J157" s="153">
        <f t="shared" si="116"/>
        <v>0</v>
      </c>
      <c r="K157" s="153">
        <f t="shared" si="116"/>
        <v>48.95</v>
      </c>
      <c r="L157" s="153">
        <f t="shared" si="116"/>
        <v>5422.18</v>
      </c>
      <c r="M157" s="153">
        <f t="shared" si="116"/>
        <v>1525.18</v>
      </c>
      <c r="N157" s="153">
        <f t="shared" si="116"/>
        <v>1544.3</v>
      </c>
      <c r="O157" s="153">
        <f t="shared" si="116"/>
        <v>627.16999999999996</v>
      </c>
      <c r="P157" s="153">
        <f t="shared" si="116"/>
        <v>0</v>
      </c>
      <c r="R157" s="2">
        <f t="shared" si="95"/>
        <v>25516.279999999995</v>
      </c>
      <c r="T157" s="2">
        <f t="shared" si="96"/>
        <v>9332.7900000000009</v>
      </c>
      <c r="U157" s="2">
        <f t="shared" si="97"/>
        <v>1283.02</v>
      </c>
      <c r="V157" s="2">
        <f t="shared" si="98"/>
        <v>5732.6900000000005</v>
      </c>
      <c r="W157" s="2">
        <f t="shared" si="99"/>
        <v>0</v>
      </c>
      <c r="X157" s="2">
        <f t="shared" si="100"/>
        <v>48.95</v>
      </c>
      <c r="Y157" s="2">
        <f t="shared" si="101"/>
        <v>16397.45</v>
      </c>
      <c r="Z157" s="2">
        <f t="shared" si="102"/>
        <v>5422.18</v>
      </c>
      <c r="AA157" s="2">
        <f t="shared" si="103"/>
        <v>3696.65</v>
      </c>
      <c r="AB157" s="2">
        <f t="shared" si="104"/>
        <v>9118.83</v>
      </c>
      <c r="AC157" s="2">
        <f t="shared" si="105"/>
        <v>25516.28</v>
      </c>
      <c r="AD157" s="2">
        <f t="shared" si="106"/>
        <v>0</v>
      </c>
    </row>
    <row r="158" spans="1:30" x14ac:dyDescent="0.2">
      <c r="A158" s="145">
        <f>'TAX Interest Rates'!A56</f>
        <v>44530</v>
      </c>
      <c r="B158" s="153">
        <f>ROUND(-B46*B100,2)</f>
        <v>12100.27</v>
      </c>
      <c r="C158" s="153">
        <f t="shared" ref="C158:P158" si="117">ROUND(-C46*C100,2)</f>
        <v>0</v>
      </c>
      <c r="D158" s="153">
        <f t="shared" si="117"/>
        <v>590.86</v>
      </c>
      <c r="E158" s="153">
        <f t="shared" si="117"/>
        <v>191.93</v>
      </c>
      <c r="F158" s="153">
        <f t="shared" si="117"/>
        <v>0</v>
      </c>
      <c r="G158" s="153">
        <f t="shared" si="117"/>
        <v>6275.7</v>
      </c>
      <c r="H158" s="153">
        <f t="shared" si="117"/>
        <v>387.96</v>
      </c>
      <c r="I158" s="153">
        <f t="shared" si="117"/>
        <v>0</v>
      </c>
      <c r="J158" s="153">
        <f t="shared" si="117"/>
        <v>0</v>
      </c>
      <c r="K158" s="153">
        <f t="shared" si="117"/>
        <v>0</v>
      </c>
      <c r="L158" s="153">
        <f t="shared" si="117"/>
        <v>0</v>
      </c>
      <c r="M158" s="153">
        <f t="shared" si="117"/>
        <v>0</v>
      </c>
      <c r="N158" s="153">
        <f t="shared" si="117"/>
        <v>0</v>
      </c>
      <c r="O158" s="153">
        <f t="shared" si="117"/>
        <v>45.89</v>
      </c>
      <c r="P158" s="153">
        <f t="shared" si="117"/>
        <v>0</v>
      </c>
      <c r="R158" s="2">
        <f t="shared" ref="R158" si="118">SUM(B158:Q158)</f>
        <v>19592.61</v>
      </c>
      <c r="S158" s="2" t="s">
        <v>45</v>
      </c>
      <c r="T158" s="2">
        <f t="shared" ref="T158" si="119">+B158</f>
        <v>12100.27</v>
      </c>
      <c r="U158" s="2">
        <f t="shared" ref="U158" si="120">+C158+D158+E158</f>
        <v>782.79</v>
      </c>
      <c r="V158" s="2">
        <f t="shared" ref="V158" si="121">+F158+G158+H158</f>
        <v>6663.66</v>
      </c>
      <c r="W158" s="2">
        <f t="shared" ref="W158" si="122">+I158+J158</f>
        <v>0</v>
      </c>
      <c r="X158" s="2">
        <f t="shared" ref="X158" si="123">+K158</f>
        <v>0</v>
      </c>
      <c r="Y158" s="2">
        <f t="shared" ref="Y158" si="124">SUM(T158:X158)</f>
        <v>19546.72</v>
      </c>
      <c r="Z158" s="2">
        <f t="shared" ref="Z158" si="125">+L158</f>
        <v>0</v>
      </c>
      <c r="AA158" s="2">
        <f t="shared" ref="AA158" si="126">+M158+N158+O158+P158</f>
        <v>45.89</v>
      </c>
      <c r="AB158" s="2">
        <f t="shared" ref="AB158" si="127">SUM(Z158:AA158)</f>
        <v>45.89</v>
      </c>
      <c r="AC158" s="2">
        <f t="shared" ref="AC158" si="128">+Y158+AB158</f>
        <v>19592.61</v>
      </c>
      <c r="AD158" s="2">
        <f t="shared" ref="AD158" si="129">+R158-Y158-AB158</f>
        <v>-5.8264504332328215E-13</v>
      </c>
    </row>
    <row r="159" spans="1:30" x14ac:dyDescent="0.2">
      <c r="A159" s="145">
        <f>'TAX Interest Rates'!A56</f>
        <v>44530</v>
      </c>
      <c r="B159" s="153">
        <f>ROUND(-B47*B101,2)</f>
        <v>5499.75</v>
      </c>
      <c r="C159" s="153">
        <f t="shared" ref="C159:P160" si="130">ROUND(-C47*C101,2)</f>
        <v>0</v>
      </c>
      <c r="D159" s="153">
        <f t="shared" si="130"/>
        <v>210.36</v>
      </c>
      <c r="E159" s="153">
        <f t="shared" si="130"/>
        <v>70.59</v>
      </c>
      <c r="F159" s="153">
        <f t="shared" si="130"/>
        <v>6.97</v>
      </c>
      <c r="G159" s="153">
        <f t="shared" si="130"/>
        <v>2532.23</v>
      </c>
      <c r="H159" s="153">
        <f t="shared" si="130"/>
        <v>226.18</v>
      </c>
      <c r="I159" s="153">
        <f t="shared" si="130"/>
        <v>0</v>
      </c>
      <c r="J159" s="153">
        <f t="shared" si="130"/>
        <v>0</v>
      </c>
      <c r="K159" s="153">
        <f t="shared" si="130"/>
        <v>56</v>
      </c>
      <c r="L159" s="153">
        <f t="shared" si="130"/>
        <v>5548.67</v>
      </c>
      <c r="M159" s="153">
        <f t="shared" si="130"/>
        <v>2163.58</v>
      </c>
      <c r="N159" s="153">
        <f t="shared" si="130"/>
        <v>1273.6400000000001</v>
      </c>
      <c r="O159" s="153">
        <f t="shared" si="130"/>
        <v>71.91</v>
      </c>
      <c r="P159" s="153">
        <f t="shared" si="130"/>
        <v>0</v>
      </c>
      <c r="R159" s="2">
        <f t="shared" ref="R159" si="131">SUM(B159:Q159)</f>
        <v>17659.88</v>
      </c>
      <c r="S159" s="2" t="s">
        <v>46</v>
      </c>
      <c r="T159" s="2">
        <f t="shared" ref="T159" si="132">+B159</f>
        <v>5499.75</v>
      </c>
      <c r="U159" s="2">
        <f t="shared" ref="U159" si="133">+C159+D159+E159</f>
        <v>280.95000000000005</v>
      </c>
      <c r="V159" s="2">
        <f t="shared" ref="V159" si="134">+F159+G159+H159</f>
        <v>2765.3799999999997</v>
      </c>
      <c r="W159" s="2">
        <f t="shared" ref="W159" si="135">+I159+J159</f>
        <v>0</v>
      </c>
      <c r="X159" s="2">
        <f t="shared" ref="X159" si="136">+K159</f>
        <v>56</v>
      </c>
      <c r="Y159" s="2">
        <f t="shared" ref="Y159" si="137">SUM(T159:X159)</f>
        <v>8602.08</v>
      </c>
      <c r="Z159" s="2">
        <f t="shared" ref="Z159" si="138">+L159</f>
        <v>5548.67</v>
      </c>
      <c r="AA159" s="2">
        <f t="shared" ref="AA159" si="139">+M159+N159+O159+P159</f>
        <v>3509.13</v>
      </c>
      <c r="AB159" s="2">
        <f t="shared" ref="AB159" si="140">SUM(Z159:AA159)</f>
        <v>9057.7999999999993</v>
      </c>
      <c r="AC159" s="2">
        <f t="shared" ref="AC159" si="141">+Y159+AB159</f>
        <v>17659.879999999997</v>
      </c>
      <c r="AD159" s="2">
        <f t="shared" ref="AD159" si="142">+R159-Y159-AB159</f>
        <v>0</v>
      </c>
    </row>
    <row r="160" spans="1:30" x14ac:dyDescent="0.2">
      <c r="A160" s="145">
        <f>'TAX Interest Rates'!A57</f>
        <v>44561</v>
      </c>
      <c r="B160" s="153">
        <f>ROUND(-B48*B102,2)</f>
        <v>29519.61</v>
      </c>
      <c r="C160" s="153">
        <f t="shared" si="130"/>
        <v>0</v>
      </c>
      <c r="D160" s="153">
        <f t="shared" si="130"/>
        <v>1193.6099999999999</v>
      </c>
      <c r="E160" s="153">
        <f t="shared" si="130"/>
        <v>328.92</v>
      </c>
      <c r="F160" s="153">
        <f t="shared" si="130"/>
        <v>19.36</v>
      </c>
      <c r="G160" s="153">
        <f t="shared" si="130"/>
        <v>14862.07</v>
      </c>
      <c r="H160" s="153">
        <f t="shared" si="130"/>
        <v>899.04</v>
      </c>
      <c r="I160" s="153">
        <f t="shared" si="130"/>
        <v>0</v>
      </c>
      <c r="J160" s="153">
        <f t="shared" si="130"/>
        <v>0</v>
      </c>
      <c r="K160" s="153">
        <f t="shared" si="130"/>
        <v>70.510000000000005</v>
      </c>
      <c r="L160" s="153">
        <f t="shared" si="130"/>
        <v>5435.44</v>
      </c>
      <c r="M160" s="153">
        <f t="shared" si="130"/>
        <v>1659.67</v>
      </c>
      <c r="N160" s="153">
        <f t="shared" si="130"/>
        <v>1369.51</v>
      </c>
      <c r="O160" s="153">
        <f t="shared" si="130"/>
        <v>78.52</v>
      </c>
      <c r="P160" s="153">
        <f t="shared" si="130"/>
        <v>0</v>
      </c>
      <c r="R160" s="2">
        <f t="shared" ref="R160" si="143">SUM(B160:Q160)</f>
        <v>55436.26</v>
      </c>
      <c r="T160" s="2">
        <f t="shared" ref="T160" si="144">+B160</f>
        <v>29519.61</v>
      </c>
      <c r="U160" s="2">
        <f t="shared" ref="U160" si="145">+C160+D160+E160</f>
        <v>1522.53</v>
      </c>
      <c r="V160" s="2">
        <f t="shared" ref="V160" si="146">+F160+G160+H160</f>
        <v>15780.470000000001</v>
      </c>
      <c r="W160" s="2">
        <f t="shared" ref="W160" si="147">+I160+J160</f>
        <v>0</v>
      </c>
      <c r="X160" s="2">
        <f t="shared" ref="X160" si="148">+K160</f>
        <v>70.510000000000005</v>
      </c>
      <c r="Y160" s="2">
        <f t="shared" ref="Y160" si="149">SUM(T160:X160)</f>
        <v>46893.120000000003</v>
      </c>
      <c r="Z160" s="2">
        <f t="shared" ref="Z160" si="150">+L160</f>
        <v>5435.44</v>
      </c>
      <c r="AA160" s="2">
        <f t="shared" ref="AA160" si="151">+M160+N160+O160+P160</f>
        <v>3107.7000000000003</v>
      </c>
      <c r="AB160" s="2">
        <f t="shared" ref="AB160" si="152">SUM(Z160:AA160)</f>
        <v>8543.14</v>
      </c>
      <c r="AC160" s="2">
        <f t="shared" ref="AC160" si="153">+Y160+AB160</f>
        <v>55436.26</v>
      </c>
      <c r="AD160" s="2">
        <f t="shared" ref="AD160" si="154">+R160-Y160-AB160</f>
        <v>0</v>
      </c>
    </row>
    <row r="161" spans="1:30" x14ac:dyDescent="0.2">
      <c r="A161" s="145">
        <f>'TAX Interest Rates'!A58</f>
        <v>44592</v>
      </c>
      <c r="B161" s="153">
        <f t="shared" ref="B161:P161" si="155">ROUND(-B49*B103,2)</f>
        <v>46328.84</v>
      </c>
      <c r="C161" s="153">
        <f t="shared" si="155"/>
        <v>0</v>
      </c>
      <c r="D161" s="153">
        <f t="shared" si="155"/>
        <v>1482.7</v>
      </c>
      <c r="E161" s="153">
        <f t="shared" si="155"/>
        <v>362.72</v>
      </c>
      <c r="F161" s="153">
        <f t="shared" si="155"/>
        <v>17.54</v>
      </c>
      <c r="G161" s="153">
        <f t="shared" si="155"/>
        <v>24052.799999999999</v>
      </c>
      <c r="H161" s="153">
        <f t="shared" si="155"/>
        <v>1392.27</v>
      </c>
      <c r="I161" s="153">
        <f t="shared" si="155"/>
        <v>0</v>
      </c>
      <c r="J161" s="153">
        <f t="shared" si="155"/>
        <v>0</v>
      </c>
      <c r="K161" s="153">
        <f t="shared" si="155"/>
        <v>66.89</v>
      </c>
      <c r="L161" s="153">
        <f t="shared" si="155"/>
        <v>6264.44</v>
      </c>
      <c r="M161" s="153">
        <f t="shared" si="155"/>
        <v>445.29</v>
      </c>
      <c r="N161" s="153">
        <f t="shared" si="155"/>
        <v>866.93</v>
      </c>
      <c r="O161" s="153">
        <f t="shared" si="155"/>
        <v>76.7</v>
      </c>
      <c r="P161" s="153">
        <f t="shared" si="155"/>
        <v>0</v>
      </c>
      <c r="R161" s="2">
        <f t="shared" ref="R161:R170" si="156">SUM(B161:Q161)</f>
        <v>81357.119999999981</v>
      </c>
      <c r="T161" s="2">
        <f t="shared" ref="T161:T170" si="157">+B161</f>
        <v>46328.84</v>
      </c>
      <c r="U161" s="2">
        <f t="shared" ref="U161:U170" si="158">+C161+D161+E161</f>
        <v>1845.42</v>
      </c>
      <c r="V161" s="2">
        <f t="shared" ref="V161:V170" si="159">+F161+G161+H161</f>
        <v>25462.61</v>
      </c>
      <c r="W161" s="2">
        <f t="shared" ref="W161:W170" si="160">+I161+J161</f>
        <v>0</v>
      </c>
      <c r="X161" s="2">
        <f t="shared" ref="X161:X170" si="161">+K161</f>
        <v>66.89</v>
      </c>
      <c r="Y161" s="2">
        <f t="shared" ref="Y161:Y170" si="162">SUM(T161:X161)</f>
        <v>73703.759999999995</v>
      </c>
      <c r="Z161" s="2">
        <f t="shared" ref="Z161:Z170" si="163">+L161</f>
        <v>6264.44</v>
      </c>
      <c r="AA161" s="2">
        <f t="shared" ref="AA161:AA170" si="164">+M161+N161+O161+P161</f>
        <v>1388.92</v>
      </c>
      <c r="AB161" s="2">
        <f t="shared" ref="AB161:AB170" si="165">SUM(Z161:AA161)</f>
        <v>7653.36</v>
      </c>
      <c r="AC161" s="2">
        <f t="shared" ref="AC161:AC170" si="166">+Y161+AB161</f>
        <v>81357.119999999995</v>
      </c>
      <c r="AD161" s="2">
        <f t="shared" ref="AD161:AD170" si="167">+R161-Y161-AB161</f>
        <v>-1.3642420526593924E-11</v>
      </c>
    </row>
    <row r="162" spans="1:30" x14ac:dyDescent="0.2">
      <c r="A162" s="145">
        <f>'TAX Interest Rates'!A59</f>
        <v>44620</v>
      </c>
      <c r="B162" s="153">
        <f t="shared" ref="B162:P162" si="168">ROUND(-B50*B104,2)</f>
        <v>35154.49</v>
      </c>
      <c r="C162" s="153">
        <f t="shared" si="168"/>
        <v>0</v>
      </c>
      <c r="D162" s="153">
        <f t="shared" si="168"/>
        <v>1187.7</v>
      </c>
      <c r="E162" s="153">
        <f t="shared" si="168"/>
        <v>315.7</v>
      </c>
      <c r="F162" s="153">
        <f t="shared" si="168"/>
        <v>9.17</v>
      </c>
      <c r="G162" s="153">
        <f t="shared" si="168"/>
        <v>19122.32</v>
      </c>
      <c r="H162" s="153">
        <f t="shared" si="168"/>
        <v>996.08</v>
      </c>
      <c r="I162" s="153">
        <f t="shared" si="168"/>
        <v>0</v>
      </c>
      <c r="J162" s="153">
        <f t="shared" si="168"/>
        <v>0</v>
      </c>
      <c r="K162" s="153">
        <f t="shared" si="168"/>
        <v>59.16</v>
      </c>
      <c r="L162" s="153">
        <f t="shared" si="168"/>
        <v>5626.84</v>
      </c>
      <c r="M162" s="153">
        <f t="shared" si="168"/>
        <v>1436.9</v>
      </c>
      <c r="N162" s="153">
        <f t="shared" si="168"/>
        <v>577.69000000000005</v>
      </c>
      <c r="O162" s="153">
        <f t="shared" si="168"/>
        <v>72</v>
      </c>
      <c r="P162" s="153">
        <f t="shared" si="168"/>
        <v>0</v>
      </c>
      <c r="R162" s="2">
        <f t="shared" si="156"/>
        <v>64558.049999999996</v>
      </c>
      <c r="T162" s="2">
        <f t="shared" si="157"/>
        <v>35154.49</v>
      </c>
      <c r="U162" s="2">
        <f t="shared" si="158"/>
        <v>1503.4</v>
      </c>
      <c r="V162" s="2">
        <f t="shared" si="159"/>
        <v>20127.57</v>
      </c>
      <c r="W162" s="2">
        <f t="shared" si="160"/>
        <v>0</v>
      </c>
      <c r="X162" s="2">
        <f t="shared" si="161"/>
        <v>59.16</v>
      </c>
      <c r="Y162" s="2">
        <f t="shared" si="162"/>
        <v>56844.62</v>
      </c>
      <c r="Z162" s="2">
        <f t="shared" si="163"/>
        <v>5626.84</v>
      </c>
      <c r="AA162" s="2">
        <f t="shared" si="164"/>
        <v>2086.59</v>
      </c>
      <c r="AB162" s="2">
        <f t="shared" si="165"/>
        <v>7713.43</v>
      </c>
      <c r="AC162" s="2">
        <f t="shared" si="166"/>
        <v>64558.05</v>
      </c>
      <c r="AD162" s="2">
        <f t="shared" si="167"/>
        <v>-7.2759576141834259E-12</v>
      </c>
    </row>
    <row r="163" spans="1:30" x14ac:dyDescent="0.2">
      <c r="A163" s="145">
        <f>'TAX Interest Rates'!A60</f>
        <v>44651</v>
      </c>
      <c r="B163" s="153">
        <f t="shared" ref="B163:P163" si="169">ROUND(-B51*B105,2)</f>
        <v>33953.589999999997</v>
      </c>
      <c r="C163" s="153">
        <f t="shared" si="169"/>
        <v>0</v>
      </c>
      <c r="D163" s="153">
        <f t="shared" si="169"/>
        <v>1344.05</v>
      </c>
      <c r="E163" s="153">
        <f t="shared" si="169"/>
        <v>365.48</v>
      </c>
      <c r="F163" s="153">
        <f t="shared" si="169"/>
        <v>7.82</v>
      </c>
      <c r="G163" s="153">
        <f t="shared" si="169"/>
        <v>18428.419999999998</v>
      </c>
      <c r="H163" s="153">
        <f t="shared" si="169"/>
        <v>998.93</v>
      </c>
      <c r="I163" s="153">
        <f t="shared" si="169"/>
        <v>0</v>
      </c>
      <c r="J163" s="153">
        <f t="shared" si="169"/>
        <v>0</v>
      </c>
      <c r="K163" s="153">
        <f t="shared" si="169"/>
        <v>57.44</v>
      </c>
      <c r="L163" s="153">
        <f t="shared" si="169"/>
        <v>6007.31</v>
      </c>
      <c r="M163" s="153">
        <f t="shared" si="169"/>
        <v>1717.17</v>
      </c>
      <c r="N163" s="153">
        <f t="shared" si="169"/>
        <v>63.94</v>
      </c>
      <c r="O163" s="153">
        <f t="shared" si="169"/>
        <v>25.95</v>
      </c>
      <c r="P163" s="153">
        <f t="shared" si="169"/>
        <v>0</v>
      </c>
      <c r="R163" s="2">
        <f t="shared" si="156"/>
        <v>62970.1</v>
      </c>
      <c r="T163" s="2">
        <f t="shared" si="157"/>
        <v>33953.589999999997</v>
      </c>
      <c r="U163" s="2">
        <f t="shared" si="158"/>
        <v>1709.53</v>
      </c>
      <c r="V163" s="2">
        <f t="shared" si="159"/>
        <v>19435.169999999998</v>
      </c>
      <c r="W163" s="2">
        <f t="shared" si="160"/>
        <v>0</v>
      </c>
      <c r="X163" s="2">
        <f t="shared" si="161"/>
        <v>57.44</v>
      </c>
      <c r="Y163" s="2">
        <f t="shared" si="162"/>
        <v>55155.729999999996</v>
      </c>
      <c r="Z163" s="2">
        <f t="shared" si="163"/>
        <v>6007.31</v>
      </c>
      <c r="AA163" s="2">
        <f t="shared" si="164"/>
        <v>1807.0600000000002</v>
      </c>
      <c r="AB163" s="2">
        <f t="shared" si="165"/>
        <v>7814.3700000000008</v>
      </c>
      <c r="AC163" s="2">
        <f t="shared" si="166"/>
        <v>62970.1</v>
      </c>
      <c r="AD163" s="2">
        <f t="shared" si="167"/>
        <v>0</v>
      </c>
    </row>
    <row r="164" spans="1:30" x14ac:dyDescent="0.2">
      <c r="A164" s="145">
        <f>'TAX Interest Rates'!A61</f>
        <v>44681</v>
      </c>
      <c r="B164" s="153">
        <f t="shared" ref="B164:P164" si="170">ROUND(-B52*B106,2)</f>
        <v>22382.82</v>
      </c>
      <c r="C164" s="153">
        <f t="shared" si="170"/>
        <v>0</v>
      </c>
      <c r="D164" s="153">
        <f t="shared" si="170"/>
        <v>901.46</v>
      </c>
      <c r="E164" s="153">
        <f t="shared" si="170"/>
        <v>271.98</v>
      </c>
      <c r="F164" s="153">
        <f t="shared" si="170"/>
        <v>15.13</v>
      </c>
      <c r="G164" s="153">
        <f t="shared" si="170"/>
        <v>11929.67</v>
      </c>
      <c r="H164" s="153">
        <f t="shared" si="170"/>
        <v>707.41</v>
      </c>
      <c r="I164" s="153">
        <f t="shared" si="170"/>
        <v>0</v>
      </c>
      <c r="J164" s="153">
        <f t="shared" si="170"/>
        <v>0</v>
      </c>
      <c r="K164" s="153">
        <f t="shared" si="170"/>
        <v>55.04</v>
      </c>
      <c r="L164" s="153">
        <f t="shared" si="170"/>
        <v>5958.4</v>
      </c>
      <c r="M164" s="153">
        <f t="shared" si="170"/>
        <v>1389.04</v>
      </c>
      <c r="N164" s="153">
        <f t="shared" si="170"/>
        <v>0</v>
      </c>
      <c r="O164" s="153">
        <f t="shared" si="170"/>
        <v>705.89</v>
      </c>
      <c r="P164" s="153">
        <f t="shared" si="170"/>
        <v>0</v>
      </c>
      <c r="R164" s="2">
        <f t="shared" si="156"/>
        <v>44316.840000000004</v>
      </c>
      <c r="T164" s="2">
        <f t="shared" si="157"/>
        <v>22382.82</v>
      </c>
      <c r="U164" s="2">
        <f t="shared" si="158"/>
        <v>1173.44</v>
      </c>
      <c r="V164" s="2">
        <f t="shared" si="159"/>
        <v>12652.21</v>
      </c>
      <c r="W164" s="2">
        <f t="shared" si="160"/>
        <v>0</v>
      </c>
      <c r="X164" s="2">
        <f t="shared" si="161"/>
        <v>55.04</v>
      </c>
      <c r="Y164" s="2">
        <f t="shared" si="162"/>
        <v>36263.51</v>
      </c>
      <c r="Z164" s="2">
        <f t="shared" si="163"/>
        <v>5958.4</v>
      </c>
      <c r="AA164" s="2">
        <f t="shared" si="164"/>
        <v>2094.9299999999998</v>
      </c>
      <c r="AB164" s="2">
        <f t="shared" si="165"/>
        <v>8053.33</v>
      </c>
      <c r="AC164" s="2">
        <f t="shared" si="166"/>
        <v>44316.840000000004</v>
      </c>
      <c r="AD164" s="2">
        <f t="shared" si="167"/>
        <v>0</v>
      </c>
    </row>
    <row r="165" spans="1:30" x14ac:dyDescent="0.2">
      <c r="A165" s="145">
        <f>'TAX Interest Rates'!A62</f>
        <v>44712</v>
      </c>
      <c r="B165" s="153">
        <f t="shared" ref="B165:P165" si="171">ROUND(-B53*B107,2)</f>
        <v>18892.990000000002</v>
      </c>
      <c r="C165" s="153">
        <f t="shared" si="171"/>
        <v>0</v>
      </c>
      <c r="D165" s="153">
        <f t="shared" si="171"/>
        <v>877.79</v>
      </c>
      <c r="E165" s="153">
        <f t="shared" si="171"/>
        <v>236.17</v>
      </c>
      <c r="F165" s="153">
        <f t="shared" si="171"/>
        <v>8.1199999999999992</v>
      </c>
      <c r="G165" s="153">
        <f t="shared" si="171"/>
        <v>10450.48</v>
      </c>
      <c r="H165" s="153">
        <f t="shared" si="171"/>
        <v>619.62</v>
      </c>
      <c r="I165" s="153">
        <f t="shared" si="171"/>
        <v>0</v>
      </c>
      <c r="J165" s="153">
        <f t="shared" si="171"/>
        <v>0</v>
      </c>
      <c r="K165" s="153">
        <f t="shared" si="171"/>
        <v>46.76</v>
      </c>
      <c r="L165" s="153">
        <f t="shared" si="171"/>
        <v>5640.7</v>
      </c>
      <c r="M165" s="153">
        <f t="shared" si="171"/>
        <v>1116.99</v>
      </c>
      <c r="N165" s="153">
        <f t="shared" si="171"/>
        <v>0</v>
      </c>
      <c r="O165" s="153">
        <f t="shared" si="171"/>
        <v>125.24</v>
      </c>
      <c r="P165" s="153">
        <f t="shared" si="171"/>
        <v>0</v>
      </c>
      <c r="R165" s="2">
        <f t="shared" si="156"/>
        <v>38014.859999999993</v>
      </c>
      <c r="T165" s="2">
        <f t="shared" si="157"/>
        <v>18892.990000000002</v>
      </c>
      <c r="U165" s="2">
        <f t="shared" si="158"/>
        <v>1113.96</v>
      </c>
      <c r="V165" s="2">
        <f t="shared" si="159"/>
        <v>11078.220000000001</v>
      </c>
      <c r="W165" s="2">
        <f t="shared" si="160"/>
        <v>0</v>
      </c>
      <c r="X165" s="2">
        <f t="shared" si="161"/>
        <v>46.76</v>
      </c>
      <c r="Y165" s="2">
        <f t="shared" si="162"/>
        <v>31131.93</v>
      </c>
      <c r="Z165" s="2">
        <f t="shared" si="163"/>
        <v>5640.7</v>
      </c>
      <c r="AA165" s="2">
        <f t="shared" si="164"/>
        <v>1242.23</v>
      </c>
      <c r="AB165" s="2">
        <f t="shared" si="165"/>
        <v>6882.93</v>
      </c>
      <c r="AC165" s="2">
        <f t="shared" si="166"/>
        <v>38014.86</v>
      </c>
      <c r="AD165" s="2">
        <f t="shared" si="167"/>
        <v>-7.2759576141834259E-12</v>
      </c>
    </row>
    <row r="166" spans="1:30" x14ac:dyDescent="0.2">
      <c r="A166" s="145">
        <f>'TAX Interest Rates'!A63</f>
        <v>44742</v>
      </c>
      <c r="B166" s="153">
        <f t="shared" ref="B166:P166" si="172">ROUND(-B54*B108,2)</f>
        <v>11393.06</v>
      </c>
      <c r="C166" s="153">
        <f t="shared" si="172"/>
        <v>0</v>
      </c>
      <c r="D166" s="153">
        <f t="shared" si="172"/>
        <v>658.68</v>
      </c>
      <c r="E166" s="153">
        <f t="shared" si="172"/>
        <v>278.95</v>
      </c>
      <c r="F166" s="153">
        <f t="shared" si="172"/>
        <v>3.6</v>
      </c>
      <c r="G166" s="153">
        <f t="shared" si="172"/>
        <v>6840.07</v>
      </c>
      <c r="H166" s="153">
        <f t="shared" si="172"/>
        <v>424.98</v>
      </c>
      <c r="I166" s="153">
        <f t="shared" si="172"/>
        <v>0</v>
      </c>
      <c r="J166" s="153">
        <f t="shared" si="172"/>
        <v>0</v>
      </c>
      <c r="K166" s="153">
        <f t="shared" si="172"/>
        <v>29.93</v>
      </c>
      <c r="L166" s="153">
        <f t="shared" si="172"/>
        <v>5007.3599999999997</v>
      </c>
      <c r="M166" s="153">
        <f t="shared" si="172"/>
        <v>217.83</v>
      </c>
      <c r="N166" s="153">
        <f t="shared" si="172"/>
        <v>194.79</v>
      </c>
      <c r="O166" s="153">
        <f t="shared" si="172"/>
        <v>99.41</v>
      </c>
      <c r="P166" s="153">
        <f t="shared" si="172"/>
        <v>0</v>
      </c>
      <c r="R166" s="2">
        <f t="shared" si="156"/>
        <v>25148.660000000003</v>
      </c>
      <c r="T166" s="2">
        <f t="shared" si="157"/>
        <v>11393.06</v>
      </c>
      <c r="U166" s="2">
        <f t="shared" si="158"/>
        <v>937.62999999999988</v>
      </c>
      <c r="V166" s="2">
        <f t="shared" si="159"/>
        <v>7268.65</v>
      </c>
      <c r="W166" s="2">
        <f t="shared" si="160"/>
        <v>0</v>
      </c>
      <c r="X166" s="2">
        <f t="shared" si="161"/>
        <v>29.93</v>
      </c>
      <c r="Y166" s="2">
        <f t="shared" si="162"/>
        <v>19629.269999999997</v>
      </c>
      <c r="Z166" s="2">
        <f t="shared" si="163"/>
        <v>5007.3599999999997</v>
      </c>
      <c r="AA166" s="2">
        <f t="shared" si="164"/>
        <v>512.03</v>
      </c>
      <c r="AB166" s="2">
        <f t="shared" si="165"/>
        <v>5519.3899999999994</v>
      </c>
      <c r="AC166" s="2">
        <f t="shared" si="166"/>
        <v>25148.659999999996</v>
      </c>
      <c r="AD166" s="2">
        <f t="shared" si="167"/>
        <v>7.2759576141834259E-12</v>
      </c>
    </row>
    <row r="167" spans="1:30" x14ac:dyDescent="0.2">
      <c r="A167" s="145">
        <f>'TAX Interest Rates'!A64</f>
        <v>44773</v>
      </c>
      <c r="B167" s="153">
        <f t="shared" ref="B167:P167" si="173">ROUND(-B55*B109,2)</f>
        <v>6425.34</v>
      </c>
      <c r="C167" s="153">
        <f t="shared" si="173"/>
        <v>0</v>
      </c>
      <c r="D167" s="153">
        <f t="shared" si="173"/>
        <v>444.24</v>
      </c>
      <c r="E167" s="153">
        <f t="shared" si="173"/>
        <v>273.95</v>
      </c>
      <c r="F167" s="153">
        <f t="shared" si="173"/>
        <v>1.94</v>
      </c>
      <c r="G167" s="153">
        <f t="shared" si="173"/>
        <v>4331.67</v>
      </c>
      <c r="H167" s="153">
        <f t="shared" si="173"/>
        <v>261.32</v>
      </c>
      <c r="I167" s="153">
        <f t="shared" si="173"/>
        <v>0</v>
      </c>
      <c r="J167" s="153">
        <f t="shared" si="173"/>
        <v>0</v>
      </c>
      <c r="K167" s="153">
        <f t="shared" si="173"/>
        <v>23.11</v>
      </c>
      <c r="L167" s="153">
        <f t="shared" si="173"/>
        <v>4755.26</v>
      </c>
      <c r="M167" s="153">
        <f t="shared" si="173"/>
        <v>2107.9499999999998</v>
      </c>
      <c r="N167" s="153">
        <f t="shared" si="173"/>
        <v>1177.05</v>
      </c>
      <c r="O167" s="153">
        <f t="shared" si="173"/>
        <v>0</v>
      </c>
      <c r="P167" s="153">
        <f t="shared" si="173"/>
        <v>0</v>
      </c>
      <c r="R167" s="2">
        <f t="shared" si="156"/>
        <v>19801.830000000002</v>
      </c>
      <c r="T167" s="2">
        <f t="shared" si="157"/>
        <v>6425.34</v>
      </c>
      <c r="U167" s="2">
        <f t="shared" si="158"/>
        <v>718.19</v>
      </c>
      <c r="V167" s="2">
        <f t="shared" si="159"/>
        <v>4594.9299999999994</v>
      </c>
      <c r="W167" s="2">
        <f t="shared" si="160"/>
        <v>0</v>
      </c>
      <c r="X167" s="2">
        <f t="shared" si="161"/>
        <v>23.11</v>
      </c>
      <c r="Y167" s="2">
        <f t="shared" si="162"/>
        <v>11761.57</v>
      </c>
      <c r="Z167" s="2">
        <f t="shared" si="163"/>
        <v>4755.26</v>
      </c>
      <c r="AA167" s="2">
        <f t="shared" si="164"/>
        <v>3285</v>
      </c>
      <c r="AB167" s="2">
        <f t="shared" si="165"/>
        <v>8040.26</v>
      </c>
      <c r="AC167" s="2">
        <f t="shared" si="166"/>
        <v>19801.830000000002</v>
      </c>
      <c r="AD167" s="2">
        <f t="shared" si="167"/>
        <v>0</v>
      </c>
    </row>
    <row r="168" spans="1:30" x14ac:dyDescent="0.2">
      <c r="A168" s="145">
        <f>'TAX Interest Rates'!A65</f>
        <v>44804</v>
      </c>
      <c r="B168" s="153">
        <f t="shared" ref="B168:P168" si="174">ROUND(-B56*B110,2)</f>
        <v>5274.38</v>
      </c>
      <c r="C168" s="153">
        <f t="shared" si="174"/>
        <v>0</v>
      </c>
      <c r="D168" s="153">
        <f t="shared" si="174"/>
        <v>415.47</v>
      </c>
      <c r="E168" s="153">
        <f t="shared" si="174"/>
        <v>254.38</v>
      </c>
      <c r="F168" s="153">
        <f>ROUND(-F56*F110,2)</f>
        <v>2.11</v>
      </c>
      <c r="G168" s="153">
        <f t="shared" si="174"/>
        <v>4089.62</v>
      </c>
      <c r="H168" s="153">
        <f>ROUND(-H56*H110,2)</f>
        <v>240.06</v>
      </c>
      <c r="I168" s="153">
        <f t="shared" si="174"/>
        <v>0</v>
      </c>
      <c r="J168" s="153">
        <f t="shared" si="174"/>
        <v>0</v>
      </c>
      <c r="K168" s="153">
        <f t="shared" si="174"/>
        <v>26.41</v>
      </c>
      <c r="L168" s="153">
        <f t="shared" si="174"/>
        <v>5309.76</v>
      </c>
      <c r="M168" s="153">
        <f t="shared" si="174"/>
        <v>2916.21</v>
      </c>
      <c r="N168" s="153">
        <f t="shared" si="174"/>
        <v>1704.93</v>
      </c>
      <c r="O168" s="153">
        <f t="shared" si="174"/>
        <v>0</v>
      </c>
      <c r="P168" s="153">
        <f t="shared" si="174"/>
        <v>0</v>
      </c>
      <c r="R168" s="2">
        <f t="shared" si="156"/>
        <v>20233.329999999998</v>
      </c>
      <c r="T168" s="2">
        <f t="shared" si="157"/>
        <v>5274.38</v>
      </c>
      <c r="U168" s="2">
        <f t="shared" si="158"/>
        <v>669.85</v>
      </c>
      <c r="V168" s="2">
        <f t="shared" si="159"/>
        <v>4331.79</v>
      </c>
      <c r="W168" s="2">
        <f t="shared" si="160"/>
        <v>0</v>
      </c>
      <c r="X168" s="2">
        <f t="shared" si="161"/>
        <v>26.41</v>
      </c>
      <c r="Y168" s="2">
        <f t="shared" si="162"/>
        <v>10302.43</v>
      </c>
      <c r="Z168" s="2">
        <f t="shared" si="163"/>
        <v>5309.76</v>
      </c>
      <c r="AA168" s="2">
        <f t="shared" si="164"/>
        <v>4621.1400000000003</v>
      </c>
      <c r="AB168" s="2">
        <f t="shared" si="165"/>
        <v>9930.9000000000015</v>
      </c>
      <c r="AC168" s="2">
        <f t="shared" si="166"/>
        <v>20233.330000000002</v>
      </c>
      <c r="AD168" s="2">
        <f t="shared" si="167"/>
        <v>0</v>
      </c>
    </row>
    <row r="169" spans="1:30" x14ac:dyDescent="0.2">
      <c r="A169" s="145">
        <f>'TAX Interest Rates'!A66</f>
        <v>44834</v>
      </c>
      <c r="B169" s="153">
        <f t="shared" ref="B169:P169" si="175">ROUND(-B57*B111,2)</f>
        <v>-2284.81</v>
      </c>
      <c r="C169" s="153">
        <f t="shared" si="175"/>
        <v>0</v>
      </c>
      <c r="D169" s="153">
        <f t="shared" si="175"/>
        <v>0</v>
      </c>
      <c r="E169" s="153">
        <f t="shared" si="175"/>
        <v>0</v>
      </c>
      <c r="F169" s="153">
        <f t="shared" si="175"/>
        <v>-2.11</v>
      </c>
      <c r="G169" s="153">
        <f t="shared" si="175"/>
        <v>-1879.73</v>
      </c>
      <c r="H169" s="153">
        <f t="shared" si="175"/>
        <v>-5.29</v>
      </c>
      <c r="I169" s="153">
        <f t="shared" si="175"/>
        <v>0</v>
      </c>
      <c r="J169" s="153">
        <f t="shared" si="175"/>
        <v>0</v>
      </c>
      <c r="K169" s="153">
        <f t="shared" si="175"/>
        <v>-26.41</v>
      </c>
      <c r="L169" s="153">
        <f t="shared" si="175"/>
        <v>-5309.76</v>
      </c>
      <c r="M169" s="153">
        <f t="shared" si="175"/>
        <v>-2916.21</v>
      </c>
      <c r="N169" s="153">
        <f t="shared" si="175"/>
        <v>-1704.93</v>
      </c>
      <c r="O169" s="153">
        <f t="shared" si="175"/>
        <v>0</v>
      </c>
      <c r="P169" s="153">
        <f t="shared" si="175"/>
        <v>0</v>
      </c>
      <c r="R169" s="2">
        <f t="shared" si="156"/>
        <v>-14129.25</v>
      </c>
      <c r="T169" s="2">
        <f t="shared" si="157"/>
        <v>-2284.81</v>
      </c>
      <c r="U169" s="2">
        <f t="shared" si="158"/>
        <v>0</v>
      </c>
      <c r="V169" s="2">
        <f t="shared" si="159"/>
        <v>-1887.1299999999999</v>
      </c>
      <c r="W169" s="2">
        <f t="shared" si="160"/>
        <v>0</v>
      </c>
      <c r="X169" s="2">
        <f t="shared" si="161"/>
        <v>-26.41</v>
      </c>
      <c r="Y169" s="2">
        <f t="shared" si="162"/>
        <v>-4198.3499999999995</v>
      </c>
      <c r="Z169" s="2">
        <f t="shared" si="163"/>
        <v>-5309.76</v>
      </c>
      <c r="AA169" s="2">
        <f t="shared" si="164"/>
        <v>-4621.1400000000003</v>
      </c>
      <c r="AB169" s="2">
        <f t="shared" si="165"/>
        <v>-9930.9000000000015</v>
      </c>
      <c r="AC169" s="2">
        <f t="shared" si="166"/>
        <v>-14129.25</v>
      </c>
      <c r="AD169" s="2">
        <f t="shared" si="167"/>
        <v>0</v>
      </c>
    </row>
    <row r="170" spans="1:30" x14ac:dyDescent="0.2">
      <c r="A170" s="145">
        <f>'TAX Interest Rates'!A67</f>
        <v>44865</v>
      </c>
      <c r="B170" s="153">
        <f t="shared" ref="B170:P170" si="176">ROUND(-B58*B112,2)</f>
        <v>0</v>
      </c>
      <c r="C170" s="153">
        <f t="shared" si="176"/>
        <v>0</v>
      </c>
      <c r="D170" s="153">
        <f t="shared" si="176"/>
        <v>0</v>
      </c>
      <c r="E170" s="153">
        <f t="shared" si="176"/>
        <v>0</v>
      </c>
      <c r="F170" s="153">
        <f t="shared" si="176"/>
        <v>0</v>
      </c>
      <c r="G170" s="153">
        <f t="shared" si="176"/>
        <v>0</v>
      </c>
      <c r="H170" s="153">
        <f t="shared" si="176"/>
        <v>0</v>
      </c>
      <c r="I170" s="153">
        <f t="shared" si="176"/>
        <v>0</v>
      </c>
      <c r="J170" s="153">
        <f t="shared" si="176"/>
        <v>0</v>
      </c>
      <c r="K170" s="153">
        <f t="shared" si="176"/>
        <v>0</v>
      </c>
      <c r="L170" s="153">
        <f t="shared" si="176"/>
        <v>0</v>
      </c>
      <c r="M170" s="153">
        <f t="shared" si="176"/>
        <v>0</v>
      </c>
      <c r="N170" s="153">
        <f t="shared" si="176"/>
        <v>0</v>
      </c>
      <c r="O170" s="153">
        <f t="shared" si="176"/>
        <v>0</v>
      </c>
      <c r="P170" s="153">
        <f t="shared" si="176"/>
        <v>0</v>
      </c>
      <c r="R170" s="2">
        <f t="shared" si="156"/>
        <v>0</v>
      </c>
      <c r="T170" s="2">
        <f t="shared" si="157"/>
        <v>0</v>
      </c>
      <c r="U170" s="2">
        <f t="shared" si="158"/>
        <v>0</v>
      </c>
      <c r="V170" s="2">
        <f t="shared" si="159"/>
        <v>0</v>
      </c>
      <c r="W170" s="2">
        <f t="shared" si="160"/>
        <v>0</v>
      </c>
      <c r="X170" s="2">
        <f t="shared" si="161"/>
        <v>0</v>
      </c>
      <c r="Y170" s="2">
        <f t="shared" si="162"/>
        <v>0</v>
      </c>
      <c r="Z170" s="2">
        <f t="shared" si="163"/>
        <v>0</v>
      </c>
      <c r="AA170" s="2">
        <f t="shared" si="164"/>
        <v>0</v>
      </c>
      <c r="AB170" s="2">
        <f t="shared" si="165"/>
        <v>0</v>
      </c>
      <c r="AC170" s="2">
        <f t="shared" si="166"/>
        <v>0</v>
      </c>
      <c r="AD170" s="2">
        <f t="shared" si="167"/>
        <v>0</v>
      </c>
    </row>
  </sheetData>
  <mergeCells count="4">
    <mergeCell ref="C2:E2"/>
    <mergeCell ref="F2:H2"/>
    <mergeCell ref="I2:J2"/>
    <mergeCell ref="M2:P2"/>
  </mergeCells>
  <printOptions horizontalCentered="1"/>
  <pageMargins left="0.25" right="0.25" top="0.75" bottom="0.75" header="0.3" footer="0.3"/>
  <pageSetup scale="91" orientation="landscape" r:id="rId1"/>
  <headerFooter>
    <oddFooter xml:space="preserve">&amp;L&amp;10WA Tax Deferral Accounts&amp;C&amp;10&amp;A&amp;R&amp;10 47WA.2540.20482&amp;12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64"/>
  <sheetViews>
    <sheetView view="pageBreakPreview" topLeftCell="A4" zoomScaleNormal="100" zoomScaleSheetLayoutView="100" workbookViewId="0">
      <selection activeCell="P64" sqref="P64"/>
    </sheetView>
  </sheetViews>
  <sheetFormatPr defaultColWidth="8.88671875" defaultRowHeight="12.75" x14ac:dyDescent="0.2"/>
  <cols>
    <col min="1" max="2" width="8.88671875" style="2"/>
    <col min="3" max="3" width="10.109375" style="2" customWidth="1"/>
    <col min="4" max="4" width="8.88671875" style="2"/>
    <col min="5" max="5" width="10.21875" style="2" customWidth="1"/>
    <col min="6" max="6" width="8.88671875" style="2"/>
    <col min="7" max="7" width="13.109375" style="2" customWidth="1"/>
    <col min="8" max="8" width="11.6640625" style="2" customWidth="1"/>
    <col min="9" max="9" width="1.21875" style="2" customWidth="1"/>
    <col min="10" max="10" width="11.33203125" style="2" customWidth="1"/>
    <col min="11" max="11" width="10.33203125" style="2" customWidth="1"/>
    <col min="12" max="12" width="9" style="25" bestFit="1" customWidth="1"/>
    <col min="13" max="13" width="10.33203125" style="25" bestFit="1" customWidth="1"/>
    <col min="14" max="16384" width="8.88671875" style="2"/>
  </cols>
  <sheetData>
    <row r="1" spans="1:13" x14ac:dyDescent="0.2">
      <c r="A1" s="209" t="s">
        <v>65</v>
      </c>
      <c r="B1" s="210"/>
      <c r="C1" s="211" t="s">
        <v>66</v>
      </c>
      <c r="D1" s="211"/>
      <c r="E1" s="211"/>
      <c r="F1" s="211"/>
      <c r="G1" s="211"/>
      <c r="H1" s="212"/>
      <c r="I1" s="131"/>
      <c r="J1" s="27"/>
    </row>
    <row r="2" spans="1:13" x14ac:dyDescent="0.2">
      <c r="A2" s="206" t="s">
        <v>67</v>
      </c>
      <c r="B2" s="186"/>
      <c r="C2" s="207" t="s">
        <v>109</v>
      </c>
      <c r="D2" s="207"/>
      <c r="E2" s="207"/>
      <c r="F2" s="207"/>
      <c r="G2" s="207"/>
      <c r="H2" s="208"/>
      <c r="I2" s="131"/>
      <c r="J2" s="27"/>
    </row>
    <row r="3" spans="1:13" x14ac:dyDescent="0.2">
      <c r="A3" s="206" t="s">
        <v>69</v>
      </c>
      <c r="B3" s="186"/>
      <c r="C3" s="207" t="s">
        <v>9</v>
      </c>
      <c r="D3" s="207"/>
      <c r="E3" s="207"/>
      <c r="F3" s="207"/>
      <c r="G3" s="207"/>
      <c r="H3" s="208"/>
      <c r="I3" s="131"/>
      <c r="J3" s="27"/>
    </row>
    <row r="4" spans="1:13" x14ac:dyDescent="0.2">
      <c r="A4" s="206" t="s">
        <v>71</v>
      </c>
      <c r="B4" s="186"/>
      <c r="C4" s="207"/>
      <c r="D4" s="207"/>
      <c r="E4" s="207"/>
      <c r="F4" s="207"/>
      <c r="G4" s="207"/>
      <c r="H4" s="208"/>
      <c r="I4" s="131"/>
      <c r="J4" s="216" t="s">
        <v>110</v>
      </c>
      <c r="K4" s="216"/>
      <c r="L4" s="216"/>
      <c r="M4" s="216"/>
    </row>
    <row r="5" spans="1:13" x14ac:dyDescent="0.2">
      <c r="A5" s="206" t="s">
        <v>72</v>
      </c>
      <c r="B5" s="186"/>
      <c r="C5" s="207" t="s">
        <v>75</v>
      </c>
      <c r="D5" s="207"/>
      <c r="E5" s="207"/>
      <c r="F5" s="207"/>
      <c r="G5" s="207"/>
      <c r="H5" s="208"/>
      <c r="I5" s="131"/>
      <c r="J5" s="216"/>
      <c r="K5" s="216"/>
      <c r="L5" s="216"/>
      <c r="M5" s="216"/>
    </row>
    <row r="6" spans="1:13" x14ac:dyDescent="0.2">
      <c r="A6" s="206" t="s">
        <v>74</v>
      </c>
      <c r="B6" s="186"/>
      <c r="C6" s="207" t="s">
        <v>111</v>
      </c>
      <c r="D6" s="207"/>
      <c r="E6" s="207"/>
      <c r="F6" s="207"/>
      <c r="G6" s="207"/>
      <c r="H6" s="208"/>
      <c r="I6" s="131"/>
      <c r="J6" s="216"/>
      <c r="K6" s="216"/>
      <c r="L6" s="216"/>
      <c r="M6" s="216"/>
    </row>
    <row r="7" spans="1:13" ht="13.5" thickBot="1" x14ac:dyDescent="0.25">
      <c r="A7" s="201" t="s">
        <v>76</v>
      </c>
      <c r="B7" s="202"/>
      <c r="C7" s="203" t="s">
        <v>112</v>
      </c>
      <c r="D7" s="203"/>
      <c r="E7" s="203"/>
      <c r="F7" s="203"/>
      <c r="G7" s="203"/>
      <c r="H7" s="204"/>
      <c r="I7" s="132"/>
      <c r="J7" s="30"/>
    </row>
    <row r="8" spans="1:13" x14ac:dyDescent="0.2">
      <c r="A8" s="34"/>
      <c r="B8" s="34"/>
      <c r="C8" s="35"/>
      <c r="D8" s="35"/>
      <c r="E8" s="35"/>
      <c r="F8" s="35"/>
      <c r="G8" s="35"/>
      <c r="H8" s="35"/>
      <c r="I8" s="35"/>
      <c r="K8" s="36"/>
    </row>
    <row r="9" spans="1:13" x14ac:dyDescent="0.2">
      <c r="A9" s="7"/>
      <c r="D9" s="194" t="s">
        <v>78</v>
      </c>
      <c r="E9" s="194"/>
      <c r="F9" s="194"/>
    </row>
    <row r="10" spans="1:13" s="99" customFormat="1" ht="26.25" customHeight="1" x14ac:dyDescent="0.2">
      <c r="A10" s="8" t="s">
        <v>24</v>
      </c>
      <c r="B10" s="8" t="s">
        <v>79</v>
      </c>
      <c r="C10" s="8" t="s">
        <v>62</v>
      </c>
      <c r="D10" s="8" t="s">
        <v>80</v>
      </c>
      <c r="E10" s="8" t="s">
        <v>58</v>
      </c>
      <c r="F10" s="8" t="s">
        <v>81</v>
      </c>
      <c r="G10" s="8" t="s">
        <v>82</v>
      </c>
      <c r="H10" s="8" t="s">
        <v>83</v>
      </c>
      <c r="I10" s="133"/>
      <c r="J10" s="8" t="s">
        <v>84</v>
      </c>
      <c r="K10" s="8" t="s">
        <v>85</v>
      </c>
      <c r="L10" s="19" t="s">
        <v>86</v>
      </c>
      <c r="M10" s="19" t="s">
        <v>87</v>
      </c>
    </row>
    <row r="11" spans="1:13" x14ac:dyDescent="0.2">
      <c r="A11" s="31"/>
      <c r="B11" s="31"/>
      <c r="C11" s="31"/>
      <c r="D11" s="31"/>
      <c r="E11" s="31"/>
      <c r="F11" s="31"/>
      <c r="G11" s="31"/>
      <c r="H11" s="29"/>
      <c r="I11" s="134"/>
      <c r="J11" s="30"/>
    </row>
    <row r="12" spans="1:13" hidden="1" x14ac:dyDescent="0.2">
      <c r="A12" s="205" t="s">
        <v>102</v>
      </c>
      <c r="B12" s="205"/>
      <c r="C12" s="205"/>
      <c r="D12" s="205"/>
      <c r="E12" s="205"/>
      <c r="F12" s="205"/>
      <c r="G12" s="29">
        <v>-398753.06</v>
      </c>
      <c r="H12" s="29"/>
      <c r="I12" s="134"/>
      <c r="J12" s="37"/>
      <c r="K12" s="24"/>
    </row>
    <row r="13" spans="1:13" hidden="1" x14ac:dyDescent="0.2">
      <c r="A13" s="205"/>
      <c r="B13" s="205"/>
      <c r="C13" s="205"/>
      <c r="D13" s="205"/>
      <c r="E13" s="205"/>
      <c r="F13" s="205"/>
      <c r="G13" s="29"/>
      <c r="H13" s="29">
        <f>SUM(G12:G12)</f>
        <v>-398753.06</v>
      </c>
      <c r="I13" s="134"/>
      <c r="J13" s="30"/>
    </row>
    <row r="14" spans="1:13" hidden="1" x14ac:dyDescent="0.2">
      <c r="A14" s="28">
        <f>'TAX Interest Rates'!A17</f>
        <v>43343</v>
      </c>
      <c r="B14" s="47" t="s">
        <v>103</v>
      </c>
      <c r="C14" s="46">
        <f>+'Unprotected EDIT Base'!R4</f>
        <v>61836631</v>
      </c>
      <c r="D14" s="24">
        <f>54049.34-49243.39</f>
        <v>4805.9499999999971</v>
      </c>
      <c r="E14" s="29">
        <f>+'Unprotected EDIT Base'!R116</f>
        <v>16408.240000000002</v>
      </c>
      <c r="F14" s="29">
        <f t="shared" ref="F14:F18" si="0">ROUND(H13*VLOOKUP(A14,TAXINT18,2)/365*VLOOKUP(A14,TAXINT18,3),2)</f>
        <v>0</v>
      </c>
      <c r="G14" s="29"/>
      <c r="H14" s="29">
        <f>SUM(D14:G14)+H13</f>
        <v>-377538.87</v>
      </c>
      <c r="I14" s="134"/>
      <c r="J14" s="37">
        <v>-377538.87</v>
      </c>
      <c r="K14" s="2">
        <f>J14-H14</f>
        <v>0</v>
      </c>
      <c r="L14" s="25" t="s">
        <v>98</v>
      </c>
      <c r="M14" s="128">
        <v>43364</v>
      </c>
    </row>
    <row r="15" spans="1:13" hidden="1" x14ac:dyDescent="0.2">
      <c r="A15" s="28">
        <f>'TAX Interest Rates'!A18</f>
        <v>43373</v>
      </c>
      <c r="B15" s="47" t="s">
        <v>103</v>
      </c>
      <c r="C15" s="46">
        <f>+'Unprotected EDIT Base'!R5</f>
        <v>69221884</v>
      </c>
      <c r="D15" s="24">
        <v>-49243.39</v>
      </c>
      <c r="E15" s="29">
        <f>+'Unprotected EDIT Base'!R117</f>
        <v>25395.050000000003</v>
      </c>
      <c r="F15" s="29">
        <f t="shared" si="0"/>
        <v>0</v>
      </c>
      <c r="G15" s="29"/>
      <c r="H15" s="29">
        <f t="shared" ref="H15:H24" si="1">SUM(D15:G15)+H14</f>
        <v>-401387.20999999996</v>
      </c>
      <c r="I15" s="134"/>
      <c r="J15" s="37">
        <v>-401387.21</v>
      </c>
      <c r="K15" s="24">
        <f>J15-H15</f>
        <v>0</v>
      </c>
      <c r="L15" s="25" t="s">
        <v>98</v>
      </c>
      <c r="M15" s="128">
        <v>43381</v>
      </c>
    </row>
    <row r="16" spans="1:13" hidden="1" x14ac:dyDescent="0.2">
      <c r="A16" s="28">
        <f>'TAX Interest Rates'!A19</f>
        <v>43404</v>
      </c>
      <c r="B16" s="47" t="s">
        <v>103</v>
      </c>
      <c r="C16" s="46">
        <f>+'Unprotected EDIT Base'!R6</f>
        <v>58118580</v>
      </c>
      <c r="D16" s="37">
        <v>-49243.39</v>
      </c>
      <c r="E16" s="29">
        <f>+'Unprotected EDIT Base'!R118</f>
        <v>31618.15</v>
      </c>
      <c r="F16" s="29">
        <f t="shared" si="0"/>
        <v>0</v>
      </c>
      <c r="G16" s="30"/>
      <c r="H16" s="32">
        <f t="shared" si="1"/>
        <v>-419012.44999999995</v>
      </c>
      <c r="I16" s="135"/>
      <c r="J16" s="37">
        <v>-419012.45</v>
      </c>
      <c r="K16" s="24">
        <f t="shared" ref="K16:K30" si="2">J16-H16</f>
        <v>0</v>
      </c>
      <c r="L16" s="25" t="s">
        <v>98</v>
      </c>
      <c r="M16" s="128">
        <v>43411</v>
      </c>
    </row>
    <row r="17" spans="1:13" hidden="1" x14ac:dyDescent="0.2">
      <c r="A17" s="28">
        <f>'TAX Interest Rates'!A20</f>
        <v>43434</v>
      </c>
      <c r="B17" s="47" t="s">
        <v>104</v>
      </c>
      <c r="C17" s="46">
        <f>+'Unprotected EDIT Base'!R8+'Unprotected EDIT Base'!R7</f>
        <v>43389765</v>
      </c>
      <c r="D17" s="37">
        <v>-49243.39</v>
      </c>
      <c r="E17" s="29">
        <f>+'Unprotected EDIT Base'!R120+'Unprotected EDIT Base'!R119</f>
        <v>40818.9</v>
      </c>
      <c r="F17" s="29">
        <f t="shared" si="0"/>
        <v>0</v>
      </c>
      <c r="G17" s="30"/>
      <c r="H17" s="32">
        <f t="shared" si="1"/>
        <v>-427436.93999999994</v>
      </c>
      <c r="I17" s="135"/>
      <c r="J17" s="2">
        <v>-427436.94</v>
      </c>
      <c r="K17" s="24">
        <f t="shared" si="2"/>
        <v>0</v>
      </c>
      <c r="L17" s="25" t="s">
        <v>98</v>
      </c>
      <c r="M17" s="128">
        <v>43444</v>
      </c>
    </row>
    <row r="18" spans="1:13" hidden="1" x14ac:dyDescent="0.2">
      <c r="A18" s="28">
        <f>'TAX Interest Rates'!A21</f>
        <v>43465</v>
      </c>
      <c r="B18" s="47" t="s">
        <v>103</v>
      </c>
      <c r="C18" s="46">
        <f>+'Unprotected EDIT Base'!R9</f>
        <v>80158637</v>
      </c>
      <c r="D18" s="37">
        <v>-115368.32000000001</v>
      </c>
      <c r="E18" s="29">
        <f>+'Unprotected EDIT Base'!R121</f>
        <v>79243.829999999973</v>
      </c>
      <c r="F18" s="29">
        <f t="shared" si="0"/>
        <v>0</v>
      </c>
      <c r="G18" s="30"/>
      <c r="H18" s="32">
        <f t="shared" si="1"/>
        <v>-463561.43</v>
      </c>
      <c r="I18" s="135"/>
      <c r="J18" s="2">
        <v>-463561.43</v>
      </c>
      <c r="K18" s="24">
        <f t="shared" si="2"/>
        <v>0</v>
      </c>
      <c r="L18" s="25" t="s">
        <v>98</v>
      </c>
      <c r="M18" s="128">
        <v>43482</v>
      </c>
    </row>
    <row r="19" spans="1:13" hidden="1" x14ac:dyDescent="0.2">
      <c r="A19" s="28">
        <f>'TAX Interest Rates'!A22</f>
        <v>43496</v>
      </c>
      <c r="B19" s="47" t="s">
        <v>103</v>
      </c>
      <c r="C19" s="46">
        <f>+'Unprotected EDIT Base'!R10</f>
        <v>86264908</v>
      </c>
      <c r="D19" s="37">
        <v>-54753.8</v>
      </c>
      <c r="E19" s="29">
        <f>+'Unprotected EDIT Base'!R122</f>
        <v>88980.01</v>
      </c>
      <c r="F19" s="29">
        <f t="shared" ref="F19:F24" si="3">ROUND(H18*VLOOKUP(A19,TAXINT19,2)/365*VLOOKUP(A19,TAXINT19,3),2)</f>
        <v>0</v>
      </c>
      <c r="G19" s="30"/>
      <c r="H19" s="32">
        <f t="shared" si="1"/>
        <v>-429335.22</v>
      </c>
      <c r="I19" s="135"/>
      <c r="J19" s="2">
        <v>-429335.22</v>
      </c>
      <c r="K19" s="24">
        <f t="shared" si="2"/>
        <v>0</v>
      </c>
      <c r="L19" s="25" t="s">
        <v>98</v>
      </c>
      <c r="M19" s="128">
        <v>43531</v>
      </c>
    </row>
    <row r="20" spans="1:13" hidden="1" x14ac:dyDescent="0.2">
      <c r="A20" s="28">
        <f>'TAX Interest Rates'!A23</f>
        <v>43524</v>
      </c>
      <c r="B20" s="47" t="s">
        <v>103</v>
      </c>
      <c r="C20" s="46">
        <f>+'Unprotected EDIT Base'!R11</f>
        <v>82269503</v>
      </c>
      <c r="D20" s="37">
        <v>-54753.8</v>
      </c>
      <c r="E20" s="29">
        <f>+'Unprotected EDIT Base'!R123</f>
        <v>93031.859999999986</v>
      </c>
      <c r="F20" s="29">
        <f t="shared" si="3"/>
        <v>0</v>
      </c>
      <c r="G20" s="30"/>
      <c r="H20" s="32">
        <f t="shared" si="1"/>
        <v>-391057.16</v>
      </c>
      <c r="I20" s="135"/>
      <c r="J20" s="2">
        <v>-391057.16</v>
      </c>
      <c r="K20" s="24">
        <f t="shared" si="2"/>
        <v>0</v>
      </c>
      <c r="L20" s="25" t="s">
        <v>98</v>
      </c>
      <c r="M20" s="128">
        <v>43531</v>
      </c>
    </row>
    <row r="21" spans="1:13" hidden="1" x14ac:dyDescent="0.2">
      <c r="A21" s="28">
        <f>'TAX Interest Rates'!A24</f>
        <v>43555</v>
      </c>
      <c r="B21" s="47" t="s">
        <v>103</v>
      </c>
      <c r="C21" s="46">
        <f>+'Unprotected EDIT Base'!R12</f>
        <v>84736435</v>
      </c>
      <c r="D21" s="37">
        <v>-54753.8</v>
      </c>
      <c r="E21" s="29">
        <f>+'Unprotected EDIT Base'!R124</f>
        <v>100831.62</v>
      </c>
      <c r="F21" s="29">
        <f t="shared" si="3"/>
        <v>0</v>
      </c>
      <c r="G21" s="30"/>
      <c r="H21" s="32">
        <f t="shared" si="1"/>
        <v>-344979.33999999997</v>
      </c>
      <c r="I21" s="135"/>
      <c r="J21" s="2">
        <v>-344979.34</v>
      </c>
      <c r="K21" s="24">
        <f t="shared" si="2"/>
        <v>0</v>
      </c>
      <c r="L21" s="25" t="s">
        <v>98</v>
      </c>
      <c r="M21" s="128">
        <v>43560</v>
      </c>
    </row>
    <row r="22" spans="1:13" hidden="1" x14ac:dyDescent="0.2">
      <c r="A22" s="28">
        <f>'TAX Interest Rates'!A25</f>
        <v>43585</v>
      </c>
      <c r="B22" s="47" t="s">
        <v>103</v>
      </c>
      <c r="C22" s="46">
        <f>+'Unprotected EDIT Base'!R13</f>
        <v>62230455</v>
      </c>
      <c r="D22" s="24">
        <v>-54753.8</v>
      </c>
      <c r="E22" s="29">
        <f>+'Unprotected EDIT Base'!R125</f>
        <v>59880.19999999999</v>
      </c>
      <c r="F22" s="29">
        <f t="shared" si="3"/>
        <v>0</v>
      </c>
      <c r="H22" s="32">
        <f t="shared" si="1"/>
        <v>-339852.94</v>
      </c>
      <c r="I22" s="135"/>
      <c r="J22" s="2">
        <v>-339852.94</v>
      </c>
      <c r="K22" s="24">
        <f t="shared" si="2"/>
        <v>0</v>
      </c>
      <c r="L22" s="25" t="s">
        <v>98</v>
      </c>
      <c r="M22" s="128">
        <v>43593</v>
      </c>
    </row>
    <row r="23" spans="1:13" hidden="1" x14ac:dyDescent="0.2">
      <c r="A23" s="28">
        <f>'TAX Interest Rates'!A26</f>
        <v>43616</v>
      </c>
      <c r="B23" s="47" t="s">
        <v>103</v>
      </c>
      <c r="C23" s="46">
        <f>+'Unprotected EDIT Base'!R14</f>
        <v>50477479</v>
      </c>
      <c r="D23" s="24">
        <v>-54753.8</v>
      </c>
      <c r="E23" s="29">
        <f>+'Unprotected EDIT Base'!R126</f>
        <v>38891.810000000005</v>
      </c>
      <c r="F23" s="29">
        <f t="shared" si="3"/>
        <v>0</v>
      </c>
      <c r="H23" s="32">
        <f t="shared" si="1"/>
        <v>-355714.93</v>
      </c>
      <c r="I23" s="135"/>
      <c r="J23" s="2">
        <v>-355714.93</v>
      </c>
      <c r="K23" s="24">
        <f t="shared" si="2"/>
        <v>0</v>
      </c>
      <c r="L23" s="25" t="s">
        <v>98</v>
      </c>
      <c r="M23" s="128">
        <v>43623</v>
      </c>
    </row>
    <row r="24" spans="1:13" hidden="1" x14ac:dyDescent="0.2">
      <c r="A24" s="28">
        <f>'TAX Interest Rates'!A27</f>
        <v>43646</v>
      </c>
      <c r="B24" s="47" t="s">
        <v>103</v>
      </c>
      <c r="C24" s="46">
        <f>+'Unprotected EDIT Base'!R15</f>
        <v>51732018</v>
      </c>
      <c r="D24" s="24">
        <v>-54753.8</v>
      </c>
      <c r="E24" s="29">
        <f>+'Unprotected EDIT Base'!R127</f>
        <v>27799.660000000007</v>
      </c>
      <c r="F24" s="29">
        <f t="shared" si="3"/>
        <v>0</v>
      </c>
      <c r="H24" s="32">
        <f t="shared" si="1"/>
        <v>-382669.07</v>
      </c>
      <c r="I24" s="135"/>
      <c r="J24" s="2">
        <v>-382669.07</v>
      </c>
      <c r="K24" s="24">
        <f t="shared" si="2"/>
        <v>0</v>
      </c>
      <c r="L24" s="25" t="s">
        <v>98</v>
      </c>
      <c r="M24" s="128">
        <v>43654</v>
      </c>
    </row>
    <row r="25" spans="1:13" hidden="1" x14ac:dyDescent="0.2">
      <c r="A25" s="28">
        <f>'TAX Interest Rates'!A28</f>
        <v>43677</v>
      </c>
      <c r="B25" s="47" t="s">
        <v>103</v>
      </c>
      <c r="C25" s="46">
        <f>+'Unprotected EDIT Base'!R16</f>
        <v>67400695</v>
      </c>
      <c r="D25" s="24">
        <v>-54753.8</v>
      </c>
      <c r="E25" s="29">
        <f>+'Unprotected EDIT Base'!R128</f>
        <v>28569.91</v>
      </c>
      <c r="F25" s="29">
        <f t="shared" ref="F25:F30" si="4">ROUND(H24*VLOOKUP(A25,TAXINT19,2)/365*VLOOKUP(A25,TAXINT19,3),2)</f>
        <v>0</v>
      </c>
      <c r="H25" s="32">
        <f t="shared" ref="H25:H30" si="5">SUM(D25:G25)+H24</f>
        <v>-408852.96</v>
      </c>
      <c r="I25" s="135"/>
      <c r="J25" s="2">
        <v>-408852.96</v>
      </c>
      <c r="K25" s="24">
        <f t="shared" si="2"/>
        <v>0</v>
      </c>
      <c r="L25" s="25" t="s">
        <v>98</v>
      </c>
      <c r="M25" s="128">
        <v>43685</v>
      </c>
    </row>
    <row r="26" spans="1:13" hidden="1" x14ac:dyDescent="0.2">
      <c r="A26" s="28">
        <f>'TAX Interest Rates'!A29</f>
        <v>43708</v>
      </c>
      <c r="B26" s="47" t="s">
        <v>103</v>
      </c>
      <c r="C26" s="46">
        <f>+'Unprotected EDIT Base'!R17</f>
        <v>76438837</v>
      </c>
      <c r="D26" s="24">
        <v>-54753.8</v>
      </c>
      <c r="E26" s="29">
        <f>+'Unprotected EDIT Base'!R129</f>
        <v>29138.25</v>
      </c>
      <c r="F26" s="29">
        <f t="shared" si="4"/>
        <v>0</v>
      </c>
      <c r="H26" s="32">
        <f t="shared" si="5"/>
        <v>-434468.51</v>
      </c>
      <c r="I26" s="135"/>
      <c r="J26" s="2">
        <v>-434468.51</v>
      </c>
      <c r="K26" s="24">
        <f t="shared" si="2"/>
        <v>0</v>
      </c>
      <c r="L26" s="25" t="s">
        <v>98</v>
      </c>
      <c r="M26" s="128">
        <v>43717</v>
      </c>
    </row>
    <row r="27" spans="1:13" hidden="1" x14ac:dyDescent="0.2">
      <c r="A27" s="28">
        <f>'TAX Interest Rates'!A30</f>
        <v>43738</v>
      </c>
      <c r="B27" s="47" t="s">
        <v>103</v>
      </c>
      <c r="C27" s="46">
        <f>+'Unprotected EDIT Base'!R18</f>
        <v>73218474</v>
      </c>
      <c r="D27" s="24">
        <v>-54753.8</v>
      </c>
      <c r="E27" s="29">
        <f>+'Unprotected EDIT Base'!R130</f>
        <v>28052.57</v>
      </c>
      <c r="F27" s="29">
        <f t="shared" si="4"/>
        <v>0</v>
      </c>
      <c r="H27" s="32">
        <f t="shared" si="5"/>
        <v>-461169.74</v>
      </c>
      <c r="I27" s="135"/>
      <c r="J27" s="2">
        <v>-461169.74</v>
      </c>
      <c r="K27" s="24">
        <f t="shared" si="2"/>
        <v>0</v>
      </c>
      <c r="L27" s="25" t="s">
        <v>98</v>
      </c>
      <c r="M27" s="128">
        <v>43745</v>
      </c>
    </row>
    <row r="28" spans="1:13" hidden="1" x14ac:dyDescent="0.2">
      <c r="A28" s="28">
        <f>'TAX Interest Rates'!A31</f>
        <v>43769</v>
      </c>
      <c r="B28" s="47" t="s">
        <v>103</v>
      </c>
      <c r="C28" s="46">
        <f>+'Unprotected EDIT Base'!R19</f>
        <v>62211815</v>
      </c>
      <c r="D28" s="24">
        <v>-54753.8</v>
      </c>
      <c r="E28" s="29">
        <f>+'Unprotected EDIT Base'!R131</f>
        <v>39847.499999999993</v>
      </c>
      <c r="F28" s="29">
        <f t="shared" si="4"/>
        <v>0</v>
      </c>
      <c r="H28" s="32">
        <f t="shared" si="5"/>
        <v>-476076.04</v>
      </c>
      <c r="I28" s="135"/>
      <c r="J28" s="2">
        <v>-476076.04</v>
      </c>
      <c r="K28" s="24">
        <f t="shared" si="2"/>
        <v>0</v>
      </c>
      <c r="L28" s="25" t="s">
        <v>98</v>
      </c>
      <c r="M28" s="128">
        <v>43776</v>
      </c>
    </row>
    <row r="29" spans="1:13" hidden="1" x14ac:dyDescent="0.2">
      <c r="A29" s="28">
        <f>'TAX Interest Rates'!A32</f>
        <v>43799</v>
      </c>
      <c r="B29" s="47" t="s">
        <v>104</v>
      </c>
      <c r="C29" s="46">
        <f>+'Unprotected EDIT Base'!R20+'Unprotected EDIT Base'!R21</f>
        <v>72608604</v>
      </c>
      <c r="D29" s="24">
        <v>-54753.8</v>
      </c>
      <c r="E29" s="29">
        <f>+'Unprotected EDIT Base'!R132+'Unprotected EDIT Base'!R133</f>
        <v>57071.61</v>
      </c>
      <c r="F29" s="29">
        <f t="shared" si="4"/>
        <v>0</v>
      </c>
      <c r="H29" s="32">
        <f t="shared" si="5"/>
        <v>-473758.23</v>
      </c>
      <c r="I29" s="135"/>
      <c r="J29" s="2">
        <v>-473758.23</v>
      </c>
      <c r="K29" s="24">
        <f t="shared" si="2"/>
        <v>0</v>
      </c>
      <c r="L29" s="25" t="s">
        <v>98</v>
      </c>
      <c r="M29" s="128">
        <v>43808</v>
      </c>
    </row>
    <row r="30" spans="1:13" hidden="1" x14ac:dyDescent="0.2">
      <c r="A30" s="28">
        <f>'TAX Interest Rates'!A33</f>
        <v>43830</v>
      </c>
      <c r="B30" s="47" t="s">
        <v>103</v>
      </c>
      <c r="C30" s="46">
        <f>+'Unprotected EDIT Base'!R22</f>
        <v>95612394</v>
      </c>
      <c r="D30" s="24">
        <v>-54753.8</v>
      </c>
      <c r="E30" s="29">
        <f>+'Unprotected EDIT Base'!R134</f>
        <v>77753.289999999994</v>
      </c>
      <c r="F30" s="29">
        <f t="shared" si="4"/>
        <v>0</v>
      </c>
      <c r="H30" s="32">
        <f t="shared" si="5"/>
        <v>-450758.74</v>
      </c>
      <c r="I30" s="135"/>
      <c r="J30" s="2">
        <v>-450758.74</v>
      </c>
      <c r="K30" s="24">
        <f t="shared" si="2"/>
        <v>0</v>
      </c>
      <c r="L30" s="25" t="s">
        <v>98</v>
      </c>
      <c r="M30" s="128">
        <v>43838</v>
      </c>
    </row>
    <row r="31" spans="1:13" x14ac:dyDescent="0.2">
      <c r="A31" s="28">
        <f>'TAX Interest Rates'!A34</f>
        <v>43861</v>
      </c>
      <c r="B31" s="47" t="s">
        <v>103</v>
      </c>
      <c r="C31" s="46">
        <f>+'Unprotected EDIT Base'!R23</f>
        <v>96190788</v>
      </c>
      <c r="D31" s="24">
        <v>-54753.8</v>
      </c>
      <c r="E31" s="29">
        <f>+'Unprotected EDIT Base'!R135</f>
        <v>89953.54</v>
      </c>
      <c r="F31" s="29">
        <f t="shared" ref="F31:F42" si="6">ROUND(H30*VLOOKUP(A31,TAXINT20,2)/365*VLOOKUP(A31,TAXINT20,3),2)</f>
        <v>0</v>
      </c>
      <c r="H31" s="32">
        <f t="shared" ref="H31:H42" si="7">SUM(D31:G31)+H30</f>
        <v>-415559</v>
      </c>
      <c r="I31" s="135"/>
      <c r="J31" s="2">
        <v>-415559</v>
      </c>
      <c r="K31" s="24">
        <f t="shared" ref="K31:K42" si="8">J31-H31</f>
        <v>0</v>
      </c>
      <c r="L31" s="25" t="s">
        <v>98</v>
      </c>
      <c r="M31" s="128">
        <v>43871</v>
      </c>
    </row>
    <row r="32" spans="1:13" x14ac:dyDescent="0.2">
      <c r="A32" s="28">
        <f>'TAX Interest Rates'!A35</f>
        <v>43890</v>
      </c>
      <c r="B32" s="47" t="s">
        <v>103</v>
      </c>
      <c r="C32" s="46">
        <f>+'Unprotected EDIT Base'!R24</f>
        <v>84770508</v>
      </c>
      <c r="D32" s="24">
        <v>-54753.8</v>
      </c>
      <c r="E32" s="29">
        <f>+'Unprotected EDIT Base'!R136</f>
        <v>75153.799999999988</v>
      </c>
      <c r="F32" s="29">
        <f t="shared" si="6"/>
        <v>0</v>
      </c>
      <c r="H32" s="32">
        <f t="shared" si="7"/>
        <v>-395159</v>
      </c>
      <c r="I32" s="135"/>
      <c r="J32" s="2">
        <v>-395159</v>
      </c>
      <c r="K32" s="24">
        <f t="shared" si="8"/>
        <v>0</v>
      </c>
      <c r="L32" s="25" t="s">
        <v>98</v>
      </c>
      <c r="M32" s="128">
        <v>43899</v>
      </c>
    </row>
    <row r="33" spans="1:13" x14ac:dyDescent="0.2">
      <c r="A33" s="28">
        <f>'TAX Interest Rates'!A36</f>
        <v>43921</v>
      </c>
      <c r="B33" s="47" t="s">
        <v>103</v>
      </c>
      <c r="C33" s="46">
        <f>+'Unprotected EDIT Base'!R25</f>
        <v>99882117</v>
      </c>
      <c r="D33" s="24">
        <v>-54753.8</v>
      </c>
      <c r="E33" s="29">
        <f>+'Unprotected EDIT Base'!R137</f>
        <v>78264.56</v>
      </c>
      <c r="F33" s="29">
        <f t="shared" si="6"/>
        <v>0</v>
      </c>
      <c r="H33" s="32">
        <f t="shared" si="7"/>
        <v>-371648.24</v>
      </c>
      <c r="I33" s="135"/>
      <c r="J33" s="2">
        <v>-371648.24</v>
      </c>
      <c r="K33" s="24">
        <f t="shared" si="8"/>
        <v>0</v>
      </c>
      <c r="L33" s="25" t="s">
        <v>98</v>
      </c>
      <c r="M33" s="128">
        <v>43929</v>
      </c>
    </row>
    <row r="34" spans="1:13" x14ac:dyDescent="0.2">
      <c r="A34" s="28">
        <f>'TAX Interest Rates'!A37</f>
        <v>43951</v>
      </c>
      <c r="B34" s="47" t="s">
        <v>103</v>
      </c>
      <c r="C34" s="46">
        <f>+'Unprotected EDIT Base'!R26</f>
        <v>81878770</v>
      </c>
      <c r="D34" s="24">
        <v>-54753.8</v>
      </c>
      <c r="E34" s="29">
        <f>+'Unprotected EDIT Base'!R138</f>
        <v>61472.889999999992</v>
      </c>
      <c r="F34" s="29">
        <f t="shared" si="6"/>
        <v>0</v>
      </c>
      <c r="H34" s="32">
        <f t="shared" si="7"/>
        <v>-364929.15</v>
      </c>
      <c r="I34" s="135"/>
      <c r="J34" s="2">
        <v>-364929.15</v>
      </c>
      <c r="K34" s="24">
        <f t="shared" si="8"/>
        <v>0</v>
      </c>
      <c r="L34" s="25" t="s">
        <v>98</v>
      </c>
      <c r="M34" s="128">
        <v>43959</v>
      </c>
    </row>
    <row r="35" spans="1:13" x14ac:dyDescent="0.2">
      <c r="A35" s="28">
        <f>'TAX Interest Rates'!A38</f>
        <v>43982</v>
      </c>
      <c r="B35" s="47" t="s">
        <v>103</v>
      </c>
      <c r="C35" s="46">
        <f>+'Unprotected EDIT Base'!R27</f>
        <v>46164069</v>
      </c>
      <c r="D35" s="24">
        <v>-54753.8</v>
      </c>
      <c r="E35" s="29">
        <f>+'Unprotected EDIT Base'!R139</f>
        <v>31547.77</v>
      </c>
      <c r="F35" s="29">
        <f t="shared" si="6"/>
        <v>0</v>
      </c>
      <c r="H35" s="32">
        <f t="shared" si="7"/>
        <v>-388135.18000000005</v>
      </c>
      <c r="I35" s="135"/>
      <c r="J35" s="2">
        <v>-388135.18</v>
      </c>
      <c r="K35" s="24">
        <f t="shared" si="8"/>
        <v>0</v>
      </c>
      <c r="L35" s="25" t="s">
        <v>98</v>
      </c>
      <c r="M35" s="128">
        <v>43990</v>
      </c>
    </row>
    <row r="36" spans="1:13" x14ac:dyDescent="0.2">
      <c r="A36" s="28">
        <f>'TAX Interest Rates'!A39</f>
        <v>44012</v>
      </c>
      <c r="B36" s="47" t="s">
        <v>103</v>
      </c>
      <c r="C36" s="46">
        <f>+'Unprotected EDIT Base'!R28</f>
        <v>43284213</v>
      </c>
      <c r="D36" s="24">
        <v>-54753.8</v>
      </c>
      <c r="E36" s="29">
        <f>+'Unprotected EDIT Base'!R140</f>
        <v>25628.69</v>
      </c>
      <c r="F36" s="29">
        <f t="shared" si="6"/>
        <v>0</v>
      </c>
      <c r="H36" s="32">
        <f t="shared" si="7"/>
        <v>-417260.29000000004</v>
      </c>
      <c r="I36" s="135"/>
      <c r="J36" s="2">
        <v>-417260.29</v>
      </c>
      <c r="K36" s="24">
        <f t="shared" si="8"/>
        <v>0</v>
      </c>
      <c r="L36" s="25" t="s">
        <v>98</v>
      </c>
      <c r="M36" s="128">
        <v>44019</v>
      </c>
    </row>
    <row r="37" spans="1:13" x14ac:dyDescent="0.2">
      <c r="A37" s="28">
        <f>'TAX Interest Rates'!A40</f>
        <v>44043</v>
      </c>
      <c r="B37" s="47" t="s">
        <v>103</v>
      </c>
      <c r="C37" s="46">
        <f>+'Unprotected EDIT Base'!R29</f>
        <v>55089338</v>
      </c>
      <c r="D37" s="24">
        <v>-54753.8</v>
      </c>
      <c r="E37" s="29">
        <f>+'Unprotected EDIT Base'!R141</f>
        <v>25325.88</v>
      </c>
      <c r="F37" s="29">
        <f t="shared" si="6"/>
        <v>0</v>
      </c>
      <c r="H37" s="32">
        <f t="shared" si="7"/>
        <v>-446688.21</v>
      </c>
      <c r="I37" s="135"/>
      <c r="J37" s="2">
        <v>-446688.21</v>
      </c>
      <c r="K37" s="24">
        <f t="shared" si="8"/>
        <v>0</v>
      </c>
      <c r="L37" s="25" t="s">
        <v>98</v>
      </c>
      <c r="M37" s="128">
        <v>44053</v>
      </c>
    </row>
    <row r="38" spans="1:13" x14ac:dyDescent="0.2">
      <c r="A38" s="28">
        <f>'TAX Interest Rates'!A41</f>
        <v>44074</v>
      </c>
      <c r="B38" s="47" t="s">
        <v>103</v>
      </c>
      <c r="C38" s="46">
        <f>+'Unprotected EDIT Base'!R30</f>
        <v>66863465</v>
      </c>
      <c r="D38" s="24">
        <v>-54753.8</v>
      </c>
      <c r="E38" s="29">
        <f>+'Unprotected EDIT Base'!R142</f>
        <v>23704.920000000002</v>
      </c>
      <c r="F38" s="29">
        <f t="shared" si="6"/>
        <v>0</v>
      </c>
      <c r="H38" s="32">
        <f t="shared" si="7"/>
        <v>-477737.09</v>
      </c>
      <c r="I38" s="135"/>
      <c r="J38" s="2">
        <v>-477737.09</v>
      </c>
      <c r="K38" s="24">
        <f t="shared" si="8"/>
        <v>0</v>
      </c>
      <c r="L38" s="25" t="s">
        <v>98</v>
      </c>
      <c r="M38" s="128">
        <v>44084</v>
      </c>
    </row>
    <row r="39" spans="1:13" x14ac:dyDescent="0.2">
      <c r="A39" s="28">
        <f>'TAX Interest Rates'!A42</f>
        <v>44104</v>
      </c>
      <c r="B39" s="47" t="s">
        <v>103</v>
      </c>
      <c r="C39" s="46">
        <f>+'Unprotected EDIT Base'!R31</f>
        <v>73703550</v>
      </c>
      <c r="D39" s="24">
        <v>-54753.8</v>
      </c>
      <c r="E39" s="29">
        <f>+'Unprotected EDIT Base'!R143</f>
        <v>26082.380000000005</v>
      </c>
      <c r="F39" s="29">
        <f t="shared" si="6"/>
        <v>0</v>
      </c>
      <c r="H39" s="32">
        <f t="shared" si="7"/>
        <v>-506408.51</v>
      </c>
      <c r="I39" s="135"/>
      <c r="J39" s="2">
        <v>-506408.51</v>
      </c>
      <c r="K39" s="24">
        <f t="shared" si="8"/>
        <v>0</v>
      </c>
      <c r="L39" s="25" t="s">
        <v>98</v>
      </c>
      <c r="M39" s="128">
        <v>44111</v>
      </c>
    </row>
    <row r="40" spans="1:13" x14ac:dyDescent="0.2">
      <c r="A40" s="28">
        <f>'TAX Interest Rates'!A43</f>
        <v>44135</v>
      </c>
      <c r="B40" s="47" t="s">
        <v>103</v>
      </c>
      <c r="C40" s="46">
        <f>+'Unprotected EDIT Base'!R32</f>
        <v>65687484</v>
      </c>
      <c r="D40" s="24">
        <v>-54753.8</v>
      </c>
      <c r="E40" s="29">
        <f>+'Unprotected EDIT Base'!R144</f>
        <v>28346.74</v>
      </c>
      <c r="F40" s="29">
        <f t="shared" si="6"/>
        <v>0</v>
      </c>
      <c r="H40" s="32">
        <f t="shared" si="7"/>
        <v>-532815.57000000007</v>
      </c>
      <c r="I40" s="135"/>
      <c r="J40" s="2">
        <v>-532815.56999999995</v>
      </c>
      <c r="K40" s="24">
        <f t="shared" si="8"/>
        <v>0</v>
      </c>
      <c r="L40" s="25" t="s">
        <v>98</v>
      </c>
      <c r="M40" s="128">
        <v>44141</v>
      </c>
    </row>
    <row r="41" spans="1:13" x14ac:dyDescent="0.2">
      <c r="A41" s="28">
        <f>'TAX Interest Rates'!A44</f>
        <v>44165</v>
      </c>
      <c r="B41" s="47" t="s">
        <v>103</v>
      </c>
      <c r="C41" s="46">
        <f>+'Unprotected EDIT Base'!R33+'Unprotected EDIT Base'!R34</f>
        <v>68293788</v>
      </c>
      <c r="D41" s="24">
        <v>-54753.8</v>
      </c>
      <c r="E41" s="29">
        <f>+'Unprotected EDIT Base'!R145+'Unprotected EDIT Base'!R146</f>
        <v>52052.409999999996</v>
      </c>
      <c r="F41" s="29">
        <f t="shared" si="6"/>
        <v>0</v>
      </c>
      <c r="H41" s="32">
        <f t="shared" si="7"/>
        <v>-535516.96000000008</v>
      </c>
      <c r="I41" s="135"/>
      <c r="J41" s="2">
        <v>-535516.96</v>
      </c>
      <c r="K41" s="24">
        <f t="shared" si="8"/>
        <v>0</v>
      </c>
      <c r="L41" s="25" t="s">
        <v>98</v>
      </c>
      <c r="M41" s="128">
        <v>44173</v>
      </c>
    </row>
    <row r="42" spans="1:13" x14ac:dyDescent="0.2">
      <c r="A42" s="28">
        <f>'TAX Interest Rates'!A45</f>
        <v>44196</v>
      </c>
      <c r="B42" s="47" t="s">
        <v>103</v>
      </c>
      <c r="C42" s="46">
        <f>+'Unprotected EDIT Base'!R35</f>
        <v>94595765</v>
      </c>
      <c r="D42" s="24">
        <v>-54753.8</v>
      </c>
      <c r="E42" s="29">
        <f>+'Unprotected EDIT Base'!R147</f>
        <v>97300.44</v>
      </c>
      <c r="F42" s="29">
        <f t="shared" si="6"/>
        <v>0</v>
      </c>
      <c r="H42" s="32">
        <f t="shared" si="7"/>
        <v>-492970.32000000007</v>
      </c>
      <c r="I42" s="135"/>
      <c r="J42" s="2">
        <v>-492970.32</v>
      </c>
      <c r="K42" s="24">
        <f t="shared" si="8"/>
        <v>0</v>
      </c>
      <c r="L42" s="25" t="s">
        <v>98</v>
      </c>
      <c r="M42" s="128">
        <v>44204</v>
      </c>
    </row>
    <row r="43" spans="1:13" x14ac:dyDescent="0.2">
      <c r="A43" s="28">
        <f>'TAX Interest Rates'!A46</f>
        <v>44227</v>
      </c>
      <c r="B43" s="47" t="s">
        <v>103</v>
      </c>
      <c r="C43" s="46">
        <f>+'Unprotected EDIT Base'!R36</f>
        <v>93263558</v>
      </c>
      <c r="D43" s="24">
        <v>-54753.8</v>
      </c>
      <c r="E43" s="29">
        <f>+'Unprotected EDIT Base'!R148</f>
        <v>101546.98</v>
      </c>
      <c r="F43" s="29">
        <f t="shared" ref="F43:F52" si="9">ROUND(H42*VLOOKUP(A43,TAXINT21,2)/365*VLOOKUP(A43,TAXINT21,3),2)</f>
        <v>0</v>
      </c>
      <c r="H43" s="32">
        <f t="shared" ref="H43:H52" si="10">SUM(D43:G43)+H42</f>
        <v>-446177.14000000007</v>
      </c>
      <c r="I43" s="135"/>
      <c r="J43" s="2">
        <v>-446177.14</v>
      </c>
      <c r="K43" s="24">
        <f t="shared" ref="K43:K52" si="11">J43-H43</f>
        <v>0</v>
      </c>
      <c r="L43" s="25" t="s">
        <v>98</v>
      </c>
      <c r="M43" s="128">
        <v>44232</v>
      </c>
    </row>
    <row r="44" spans="1:13" x14ac:dyDescent="0.2">
      <c r="A44" s="28">
        <f>'TAX Interest Rates'!A47</f>
        <v>44255</v>
      </c>
      <c r="B44" s="47" t="s">
        <v>103</v>
      </c>
      <c r="C44" s="46">
        <f>+'Unprotected EDIT Base'!R37</f>
        <v>86995469</v>
      </c>
      <c r="D44" s="24">
        <v>-54753.8</v>
      </c>
      <c r="E44" s="29">
        <f>+'Unprotected EDIT Base'!R149</f>
        <v>95527.71</v>
      </c>
      <c r="F44" s="29">
        <f t="shared" si="9"/>
        <v>0</v>
      </c>
      <c r="H44" s="32">
        <f t="shared" si="10"/>
        <v>-405403.2300000001</v>
      </c>
      <c r="I44" s="135"/>
      <c r="J44" s="2">
        <v>-405403.23</v>
      </c>
      <c r="K44" s="24">
        <f t="shared" si="11"/>
        <v>0</v>
      </c>
      <c r="L44" s="25" t="s">
        <v>98</v>
      </c>
      <c r="M44" s="128">
        <v>44263</v>
      </c>
    </row>
    <row r="45" spans="1:13" x14ac:dyDescent="0.2">
      <c r="A45" s="28">
        <f>'TAX Interest Rates'!A48</f>
        <v>44286</v>
      </c>
      <c r="B45" s="47" t="s">
        <v>103</v>
      </c>
      <c r="C45" s="46">
        <f>+'Unprotected EDIT Base'!R38</f>
        <v>103209019</v>
      </c>
      <c r="D45" s="24">
        <v>-54753.8</v>
      </c>
      <c r="E45" s="29">
        <f>+'Unprotected EDIT Base'!R150</f>
        <v>104643.51</v>
      </c>
      <c r="F45" s="29">
        <f t="shared" si="9"/>
        <v>0</v>
      </c>
      <c r="H45" s="32">
        <f t="shared" si="10"/>
        <v>-355513.52000000014</v>
      </c>
      <c r="I45" s="135"/>
      <c r="J45" s="2">
        <v>-355513.52</v>
      </c>
      <c r="K45" s="24">
        <f t="shared" si="11"/>
        <v>0</v>
      </c>
      <c r="L45" s="25" t="s">
        <v>98</v>
      </c>
      <c r="M45" s="128">
        <v>44293</v>
      </c>
    </row>
    <row r="46" spans="1:13" x14ac:dyDescent="0.2">
      <c r="A46" s="28">
        <f>'TAX Interest Rates'!A49</f>
        <v>44316</v>
      </c>
      <c r="B46" s="47" t="s">
        <v>103</v>
      </c>
      <c r="C46" s="46">
        <f>+'Unprotected EDIT Base'!R39</f>
        <v>89581135</v>
      </c>
      <c r="D46" s="24">
        <v>-54753.8</v>
      </c>
      <c r="E46" s="29">
        <f>+'Unprotected EDIT Base'!R151</f>
        <v>77074.62</v>
      </c>
      <c r="F46" s="29">
        <f t="shared" si="9"/>
        <v>0</v>
      </c>
      <c r="H46" s="32">
        <f t="shared" si="10"/>
        <v>-333192.70000000013</v>
      </c>
      <c r="I46" s="135"/>
      <c r="J46" s="2">
        <v>-333192.7</v>
      </c>
      <c r="K46" s="24">
        <f t="shared" si="11"/>
        <v>0</v>
      </c>
      <c r="L46" s="25" t="s">
        <v>98</v>
      </c>
      <c r="M46" s="128">
        <v>44326</v>
      </c>
    </row>
    <row r="47" spans="1:13" x14ac:dyDescent="0.2">
      <c r="A47" s="28">
        <f>'TAX Interest Rates'!A50</f>
        <v>44347</v>
      </c>
      <c r="B47" s="47" t="s">
        <v>103</v>
      </c>
      <c r="C47" s="46">
        <f>+'Unprotected EDIT Base'!R40</f>
        <v>56228122</v>
      </c>
      <c r="D47" s="24">
        <v>-54753.8</v>
      </c>
      <c r="E47" s="29">
        <f>+'Unprotected EDIT Base'!R152</f>
        <v>41859.129999999997</v>
      </c>
      <c r="F47" s="29">
        <f t="shared" si="9"/>
        <v>0</v>
      </c>
      <c r="H47" s="32">
        <f t="shared" si="10"/>
        <v>-346087.37000000011</v>
      </c>
      <c r="I47" s="135"/>
      <c r="J47" s="2">
        <v>-346087.37</v>
      </c>
      <c r="K47" s="24">
        <f t="shared" si="11"/>
        <v>0</v>
      </c>
      <c r="L47" s="25" t="s">
        <v>98</v>
      </c>
      <c r="M47" s="128">
        <v>44354</v>
      </c>
    </row>
    <row r="48" spans="1:13" x14ac:dyDescent="0.2">
      <c r="A48" s="28">
        <f>'TAX Interest Rates'!A51</f>
        <v>44377</v>
      </c>
      <c r="B48" s="47" t="s">
        <v>103</v>
      </c>
      <c r="C48" s="46">
        <f>+'Unprotected EDIT Base'!R41</f>
        <v>68779022</v>
      </c>
      <c r="D48" s="24">
        <v>-54753.8</v>
      </c>
      <c r="E48" s="29">
        <f>+'Unprotected EDIT Base'!R153</f>
        <v>39226.75</v>
      </c>
      <c r="F48" s="29">
        <f t="shared" si="9"/>
        <v>0</v>
      </c>
      <c r="H48" s="32">
        <f t="shared" si="10"/>
        <v>-361614.4200000001</v>
      </c>
      <c r="I48" s="135"/>
      <c r="J48" s="2">
        <v>-361614.42</v>
      </c>
      <c r="K48" s="24">
        <f t="shared" si="11"/>
        <v>0</v>
      </c>
      <c r="L48" s="25" t="s">
        <v>98</v>
      </c>
      <c r="M48" s="128">
        <v>44386</v>
      </c>
    </row>
    <row r="49" spans="1:13" x14ac:dyDescent="0.2">
      <c r="A49" s="28">
        <f>'TAX Interest Rates'!A52</f>
        <v>44408</v>
      </c>
      <c r="B49" s="47" t="s">
        <v>103</v>
      </c>
      <c r="C49" s="46">
        <f>+'Unprotected EDIT Base'!R42</f>
        <v>72135275</v>
      </c>
      <c r="D49" s="24">
        <v>-54753.8</v>
      </c>
      <c r="E49" s="29">
        <f>+'Unprotected EDIT Base'!R154</f>
        <v>31605.34</v>
      </c>
      <c r="F49" s="29">
        <f t="shared" si="9"/>
        <v>0</v>
      </c>
      <c r="H49" s="32">
        <f t="shared" si="10"/>
        <v>-384762.88000000012</v>
      </c>
      <c r="I49" s="135"/>
      <c r="J49" s="2">
        <v>-384762.88</v>
      </c>
      <c r="K49" s="24">
        <f t="shared" si="11"/>
        <v>0</v>
      </c>
      <c r="L49" s="25" t="s">
        <v>98</v>
      </c>
      <c r="M49" s="128">
        <v>44417</v>
      </c>
    </row>
    <row r="50" spans="1:13" x14ac:dyDescent="0.2">
      <c r="A50" s="28">
        <f>'TAX Interest Rates'!A53</f>
        <v>44439</v>
      </c>
      <c r="B50" s="47" t="s">
        <v>103</v>
      </c>
      <c r="C50" s="46">
        <f>+'Unprotected EDIT Base'!R43</f>
        <v>70764185</v>
      </c>
      <c r="D50" s="24">
        <v>-54753.8</v>
      </c>
      <c r="E50" s="29">
        <f>+'Unprotected EDIT Base'!R155</f>
        <v>29961.410000000003</v>
      </c>
      <c r="F50" s="29">
        <f t="shared" si="9"/>
        <v>0</v>
      </c>
      <c r="H50" s="32">
        <f t="shared" si="10"/>
        <v>-409555.27000000014</v>
      </c>
      <c r="I50" s="135"/>
      <c r="J50" s="2">
        <v>-409555.27</v>
      </c>
      <c r="K50" s="24">
        <f t="shared" si="11"/>
        <v>0</v>
      </c>
      <c r="L50" s="25" t="s">
        <v>98</v>
      </c>
      <c r="M50" s="128">
        <v>44448</v>
      </c>
    </row>
    <row r="51" spans="1:13" x14ac:dyDescent="0.2">
      <c r="A51" s="28">
        <f>'TAX Interest Rates'!A54</f>
        <v>44469</v>
      </c>
      <c r="B51" s="47" t="s">
        <v>103</v>
      </c>
      <c r="C51" s="46">
        <f>+'Unprotected EDIT Base'!R44</f>
        <v>71864038</v>
      </c>
      <c r="D51" s="24">
        <v>-54753.8</v>
      </c>
      <c r="E51" s="29">
        <f>+'Unprotected EDIT Base'!R156</f>
        <v>31722.019999999997</v>
      </c>
      <c r="F51" s="29">
        <f t="shared" si="9"/>
        <v>0</v>
      </c>
      <c r="H51" s="32">
        <f t="shared" si="10"/>
        <v>-432587.05000000016</v>
      </c>
      <c r="I51" s="135"/>
      <c r="J51" s="2">
        <v>-432587.05</v>
      </c>
      <c r="K51" s="24">
        <f t="shared" si="11"/>
        <v>0</v>
      </c>
      <c r="L51" s="25" t="s">
        <v>98</v>
      </c>
      <c r="M51" s="128">
        <v>44476</v>
      </c>
    </row>
    <row r="52" spans="1:13" x14ac:dyDescent="0.2">
      <c r="A52" s="28">
        <f>'TAX Interest Rates'!A55</f>
        <v>44500</v>
      </c>
      <c r="B52" s="47" t="s">
        <v>103</v>
      </c>
      <c r="C52" s="46">
        <f>+'Unprotected EDIT Base'!R45</f>
        <v>72338720</v>
      </c>
      <c r="D52" s="24">
        <v>-54753.8</v>
      </c>
      <c r="E52" s="29">
        <f>+'Unprotected EDIT Base'!R157</f>
        <v>40995.100000000013</v>
      </c>
      <c r="F52" s="29">
        <f t="shared" si="9"/>
        <v>0</v>
      </c>
      <c r="H52" s="32">
        <f t="shared" si="10"/>
        <v>-446345.75000000017</v>
      </c>
      <c r="I52" s="135"/>
      <c r="J52" s="2">
        <v>-446345.75</v>
      </c>
      <c r="K52" s="24">
        <f t="shared" si="11"/>
        <v>0</v>
      </c>
      <c r="L52" s="25" t="s">
        <v>98</v>
      </c>
      <c r="M52" s="128">
        <v>44505</v>
      </c>
    </row>
    <row r="53" spans="1:13" x14ac:dyDescent="0.2">
      <c r="A53" s="28">
        <f>'TAX Interest Rates'!A56</f>
        <v>44530</v>
      </c>
      <c r="B53" s="47" t="s">
        <v>103</v>
      </c>
      <c r="C53" s="46">
        <f>+'Unprotected EDIT Base'!R46+'Unprotected EDIT Base'!R47</f>
        <v>75721245</v>
      </c>
      <c r="D53" s="24">
        <v>-54753.8</v>
      </c>
      <c r="E53" s="29">
        <f>+'Unprotected EDIT Base'!R158+'Unprotected EDIT Base'!R159</f>
        <v>51064.05</v>
      </c>
      <c r="F53" s="29">
        <f t="shared" ref="F53" si="12">ROUND(H52*VLOOKUP(A53,TAXINT21,2)/365*VLOOKUP(A53,TAXINT21,3),2)</f>
        <v>0</v>
      </c>
      <c r="H53" s="32">
        <f t="shared" ref="H53" si="13">SUM(D53:G53)+H52</f>
        <v>-450035.50000000017</v>
      </c>
      <c r="I53" s="135"/>
      <c r="J53" s="2">
        <v>-450035.5</v>
      </c>
      <c r="K53" s="24">
        <f t="shared" ref="K53" si="14">J53-H53</f>
        <v>0</v>
      </c>
      <c r="L53" s="25" t="s">
        <v>98</v>
      </c>
      <c r="M53" s="128">
        <v>44538</v>
      </c>
    </row>
    <row r="54" spans="1:13" x14ac:dyDescent="0.2">
      <c r="A54" s="28">
        <f>'TAX Interest Rates'!A57</f>
        <v>44561</v>
      </c>
      <c r="B54" s="47" t="s">
        <v>103</v>
      </c>
      <c r="C54" s="46">
        <f>+'Unprotected EDIT Base'!R48</f>
        <v>83926722</v>
      </c>
      <c r="D54" s="24">
        <v>-54753.8</v>
      </c>
      <c r="E54" s="29">
        <f>+'Unprotected EDIT Base'!R160</f>
        <v>62914.660000000011</v>
      </c>
      <c r="F54" s="29">
        <f t="shared" ref="F54:F64" si="15">ROUND(H53*VLOOKUP(A54,TAXINT21,2)/365*VLOOKUP(A54,TAXINT21,3),2)</f>
        <v>0</v>
      </c>
      <c r="H54" s="32">
        <f t="shared" ref="H54:H64" si="16">SUM(D54:G54)+H53</f>
        <v>-441874.64000000019</v>
      </c>
      <c r="I54" s="135"/>
      <c r="J54" s="2">
        <v>-441874.64</v>
      </c>
      <c r="K54" s="24">
        <f t="shared" ref="K54:K64" si="17">J54-H54</f>
        <v>0</v>
      </c>
      <c r="L54" s="25" t="s">
        <v>98</v>
      </c>
      <c r="M54" s="128">
        <v>44567</v>
      </c>
    </row>
    <row r="55" spans="1:13" x14ac:dyDescent="0.2">
      <c r="A55" s="28">
        <f>'TAX Interest Rates'!A58</f>
        <v>44592</v>
      </c>
      <c r="B55" s="47" t="s">
        <v>103</v>
      </c>
      <c r="C55" s="46">
        <f>+'Unprotected EDIT Base'!R49</f>
        <v>95413022</v>
      </c>
      <c r="D55" s="24">
        <v>-54753.8</v>
      </c>
      <c r="E55" s="29">
        <f>+'Unprotected EDIT Base'!R161</f>
        <v>92748.84</v>
      </c>
      <c r="F55" s="29">
        <f t="shared" si="15"/>
        <v>0</v>
      </c>
      <c r="H55" s="32">
        <f t="shared" si="16"/>
        <v>-403879.60000000021</v>
      </c>
      <c r="I55" s="135"/>
      <c r="J55" s="2">
        <v>-403879.6</v>
      </c>
      <c r="K55" s="24">
        <f t="shared" si="17"/>
        <v>0</v>
      </c>
      <c r="L55" s="25" t="s">
        <v>98</v>
      </c>
      <c r="M55" s="128">
        <v>44600</v>
      </c>
    </row>
    <row r="56" spans="1:13" x14ac:dyDescent="0.2">
      <c r="A56" s="28">
        <f>'TAX Interest Rates'!A59</f>
        <v>44620</v>
      </c>
      <c r="B56" s="47" t="s">
        <v>103</v>
      </c>
      <c r="C56" s="46">
        <f>+'Unprotected EDIT Base'!R50</f>
        <v>85017241</v>
      </c>
      <c r="D56" s="24">
        <v>-54753.8</v>
      </c>
      <c r="E56" s="29">
        <f>+'Unprotected EDIT Base'!R162</f>
        <v>73454.78</v>
      </c>
      <c r="F56" s="29">
        <f t="shared" si="15"/>
        <v>0</v>
      </c>
      <c r="H56" s="32">
        <f t="shared" si="16"/>
        <v>-385178.62000000023</v>
      </c>
      <c r="I56" s="135"/>
      <c r="J56" s="2">
        <v>-385178.62</v>
      </c>
      <c r="K56" s="24">
        <f t="shared" si="17"/>
        <v>0</v>
      </c>
      <c r="L56" s="25" t="s">
        <v>98</v>
      </c>
      <c r="M56" s="128">
        <v>44627</v>
      </c>
    </row>
    <row r="57" spans="1:13" x14ac:dyDescent="0.2">
      <c r="A57" s="28">
        <f>'TAX Interest Rates'!A60</f>
        <v>44651</v>
      </c>
      <c r="B57" s="47" t="s">
        <v>103</v>
      </c>
      <c r="C57" s="46">
        <f>+'Unprotected EDIT Base'!R51</f>
        <v>84723347</v>
      </c>
      <c r="D57" s="24">
        <v>-54753.8</v>
      </c>
      <c r="E57" s="29">
        <f>+'Unprotected EDIT Base'!R163</f>
        <v>71622.66</v>
      </c>
      <c r="F57" s="29">
        <f t="shared" si="15"/>
        <v>0</v>
      </c>
      <c r="H57" s="32">
        <f t="shared" si="16"/>
        <v>-368309.76000000024</v>
      </c>
      <c r="I57" s="135"/>
      <c r="J57" s="2">
        <v>-368309.76000000001</v>
      </c>
      <c r="K57" s="24">
        <f t="shared" si="17"/>
        <v>0</v>
      </c>
      <c r="L57" s="25" t="s">
        <v>98</v>
      </c>
      <c r="M57" s="128">
        <v>44658</v>
      </c>
    </row>
    <row r="58" spans="1:13" x14ac:dyDescent="0.2">
      <c r="A58" s="28">
        <f>'TAX Interest Rates'!A61</f>
        <v>44681</v>
      </c>
      <c r="B58" s="47" t="s">
        <v>103</v>
      </c>
      <c r="C58" s="46">
        <f>+'Unprotected EDIT Base'!R52</f>
        <v>74032012</v>
      </c>
      <c r="D58" s="24">
        <v>-54753.8</v>
      </c>
      <c r="E58" s="29">
        <f>+'Unprotected EDIT Base'!R164</f>
        <v>50187.920000000006</v>
      </c>
      <c r="F58" s="29">
        <f t="shared" si="15"/>
        <v>0</v>
      </c>
      <c r="H58" s="32">
        <f t="shared" si="16"/>
        <v>-372875.64000000025</v>
      </c>
      <c r="I58" s="135"/>
      <c r="J58" s="2">
        <v>-372875.64</v>
      </c>
      <c r="K58" s="24">
        <f t="shared" si="17"/>
        <v>0</v>
      </c>
      <c r="L58" s="25" t="s">
        <v>98</v>
      </c>
      <c r="M58" s="128">
        <v>44687</v>
      </c>
    </row>
    <row r="59" spans="1:13" x14ac:dyDescent="0.2">
      <c r="A59" s="28">
        <f>'TAX Interest Rates'!A62</f>
        <v>44712</v>
      </c>
      <c r="B59" s="47" t="s">
        <v>103</v>
      </c>
      <c r="C59" s="46">
        <f>+'Unprotected EDIT Base'!R53</f>
        <v>63470461</v>
      </c>
      <c r="D59" s="24">
        <v>-54753.8</v>
      </c>
      <c r="E59" s="29">
        <f>+'Unprotected EDIT Base'!R165</f>
        <v>43051.939999999995</v>
      </c>
      <c r="F59" s="29">
        <f t="shared" si="15"/>
        <v>0</v>
      </c>
      <c r="H59" s="32">
        <f t="shared" si="16"/>
        <v>-384577.50000000023</v>
      </c>
      <c r="I59" s="135"/>
      <c r="J59" s="2">
        <v>-384577.5</v>
      </c>
      <c r="K59" s="24">
        <f t="shared" si="17"/>
        <v>0</v>
      </c>
      <c r="L59" s="25" t="s">
        <v>98</v>
      </c>
      <c r="M59" s="128">
        <v>44719</v>
      </c>
    </row>
    <row r="60" spans="1:13" x14ac:dyDescent="0.2">
      <c r="A60" s="28">
        <f>'TAX Interest Rates'!A63</f>
        <v>44742</v>
      </c>
      <c r="B60" s="47" t="s">
        <v>103</v>
      </c>
      <c r="C60" s="46">
        <f>+'Unprotected EDIT Base'!R54</f>
        <v>47634752</v>
      </c>
      <c r="D60" s="24">
        <v>-54753.8</v>
      </c>
      <c r="E60" s="29">
        <f>+'Unprotected EDIT Base'!R166</f>
        <v>28395.22</v>
      </c>
      <c r="F60" s="29">
        <f t="shared" si="15"/>
        <v>0</v>
      </c>
      <c r="H60" s="32">
        <f t="shared" si="16"/>
        <v>-410936.08000000025</v>
      </c>
      <c r="I60" s="135"/>
      <c r="J60" s="2">
        <v>-410936.08</v>
      </c>
      <c r="K60" s="24">
        <f t="shared" si="17"/>
        <v>0</v>
      </c>
      <c r="L60" s="25" t="s">
        <v>98</v>
      </c>
      <c r="M60" s="128">
        <v>44750</v>
      </c>
    </row>
    <row r="61" spans="1:13" x14ac:dyDescent="0.2">
      <c r="A61" s="28">
        <f>'TAX Interest Rates'!A64</f>
        <v>44773</v>
      </c>
      <c r="B61" s="47" t="s">
        <v>103</v>
      </c>
      <c r="C61" s="163">
        <f>+'Unprotected EDIT Base'!R55</f>
        <v>60581431</v>
      </c>
      <c r="D61" s="24">
        <v>-54753.8</v>
      </c>
      <c r="E61" s="29">
        <f>+'Unprotected EDIT Base'!R167</f>
        <v>26204.329999999994</v>
      </c>
      <c r="F61" s="29">
        <f t="shared" si="15"/>
        <v>0</v>
      </c>
      <c r="H61" s="32">
        <f t="shared" si="16"/>
        <v>-439485.55000000028</v>
      </c>
      <c r="I61" s="135"/>
      <c r="J61" s="2">
        <v>-439485.55</v>
      </c>
      <c r="K61" s="24">
        <f t="shared" si="17"/>
        <v>0</v>
      </c>
      <c r="L61" s="25" t="s">
        <v>98</v>
      </c>
      <c r="M61" s="128">
        <v>44791</v>
      </c>
    </row>
    <row r="62" spans="1:13" x14ac:dyDescent="0.2">
      <c r="A62" s="28">
        <f>'TAX Interest Rates'!A65</f>
        <v>44804</v>
      </c>
      <c r="B62" s="47" t="s">
        <v>103</v>
      </c>
      <c r="C62" s="163">
        <f>+'Unprotected EDIT Base'!R56</f>
        <v>69229224</v>
      </c>
      <c r="D62" s="24">
        <v>-54753.8</v>
      </c>
      <c r="E62" s="29">
        <f>+'Unprotected EDIT Base'!R168</f>
        <v>22372.99</v>
      </c>
      <c r="F62" s="29">
        <f t="shared" si="15"/>
        <v>0</v>
      </c>
      <c r="H62" s="32">
        <f t="shared" si="16"/>
        <v>-471866.36000000028</v>
      </c>
      <c r="I62" s="135"/>
      <c r="J62" s="2">
        <v>-471866.36</v>
      </c>
      <c r="K62" s="24">
        <f t="shared" si="17"/>
        <v>0</v>
      </c>
      <c r="L62" s="25" t="s">
        <v>98</v>
      </c>
      <c r="M62" s="128">
        <v>44813</v>
      </c>
    </row>
    <row r="63" spans="1:13" x14ac:dyDescent="0.2">
      <c r="A63" s="28">
        <f>'TAX Interest Rates'!A66</f>
        <v>44834</v>
      </c>
      <c r="B63" s="47" t="s">
        <v>103</v>
      </c>
      <c r="C63" s="163">
        <f>+'Unprotected EDIT Base'!R57</f>
        <v>-64810056</v>
      </c>
      <c r="D63" s="24"/>
      <c r="E63" s="29">
        <f>+'Unprotected EDIT Base'!R169</f>
        <v>-15370.21</v>
      </c>
      <c r="F63" s="29">
        <f t="shared" si="15"/>
        <v>0</v>
      </c>
      <c r="H63" s="32">
        <f t="shared" si="16"/>
        <v>-487236.5700000003</v>
      </c>
      <c r="I63" s="135"/>
      <c r="K63" s="24">
        <f t="shared" si="17"/>
        <v>487236.5700000003</v>
      </c>
      <c r="M63" s="128"/>
    </row>
    <row r="64" spans="1:13" x14ac:dyDescent="0.2">
      <c r="A64" s="28">
        <f>'TAX Interest Rates'!A67</f>
        <v>44865</v>
      </c>
      <c r="B64" s="47" t="s">
        <v>103</v>
      </c>
      <c r="C64" s="163">
        <f>+'Unprotected EDIT Base'!R58</f>
        <v>0</v>
      </c>
      <c r="D64" s="24"/>
      <c r="E64" s="29">
        <f>+'Unprotected EDIT Base'!R170</f>
        <v>0</v>
      </c>
      <c r="F64" s="29">
        <f t="shared" si="15"/>
        <v>0</v>
      </c>
      <c r="H64" s="32">
        <f t="shared" si="16"/>
        <v>-487236.5700000003</v>
      </c>
      <c r="I64" s="135"/>
      <c r="K64" s="24">
        <f t="shared" si="17"/>
        <v>487236.5700000003</v>
      </c>
      <c r="M64" s="128"/>
    </row>
  </sheetData>
  <mergeCells count="18">
    <mergeCell ref="A1:B1"/>
    <mergeCell ref="C1:H1"/>
    <mergeCell ref="A2:B2"/>
    <mergeCell ref="C2:H2"/>
    <mergeCell ref="A3:B3"/>
    <mergeCell ref="C3:H3"/>
    <mergeCell ref="A13:F13"/>
    <mergeCell ref="A4:B4"/>
    <mergeCell ref="C4:H4"/>
    <mergeCell ref="A5:B5"/>
    <mergeCell ref="C5:H5"/>
    <mergeCell ref="A6:B6"/>
    <mergeCell ref="C6:H6"/>
    <mergeCell ref="J4:M6"/>
    <mergeCell ref="A7:B7"/>
    <mergeCell ref="C7:H7"/>
    <mergeCell ref="D9:F9"/>
    <mergeCell ref="A12:F12"/>
  </mergeCells>
  <pageMargins left="0.7" right="0.7" top="0.75" bottom="0.75" header="0.3" footer="0.3"/>
  <pageSetup scale="83" fitToHeight="0" orientation="landscape" r:id="rId1"/>
  <headerFooter>
    <oddFooter>&amp;LWA Tax Amort&amp;C&amp;A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AD170"/>
  <sheetViews>
    <sheetView view="pageBreakPreview" topLeftCell="A46" zoomScaleNormal="100" zoomScaleSheetLayoutView="100" workbookViewId="0">
      <selection activeCell="H168" sqref="H168"/>
    </sheetView>
  </sheetViews>
  <sheetFormatPr defaultColWidth="8.88671875" defaultRowHeight="12.75" x14ac:dyDescent="0.2"/>
  <cols>
    <col min="1" max="1" width="6.21875" style="2" customWidth="1"/>
    <col min="2" max="2" width="8.77734375" style="2" customWidth="1"/>
    <col min="3" max="3" width="8" style="2" hidden="1" customWidth="1"/>
    <col min="4" max="4" width="8.21875" style="2" bestFit="1" customWidth="1"/>
    <col min="5" max="6" width="8" style="2" customWidth="1"/>
    <col min="7" max="7" width="9" style="2" bestFit="1" customWidth="1"/>
    <col min="8" max="8" width="8.77734375" style="2" bestFit="1" customWidth="1"/>
    <col min="9" max="10" width="8" style="2" hidden="1" customWidth="1"/>
    <col min="11" max="11" width="8" style="2" customWidth="1"/>
    <col min="12" max="12" width="9.6640625" style="2" customWidth="1"/>
    <col min="13" max="13" width="9.5546875" style="2" bestFit="1" customWidth="1"/>
    <col min="14" max="14" width="10.109375" style="2" customWidth="1"/>
    <col min="15" max="15" width="8.88671875" style="2" customWidth="1"/>
    <col min="16" max="16" width="5.6640625" style="2" hidden="1" customWidth="1"/>
    <col min="17" max="17" width="1.77734375" style="2" customWidth="1"/>
    <col min="18" max="18" width="9.6640625" style="2" customWidth="1"/>
    <col min="19" max="19" width="7.109375" style="2" customWidth="1"/>
    <col min="20" max="16384" width="8.88671875" style="2"/>
  </cols>
  <sheetData>
    <row r="2" spans="1:19" ht="15.75" customHeight="1" x14ac:dyDescent="0.2">
      <c r="B2" s="136">
        <v>4800</v>
      </c>
      <c r="C2" s="213">
        <v>4809</v>
      </c>
      <c r="D2" s="214"/>
      <c r="E2" s="215"/>
      <c r="F2" s="213">
        <v>4810</v>
      </c>
      <c r="G2" s="214"/>
      <c r="H2" s="215"/>
      <c r="I2" s="213">
        <v>4811</v>
      </c>
      <c r="J2" s="215"/>
      <c r="K2" s="137">
        <v>4813</v>
      </c>
      <c r="L2" s="137">
        <v>4861</v>
      </c>
      <c r="M2" s="213">
        <v>4863</v>
      </c>
      <c r="N2" s="214"/>
      <c r="O2" s="214"/>
      <c r="P2" s="215"/>
    </row>
    <row r="3" spans="1:19" x14ac:dyDescent="0.2">
      <c r="B3" s="138">
        <v>503</v>
      </c>
      <c r="C3" s="139" t="s">
        <v>38</v>
      </c>
      <c r="D3" s="139">
        <v>505</v>
      </c>
      <c r="E3" s="140">
        <v>511</v>
      </c>
      <c r="F3" s="139" t="s">
        <v>39</v>
      </c>
      <c r="G3" s="139">
        <v>504</v>
      </c>
      <c r="H3" s="140" t="s">
        <v>41</v>
      </c>
      <c r="I3" s="139" t="s">
        <v>38</v>
      </c>
      <c r="J3" s="140">
        <v>570</v>
      </c>
      <c r="K3" s="138">
        <v>570</v>
      </c>
      <c r="L3" s="154" t="s">
        <v>42</v>
      </c>
      <c r="M3" s="142">
        <v>6631</v>
      </c>
      <c r="N3" s="142">
        <v>6633</v>
      </c>
      <c r="O3" s="142">
        <v>6635</v>
      </c>
      <c r="P3" s="143">
        <v>916</v>
      </c>
      <c r="R3" s="144" t="s">
        <v>51</v>
      </c>
    </row>
    <row r="4" spans="1:19" hidden="1" x14ac:dyDescent="0.2">
      <c r="A4" s="145">
        <v>43343</v>
      </c>
      <c r="B4" s="146">
        <f>+'Therm Sales Master'!B123</f>
        <v>996895</v>
      </c>
      <c r="C4" s="147">
        <f>+'Therm Sales Master'!D123</f>
        <v>0</v>
      </c>
      <c r="D4" s="147">
        <f>+'Therm Sales Master'!E123</f>
        <v>160070</v>
      </c>
      <c r="E4" s="148">
        <f>+'Therm Sales Master'!F123</f>
        <v>88492</v>
      </c>
      <c r="F4" s="147">
        <f>+'Therm Sales Master'!G123</f>
        <v>158</v>
      </c>
      <c r="G4" s="147">
        <f>+'Therm Sales Master'!H123</f>
        <v>986030</v>
      </c>
      <c r="H4" s="148">
        <f>+'Therm Sales Master'!J123</f>
        <v>137321</v>
      </c>
      <c r="I4" s="147">
        <f>+'Therm Sales Master'!K123</f>
        <v>359</v>
      </c>
      <c r="J4" s="148">
        <f>+'Therm Sales Master'!L123</f>
        <v>0</v>
      </c>
      <c r="K4" s="146">
        <f>+'Therm Sales Master'!M123</f>
        <v>93391</v>
      </c>
      <c r="L4" s="146">
        <f>+'Therm Sales Master'!N123</f>
        <v>26924983</v>
      </c>
      <c r="M4" s="147">
        <f>+'Therm Sales Master'!O123</f>
        <v>0</v>
      </c>
      <c r="N4" s="147">
        <f>+'Therm Sales Master'!P123</f>
        <v>12762544</v>
      </c>
      <c r="O4" s="147">
        <f>+'Therm Sales Master'!Q123</f>
        <v>5293486</v>
      </c>
      <c r="P4" s="148">
        <f>+'Therm Sales Master'!R123</f>
        <v>14392902</v>
      </c>
      <c r="R4" s="149">
        <f t="shared" ref="R4:R15" si="0">SUM(B4:Q4)</f>
        <v>61836631</v>
      </c>
    </row>
    <row r="5" spans="1:19" hidden="1" x14ac:dyDescent="0.2">
      <c r="A5" s="145">
        <v>43373</v>
      </c>
      <c r="B5" s="146">
        <f>+'Therm Sales Master'!B124</f>
        <v>2809188</v>
      </c>
      <c r="C5" s="147">
        <f>+'Therm Sales Master'!D124</f>
        <v>-359</v>
      </c>
      <c r="D5" s="147">
        <f>+'Therm Sales Master'!E124</f>
        <v>648016</v>
      </c>
      <c r="E5" s="148">
        <f>+'Therm Sales Master'!F124</f>
        <v>241009</v>
      </c>
      <c r="F5" s="147">
        <f>+'Therm Sales Master'!G124</f>
        <v>501</v>
      </c>
      <c r="G5" s="147">
        <f>+'Therm Sales Master'!H124</f>
        <v>2784183</v>
      </c>
      <c r="H5" s="148">
        <f>+'Therm Sales Master'!J124</f>
        <v>384208</v>
      </c>
      <c r="I5" s="147">
        <f>+'Therm Sales Master'!K124</f>
        <v>547</v>
      </c>
      <c r="J5" s="148">
        <f>+'Therm Sales Master'!L124</f>
        <v>0</v>
      </c>
      <c r="K5" s="146">
        <f>+'Therm Sales Master'!M124</f>
        <v>118645</v>
      </c>
      <c r="L5" s="146">
        <f>+'Therm Sales Master'!N124</f>
        <v>30461110</v>
      </c>
      <c r="M5" s="147">
        <f>+'Therm Sales Master'!O124</f>
        <v>15312916</v>
      </c>
      <c r="N5" s="147">
        <f>+'Therm Sales Master'!P124</f>
        <v>14381027</v>
      </c>
      <c r="O5" s="147">
        <f>+'Therm Sales Master'!Q124</f>
        <v>2080893</v>
      </c>
      <c r="P5" s="148">
        <f>+'Therm Sales Master'!R124</f>
        <v>0</v>
      </c>
      <c r="R5" s="147">
        <f t="shared" si="0"/>
        <v>69221884</v>
      </c>
    </row>
    <row r="6" spans="1:19" hidden="1" x14ac:dyDescent="0.2">
      <c r="A6" s="145">
        <v>43404</v>
      </c>
      <c r="B6" s="146">
        <f>+'Therm Sales Master'!B125</f>
        <v>5307116</v>
      </c>
      <c r="C6" s="147">
        <f>+'Therm Sales Master'!D125</f>
        <v>0</v>
      </c>
      <c r="D6" s="147">
        <f>+'Therm Sales Master'!E125</f>
        <v>1031586</v>
      </c>
      <c r="E6" s="148">
        <f>+'Therm Sales Master'!F125</f>
        <v>447130</v>
      </c>
      <c r="F6" s="147">
        <f>+'Therm Sales Master'!G125</f>
        <v>2079</v>
      </c>
      <c r="G6" s="147">
        <f>+'Therm Sales Master'!H125</f>
        <v>4259766</v>
      </c>
      <c r="H6" s="148">
        <f>+'Therm Sales Master'!J125</f>
        <v>674628</v>
      </c>
      <c r="I6" s="147">
        <f>+'Therm Sales Master'!K125</f>
        <v>21</v>
      </c>
      <c r="J6" s="148">
        <f>+'Therm Sales Master'!L125</f>
        <v>0</v>
      </c>
      <c r="K6" s="146">
        <f>+'Therm Sales Master'!M125</f>
        <v>197742</v>
      </c>
      <c r="L6" s="146">
        <f>+'Therm Sales Master'!N125</f>
        <v>32448578</v>
      </c>
      <c r="M6" s="147">
        <f>+'Therm Sales Master'!O125</f>
        <v>7714309</v>
      </c>
      <c r="N6" s="147">
        <f>+'Therm Sales Master'!P125</f>
        <v>4034082</v>
      </c>
      <c r="O6" s="147">
        <f>+'Therm Sales Master'!Q125</f>
        <v>2001543</v>
      </c>
      <c r="P6" s="148">
        <f>+'Therm Sales Master'!R125</f>
        <v>0</v>
      </c>
      <c r="R6" s="147">
        <f t="shared" si="0"/>
        <v>58118580</v>
      </c>
    </row>
    <row r="7" spans="1:19" hidden="1" x14ac:dyDescent="0.2">
      <c r="A7" s="145">
        <v>43434</v>
      </c>
      <c r="B7" s="146">
        <f>+'Therm Sales Master'!B126</f>
        <v>5727490</v>
      </c>
      <c r="C7" s="147">
        <f>+'Therm Sales Master'!D126</f>
        <v>0</v>
      </c>
      <c r="D7" s="147">
        <f>+'Therm Sales Master'!E126</f>
        <v>691277</v>
      </c>
      <c r="E7" s="148">
        <f>+'Therm Sales Master'!F126</f>
        <v>107458</v>
      </c>
      <c r="F7" s="147">
        <f>+'Therm Sales Master'!G126</f>
        <v>0</v>
      </c>
      <c r="G7" s="147">
        <f>+'Therm Sales Master'!H126</f>
        <v>4031349</v>
      </c>
      <c r="H7" s="148">
        <f>+'Therm Sales Master'!J126</f>
        <v>459820</v>
      </c>
      <c r="I7" s="147">
        <f>+'Therm Sales Master'!K126</f>
        <v>0</v>
      </c>
      <c r="J7" s="148">
        <f>+'Therm Sales Master'!L126</f>
        <v>0</v>
      </c>
      <c r="K7" s="146">
        <f>+'Therm Sales Master'!M126</f>
        <v>0</v>
      </c>
      <c r="L7" s="146">
        <f>+'Therm Sales Master'!N126</f>
        <v>0</v>
      </c>
      <c r="M7" s="147">
        <f>+'Therm Sales Master'!O126</f>
        <v>0</v>
      </c>
      <c r="N7" s="147">
        <f>+'Therm Sales Master'!P126</f>
        <v>0</v>
      </c>
      <c r="O7" s="147">
        <f>+'Therm Sales Master'!Q126</f>
        <v>0</v>
      </c>
      <c r="P7" s="148">
        <f>+'Therm Sales Master'!R126</f>
        <v>0</v>
      </c>
      <c r="R7" s="147">
        <f t="shared" ref="R7" si="1">SUM(B7:Q7)</f>
        <v>11017394</v>
      </c>
      <c r="S7" s="2" t="s">
        <v>45</v>
      </c>
    </row>
    <row r="8" spans="1:19" hidden="1" x14ac:dyDescent="0.2">
      <c r="A8" s="145">
        <v>43434</v>
      </c>
      <c r="B8" s="146">
        <f>+'Therm Sales Master'!B127</f>
        <v>3233440</v>
      </c>
      <c r="C8" s="147">
        <f>+'Therm Sales Master'!D127</f>
        <v>63</v>
      </c>
      <c r="D8" s="147">
        <f>+'Therm Sales Master'!E127</f>
        <v>298083</v>
      </c>
      <c r="E8" s="148">
        <f>+'Therm Sales Master'!F127</f>
        <v>77569</v>
      </c>
      <c r="F8" s="147">
        <f>+'Therm Sales Master'!G127</f>
        <v>3464</v>
      </c>
      <c r="G8" s="147">
        <f>+'Therm Sales Master'!H127</f>
        <v>2122532</v>
      </c>
      <c r="H8" s="148">
        <f>+'Therm Sales Master'!J127</f>
        <v>331925</v>
      </c>
      <c r="I8" s="147">
        <f>+'Therm Sales Master'!K127</f>
        <v>0</v>
      </c>
      <c r="J8" s="148">
        <f>+'Therm Sales Master'!L127</f>
        <v>0</v>
      </c>
      <c r="K8" s="146">
        <f>+'Therm Sales Master'!M127</f>
        <v>217688</v>
      </c>
      <c r="L8" s="146">
        <f>+'Therm Sales Master'!N127</f>
        <v>25948738</v>
      </c>
      <c r="M8" s="147">
        <f>+'Therm Sales Master'!O127</f>
        <v>76766</v>
      </c>
      <c r="N8" s="147">
        <f>+'Therm Sales Master'!P127</f>
        <v>28205</v>
      </c>
      <c r="O8" s="147">
        <f>+'Therm Sales Master'!Q127</f>
        <v>33898</v>
      </c>
      <c r="P8" s="148">
        <f>+'Therm Sales Master'!R127</f>
        <v>0</v>
      </c>
      <c r="R8" s="147">
        <f t="shared" si="0"/>
        <v>32372371</v>
      </c>
      <c r="S8" s="2" t="s">
        <v>46</v>
      </c>
    </row>
    <row r="9" spans="1:19" hidden="1" x14ac:dyDescent="0.2">
      <c r="A9" s="145">
        <v>43465</v>
      </c>
      <c r="B9" s="146">
        <f>+'Therm Sales Master'!B128</f>
        <v>17031202</v>
      </c>
      <c r="C9" s="147">
        <f>+'Therm Sales Master'!D128</f>
        <v>-63</v>
      </c>
      <c r="D9" s="147">
        <f>+'Therm Sales Master'!E128</f>
        <v>1475293</v>
      </c>
      <c r="E9" s="148">
        <f>+'Therm Sales Master'!F128</f>
        <v>305292</v>
      </c>
      <c r="F9" s="147">
        <f>+'Therm Sales Master'!G128</f>
        <v>4915</v>
      </c>
      <c r="G9" s="147">
        <f>+'Therm Sales Master'!H128</f>
        <v>11460190</v>
      </c>
      <c r="H9" s="148">
        <f>+'Therm Sales Master'!J128</f>
        <v>1383646</v>
      </c>
      <c r="I9" s="147">
        <f>+'Therm Sales Master'!K128</f>
        <v>142</v>
      </c>
      <c r="J9" s="148">
        <f>+'Therm Sales Master'!L128</f>
        <v>0</v>
      </c>
      <c r="K9" s="146">
        <f>+'Therm Sales Master'!M128</f>
        <v>260482</v>
      </c>
      <c r="L9" s="146">
        <f>+'Therm Sales Master'!N128</f>
        <v>29346851</v>
      </c>
      <c r="M9" s="147">
        <f>+'Therm Sales Master'!O128</f>
        <v>14382579</v>
      </c>
      <c r="N9" s="147">
        <f>+'Therm Sales Master'!P128</f>
        <v>4450625</v>
      </c>
      <c r="O9" s="147">
        <f>+'Therm Sales Master'!Q128</f>
        <v>57483</v>
      </c>
      <c r="P9" s="148">
        <f>+'Therm Sales Master'!R128</f>
        <v>0</v>
      </c>
      <c r="R9" s="147">
        <f t="shared" si="0"/>
        <v>80158637</v>
      </c>
    </row>
    <row r="10" spans="1:19" hidden="1" x14ac:dyDescent="0.2">
      <c r="A10" s="145">
        <v>43496</v>
      </c>
      <c r="B10" s="146">
        <f>+'Therm Sales Master'!B129</f>
        <v>19425579</v>
      </c>
      <c r="C10" s="147">
        <f>+'Therm Sales Master'!D129</f>
        <v>0</v>
      </c>
      <c r="D10" s="147">
        <f>+'Therm Sales Master'!E129</f>
        <v>1433715</v>
      </c>
      <c r="E10" s="148">
        <f>+'Therm Sales Master'!F129</f>
        <v>330955</v>
      </c>
      <c r="F10" s="147">
        <f>+'Therm Sales Master'!G129</f>
        <v>4626</v>
      </c>
      <c r="G10" s="147">
        <f>+'Therm Sales Master'!H129</f>
        <v>13117967</v>
      </c>
      <c r="H10" s="148">
        <f>+'Therm Sales Master'!J129</f>
        <v>1477641</v>
      </c>
      <c r="I10" s="147">
        <f>+'Therm Sales Master'!K129</f>
        <v>7</v>
      </c>
      <c r="J10" s="148">
        <f>+'Therm Sales Master'!L129</f>
        <v>0</v>
      </c>
      <c r="K10" s="146">
        <f>+'Therm Sales Master'!M129</f>
        <v>258811</v>
      </c>
      <c r="L10" s="146">
        <f>+'Therm Sales Master'!N129</f>
        <v>31076934</v>
      </c>
      <c r="M10" s="147">
        <f>+'Therm Sales Master'!O129</f>
        <v>14944499</v>
      </c>
      <c r="N10" s="147">
        <f>+'Therm Sales Master'!P129</f>
        <v>4088088</v>
      </c>
      <c r="O10" s="147">
        <f>+'Therm Sales Master'!Q129</f>
        <v>106086</v>
      </c>
      <c r="P10" s="148">
        <f>+'Therm Sales Master'!R129</f>
        <v>0</v>
      </c>
      <c r="R10" s="147">
        <f t="shared" si="0"/>
        <v>86264908</v>
      </c>
    </row>
    <row r="11" spans="1:19" hidden="1" x14ac:dyDescent="0.2">
      <c r="A11" s="145">
        <v>43524</v>
      </c>
      <c r="B11" s="146">
        <f>+'Therm Sales Master'!B130</f>
        <v>20826493</v>
      </c>
      <c r="C11" s="147">
        <f>+'Therm Sales Master'!D130</f>
        <v>0</v>
      </c>
      <c r="D11" s="147">
        <f>+'Therm Sales Master'!E130</f>
        <v>1616149</v>
      </c>
      <c r="E11" s="148">
        <f>+'Therm Sales Master'!F130</f>
        <v>325966</v>
      </c>
      <c r="F11" s="147">
        <f>+'Therm Sales Master'!G130</f>
        <v>5486</v>
      </c>
      <c r="G11" s="147">
        <f>+'Therm Sales Master'!H130</f>
        <v>13988227</v>
      </c>
      <c r="H11" s="148">
        <f>+'Therm Sales Master'!J130</f>
        <v>1527495</v>
      </c>
      <c r="I11" s="147">
        <f>+'Therm Sales Master'!K130</f>
        <v>0</v>
      </c>
      <c r="J11" s="148">
        <f>+'Therm Sales Master'!L130</f>
        <v>0</v>
      </c>
      <c r="K11" s="146">
        <f>+'Therm Sales Master'!M130</f>
        <v>270184</v>
      </c>
      <c r="L11" s="146">
        <f>+'Therm Sales Master'!N130</f>
        <v>30225230</v>
      </c>
      <c r="M11" s="147">
        <f>+'Therm Sales Master'!O130</f>
        <v>7408861</v>
      </c>
      <c r="N11" s="147">
        <f>+'Therm Sales Master'!P130</f>
        <v>5846716</v>
      </c>
      <c r="O11" s="147">
        <f>+'Therm Sales Master'!Q130</f>
        <v>228696</v>
      </c>
      <c r="P11" s="148">
        <f>+'Therm Sales Master'!R130</f>
        <v>0</v>
      </c>
      <c r="R11" s="147">
        <f t="shared" si="0"/>
        <v>82269503</v>
      </c>
    </row>
    <row r="12" spans="1:19" hidden="1" x14ac:dyDescent="0.2">
      <c r="A12" s="145">
        <v>43555</v>
      </c>
      <c r="B12" s="146">
        <f>+'Therm Sales Master'!B131</f>
        <v>22406676</v>
      </c>
      <c r="C12" s="147">
        <f>+'Therm Sales Master'!D131</f>
        <v>0</v>
      </c>
      <c r="D12" s="147">
        <f>+'Therm Sales Master'!E131</f>
        <v>1794729</v>
      </c>
      <c r="E12" s="148">
        <f>+'Therm Sales Master'!F131</f>
        <v>344448</v>
      </c>
      <c r="F12" s="147">
        <f>+'Therm Sales Master'!G131</f>
        <v>3527</v>
      </c>
      <c r="G12" s="147">
        <f>+'Therm Sales Master'!H131</f>
        <v>15941825</v>
      </c>
      <c r="H12" s="148">
        <f>+'Therm Sales Master'!J131</f>
        <v>1650107</v>
      </c>
      <c r="I12" s="147">
        <f>+'Therm Sales Master'!K131</f>
        <v>0</v>
      </c>
      <c r="J12" s="148">
        <f>+'Therm Sales Master'!L131</f>
        <v>0</v>
      </c>
      <c r="K12" s="146">
        <f>+'Therm Sales Master'!M131</f>
        <v>248145</v>
      </c>
      <c r="L12" s="146">
        <f>+'Therm Sales Master'!N131</f>
        <v>29441177</v>
      </c>
      <c r="M12" s="147">
        <f>+'Therm Sales Master'!O131</f>
        <v>9817659</v>
      </c>
      <c r="N12" s="147">
        <f>+'Therm Sales Master'!P131</f>
        <v>3088142</v>
      </c>
      <c r="O12" s="147">
        <f>+'Therm Sales Master'!Q131</f>
        <v>0</v>
      </c>
      <c r="P12" s="148">
        <f>+'Therm Sales Master'!R131</f>
        <v>0</v>
      </c>
      <c r="R12" s="147">
        <f t="shared" si="0"/>
        <v>84736435</v>
      </c>
    </row>
    <row r="13" spans="1:19" hidden="1" x14ac:dyDescent="0.2">
      <c r="A13" s="145">
        <v>43585</v>
      </c>
      <c r="B13" s="146">
        <f>+'Therm Sales Master'!B132</f>
        <v>12262358</v>
      </c>
      <c r="C13" s="147">
        <f>+'Therm Sales Master'!D132</f>
        <v>0</v>
      </c>
      <c r="D13" s="147">
        <f>+'Therm Sales Master'!E132</f>
        <v>1331310</v>
      </c>
      <c r="E13" s="148">
        <f>+'Therm Sales Master'!F132</f>
        <v>339049</v>
      </c>
      <c r="F13" s="147">
        <f>+'Therm Sales Master'!G132</f>
        <v>2258</v>
      </c>
      <c r="G13" s="147">
        <f>+'Therm Sales Master'!H132</f>
        <v>9096547</v>
      </c>
      <c r="H13" s="148">
        <f>+'Therm Sales Master'!J132</f>
        <v>1028839</v>
      </c>
      <c r="I13" s="147">
        <f>+'Therm Sales Master'!K132</f>
        <v>128</v>
      </c>
      <c r="J13" s="148">
        <f>+'Therm Sales Master'!L132</f>
        <v>0</v>
      </c>
      <c r="K13" s="146">
        <f>+'Therm Sales Master'!M132</f>
        <v>191467</v>
      </c>
      <c r="L13" s="146">
        <f>+'Therm Sales Master'!N132</f>
        <v>27808927</v>
      </c>
      <c r="M13" s="147">
        <f>+'Therm Sales Master'!O132</f>
        <v>7594206</v>
      </c>
      <c r="N13" s="147">
        <f>+'Therm Sales Master'!P132</f>
        <v>2551096</v>
      </c>
      <c r="O13" s="147">
        <f>+'Therm Sales Master'!Q132</f>
        <v>24270</v>
      </c>
      <c r="P13" s="148">
        <f>+'Therm Sales Master'!R132</f>
        <v>0</v>
      </c>
      <c r="R13" s="147">
        <f t="shared" si="0"/>
        <v>62230455</v>
      </c>
    </row>
    <row r="14" spans="1:19" hidden="1" x14ac:dyDescent="0.2">
      <c r="A14" s="145">
        <v>43616</v>
      </c>
      <c r="B14" s="146">
        <f>+'Therm Sales Master'!B133</f>
        <v>7409569</v>
      </c>
      <c r="C14" s="147">
        <f>+'Therm Sales Master'!D133</f>
        <v>0</v>
      </c>
      <c r="D14" s="147">
        <f>+'Therm Sales Master'!E133</f>
        <v>789879</v>
      </c>
      <c r="E14" s="148">
        <f>+'Therm Sales Master'!F133</f>
        <v>267660</v>
      </c>
      <c r="F14" s="147">
        <f>+'Therm Sales Master'!G133</f>
        <v>645</v>
      </c>
      <c r="G14" s="147">
        <f>+'Therm Sales Master'!H133</f>
        <v>5370530</v>
      </c>
      <c r="H14" s="148">
        <f>+'Therm Sales Master'!J133</f>
        <v>692205</v>
      </c>
      <c r="I14" s="147">
        <f>+'Therm Sales Master'!K133</f>
        <v>151</v>
      </c>
      <c r="J14" s="148">
        <f>+'Therm Sales Master'!L133</f>
        <v>0</v>
      </c>
      <c r="K14" s="146">
        <f>+'Therm Sales Master'!M133</f>
        <v>142256</v>
      </c>
      <c r="L14" s="146">
        <f>+'Therm Sales Master'!N133</f>
        <v>29847911</v>
      </c>
      <c r="M14" s="147">
        <f>+'Therm Sales Master'!O133</f>
        <v>5340649</v>
      </c>
      <c r="N14" s="147">
        <f>+'Therm Sales Master'!P133</f>
        <v>381981</v>
      </c>
      <c r="O14" s="147">
        <f>+'Therm Sales Master'!Q133</f>
        <v>234043</v>
      </c>
      <c r="P14" s="148">
        <f>+'Therm Sales Master'!R133</f>
        <v>0</v>
      </c>
      <c r="R14" s="147">
        <f t="shared" si="0"/>
        <v>50477479</v>
      </c>
    </row>
    <row r="15" spans="1:19" hidden="1" x14ac:dyDescent="0.2">
      <c r="A15" s="145">
        <v>43646</v>
      </c>
      <c r="B15" s="146">
        <f>+'Therm Sales Master'!B134</f>
        <v>4046705</v>
      </c>
      <c r="C15" s="147">
        <f>+'Therm Sales Master'!D134</f>
        <v>0</v>
      </c>
      <c r="D15" s="147">
        <f>+'Therm Sales Master'!E134</f>
        <v>579038</v>
      </c>
      <c r="E15" s="148">
        <f>+'Therm Sales Master'!F134</f>
        <v>275040</v>
      </c>
      <c r="F15" s="147">
        <f>+'Therm Sales Master'!G134</f>
        <v>367</v>
      </c>
      <c r="G15" s="147">
        <f>+'Therm Sales Master'!H134</f>
        <v>3465484</v>
      </c>
      <c r="H15" s="148">
        <f>+'Therm Sales Master'!J134</f>
        <v>479946</v>
      </c>
      <c r="I15" s="147">
        <f>+'Therm Sales Master'!K134</f>
        <v>0</v>
      </c>
      <c r="J15" s="148">
        <f>+'Therm Sales Master'!L134</f>
        <v>0</v>
      </c>
      <c r="K15" s="146">
        <f>+'Therm Sales Master'!M134</f>
        <v>110987</v>
      </c>
      <c r="L15" s="146">
        <f>+'Therm Sales Master'!N134</f>
        <v>27060192</v>
      </c>
      <c r="M15" s="147">
        <f>+'Therm Sales Master'!O134</f>
        <v>7824546</v>
      </c>
      <c r="N15" s="147">
        <f>+'Therm Sales Master'!P134</f>
        <v>6776820</v>
      </c>
      <c r="O15" s="147">
        <f>+'Therm Sales Master'!Q134</f>
        <v>1112893</v>
      </c>
      <c r="P15" s="148">
        <f>+'Therm Sales Master'!R134</f>
        <v>0</v>
      </c>
      <c r="R15" s="147">
        <f t="shared" si="0"/>
        <v>51732018</v>
      </c>
    </row>
    <row r="16" spans="1:19" hidden="1" x14ac:dyDescent="0.2">
      <c r="A16" s="145">
        <v>43677</v>
      </c>
      <c r="B16" s="146">
        <f>+'Therm Sales Master'!B135</f>
        <v>3217527</v>
      </c>
      <c r="C16" s="147">
        <f>+'Therm Sales Master'!D135</f>
        <v>0</v>
      </c>
      <c r="D16" s="147">
        <f>+'Therm Sales Master'!E135</f>
        <v>537168</v>
      </c>
      <c r="E16" s="148">
        <f>+'Therm Sales Master'!F135</f>
        <v>315197</v>
      </c>
      <c r="F16" s="147">
        <f>+'Therm Sales Master'!G135</f>
        <v>155</v>
      </c>
      <c r="G16" s="147">
        <f>+'Therm Sales Master'!H135</f>
        <v>3054528</v>
      </c>
      <c r="H16" s="148">
        <f>+'Therm Sales Master'!J135</f>
        <v>406093</v>
      </c>
      <c r="I16" s="147">
        <f>+'Therm Sales Master'!K135</f>
        <v>163</v>
      </c>
      <c r="J16" s="148">
        <f>+'Therm Sales Master'!L135</f>
        <v>0</v>
      </c>
      <c r="K16" s="146">
        <f>+'Therm Sales Master'!M135</f>
        <v>120028</v>
      </c>
      <c r="L16" s="146">
        <f>+'Therm Sales Master'!N135</f>
        <v>26075307</v>
      </c>
      <c r="M16" s="147">
        <f>+'Therm Sales Master'!O135</f>
        <v>14501183</v>
      </c>
      <c r="N16" s="147">
        <f>+'Therm Sales Master'!P135</f>
        <v>14122838</v>
      </c>
      <c r="O16" s="147">
        <f>+'Therm Sales Master'!Q135</f>
        <v>5050508</v>
      </c>
      <c r="P16" s="148">
        <f>+'Therm Sales Master'!R135</f>
        <v>0</v>
      </c>
      <c r="R16" s="147">
        <f t="shared" ref="R16:R22" si="2">SUM(B16:Q16)</f>
        <v>67400695</v>
      </c>
    </row>
    <row r="17" spans="1:19" hidden="1" x14ac:dyDescent="0.2">
      <c r="A17" s="145">
        <v>43708</v>
      </c>
      <c r="B17" s="146">
        <f>+'Therm Sales Master'!B136</f>
        <v>2775098</v>
      </c>
      <c r="C17" s="147">
        <f>+'Therm Sales Master'!D136</f>
        <v>0</v>
      </c>
      <c r="D17" s="147">
        <f>+'Therm Sales Master'!E136</f>
        <v>564404</v>
      </c>
      <c r="E17" s="148">
        <f>+'Therm Sales Master'!F136</f>
        <v>350812</v>
      </c>
      <c r="F17" s="147">
        <f>+'Therm Sales Master'!G136</f>
        <v>138</v>
      </c>
      <c r="G17" s="147">
        <f>+'Therm Sales Master'!H136</f>
        <v>2791770</v>
      </c>
      <c r="H17" s="148">
        <f>+'Therm Sales Master'!J136</f>
        <v>400926</v>
      </c>
      <c r="I17" s="147">
        <f>+'Therm Sales Master'!K136</f>
        <v>0</v>
      </c>
      <c r="J17" s="148">
        <f>+'Therm Sales Master'!L136</f>
        <v>0</v>
      </c>
      <c r="K17" s="146">
        <f>+'Therm Sales Master'!M136</f>
        <v>93626</v>
      </c>
      <c r="L17" s="146">
        <f>+'Therm Sales Master'!N136</f>
        <v>28191126</v>
      </c>
      <c r="M17" s="147">
        <f>+'Therm Sales Master'!O136</f>
        <v>16164686</v>
      </c>
      <c r="N17" s="147">
        <f>+'Therm Sales Master'!P136</f>
        <v>15605297</v>
      </c>
      <c r="O17" s="147">
        <f>+'Therm Sales Master'!Q136</f>
        <v>9500954</v>
      </c>
      <c r="P17" s="148">
        <f>+'Therm Sales Master'!R136</f>
        <v>0</v>
      </c>
      <c r="R17" s="147">
        <f t="shared" si="2"/>
        <v>76438837</v>
      </c>
    </row>
    <row r="18" spans="1:19" hidden="1" x14ac:dyDescent="0.2">
      <c r="A18" s="145">
        <v>43738</v>
      </c>
      <c r="B18" s="146">
        <f>+'Therm Sales Master'!B137</f>
        <v>2691847</v>
      </c>
      <c r="C18" s="147">
        <f>+'Therm Sales Master'!D137</f>
        <v>0</v>
      </c>
      <c r="D18" s="147">
        <f>+'Therm Sales Master'!E137</f>
        <v>651984</v>
      </c>
      <c r="E18" s="148">
        <f>+'Therm Sales Master'!F137</f>
        <v>310612</v>
      </c>
      <c r="F18" s="147">
        <f>+'Therm Sales Master'!G137</f>
        <v>619</v>
      </c>
      <c r="G18" s="147">
        <f>+'Therm Sales Master'!H137</f>
        <v>2672689</v>
      </c>
      <c r="H18" s="148">
        <f>+'Therm Sales Master'!J137</f>
        <v>346838</v>
      </c>
      <c r="I18" s="147">
        <f>+'Therm Sales Master'!K137</f>
        <v>411</v>
      </c>
      <c r="J18" s="148">
        <f>+'Therm Sales Master'!L137</f>
        <v>0</v>
      </c>
      <c r="K18" s="146">
        <f>+'Therm Sales Master'!M137</f>
        <v>111442</v>
      </c>
      <c r="L18" s="146">
        <f>+'Therm Sales Master'!N137</f>
        <v>31412664</v>
      </c>
      <c r="M18" s="147">
        <f>+'Therm Sales Master'!O137</f>
        <v>15653966</v>
      </c>
      <c r="N18" s="147">
        <f>+'Therm Sales Master'!P137</f>
        <v>14512835</v>
      </c>
      <c r="O18" s="147">
        <f>+'Therm Sales Master'!Q137</f>
        <v>4852567</v>
      </c>
      <c r="P18" s="148">
        <f>+'Therm Sales Master'!R137</f>
        <v>0</v>
      </c>
      <c r="R18" s="147">
        <f t="shared" si="2"/>
        <v>73218474</v>
      </c>
    </row>
    <row r="19" spans="1:19" hidden="1" x14ac:dyDescent="0.2">
      <c r="A19" s="145">
        <v>43769</v>
      </c>
      <c r="B19" s="146">
        <f>+'Therm Sales Master'!B138</f>
        <v>6366467</v>
      </c>
      <c r="C19" s="147">
        <f>+'Therm Sales Master'!D138</f>
        <v>0</v>
      </c>
      <c r="D19" s="147">
        <f>+'Therm Sales Master'!E138</f>
        <v>1274354</v>
      </c>
      <c r="E19" s="148">
        <f>+'Therm Sales Master'!F138</f>
        <v>413276</v>
      </c>
      <c r="F19" s="147">
        <f>+'Therm Sales Master'!G138</f>
        <v>2955</v>
      </c>
      <c r="G19" s="147">
        <f>+'Therm Sales Master'!H138</f>
        <v>4853452</v>
      </c>
      <c r="H19" s="148">
        <f>+'Therm Sales Master'!J138</f>
        <v>2027719</v>
      </c>
      <c r="I19" s="147">
        <f>+'Therm Sales Master'!K138</f>
        <v>317</v>
      </c>
      <c r="J19" s="148">
        <f>+'Therm Sales Master'!L138</f>
        <v>0</v>
      </c>
      <c r="K19" s="146">
        <f>+'Therm Sales Master'!M138</f>
        <v>232820</v>
      </c>
      <c r="L19" s="146">
        <f>+'Therm Sales Master'!N138</f>
        <v>34409561</v>
      </c>
      <c r="M19" s="147">
        <f>+'Therm Sales Master'!O138</f>
        <v>11066352</v>
      </c>
      <c r="N19" s="147">
        <f>+'Therm Sales Master'!P138</f>
        <v>667138</v>
      </c>
      <c r="O19" s="147">
        <f>+'Therm Sales Master'!Q138</f>
        <v>897404</v>
      </c>
      <c r="P19" s="148">
        <f>+'Therm Sales Master'!R138</f>
        <v>0</v>
      </c>
      <c r="R19" s="147">
        <f t="shared" si="2"/>
        <v>62211815</v>
      </c>
    </row>
    <row r="20" spans="1:19" hidden="1" x14ac:dyDescent="0.2">
      <c r="A20" s="145">
        <v>43799</v>
      </c>
      <c r="B20" s="146">
        <f>+'Therm Sales Master'!B139</f>
        <v>7622134</v>
      </c>
      <c r="C20" s="147">
        <f>+'Therm Sales Master'!D139</f>
        <v>0</v>
      </c>
      <c r="D20" s="147">
        <f>+'Therm Sales Master'!E139</f>
        <v>806453</v>
      </c>
      <c r="E20" s="148">
        <f>+'Therm Sales Master'!F139</f>
        <v>292270</v>
      </c>
      <c r="F20" s="147">
        <f>+'Therm Sales Master'!G139</f>
        <v>0</v>
      </c>
      <c r="G20" s="147">
        <f>+'Therm Sales Master'!H139</f>
        <v>5319138</v>
      </c>
      <c r="H20" s="148">
        <f>+'Therm Sales Master'!J139</f>
        <v>626870</v>
      </c>
      <c r="I20" s="147">
        <f>+'Therm Sales Master'!K139</f>
        <v>0</v>
      </c>
      <c r="J20" s="148">
        <f>+'Therm Sales Master'!L139</f>
        <v>0</v>
      </c>
      <c r="K20" s="146">
        <f>+'Therm Sales Master'!M139</f>
        <v>0</v>
      </c>
      <c r="L20" s="146">
        <f>+'Therm Sales Master'!N139</f>
        <v>132</v>
      </c>
      <c r="M20" s="147">
        <f>+'Therm Sales Master'!O139</f>
        <v>0</v>
      </c>
      <c r="N20" s="147">
        <f>+'Therm Sales Master'!P139</f>
        <v>0</v>
      </c>
      <c r="O20" s="147">
        <f>+'Therm Sales Master'!Q139</f>
        <v>0</v>
      </c>
      <c r="P20" s="148">
        <f>+'Therm Sales Master'!R139</f>
        <v>0</v>
      </c>
      <c r="R20" s="147">
        <f t="shared" si="2"/>
        <v>14666997</v>
      </c>
      <c r="S20" s="2" t="s">
        <v>45</v>
      </c>
    </row>
    <row r="21" spans="1:19" hidden="1" x14ac:dyDescent="0.2">
      <c r="A21" s="145">
        <v>43799</v>
      </c>
      <c r="B21" s="146">
        <f>+'Therm Sales Master'!B140</f>
        <v>4006834</v>
      </c>
      <c r="C21" s="147">
        <f>+'Therm Sales Master'!D140</f>
        <v>0</v>
      </c>
      <c r="D21" s="147">
        <f>+'Therm Sales Master'!E140</f>
        <v>352170</v>
      </c>
      <c r="E21" s="148">
        <f>+'Therm Sales Master'!F140</f>
        <v>192646</v>
      </c>
      <c r="F21" s="147">
        <f>+'Therm Sales Master'!G140</f>
        <v>3958</v>
      </c>
      <c r="G21" s="147">
        <f>+'Therm Sales Master'!H140</f>
        <v>2589532</v>
      </c>
      <c r="H21" s="148">
        <f>+'Therm Sales Master'!J140</f>
        <v>1908901</v>
      </c>
      <c r="I21" s="147">
        <f>+'Therm Sales Master'!K140</f>
        <v>491</v>
      </c>
      <c r="J21" s="148">
        <f>+'Therm Sales Master'!L140</f>
        <v>0</v>
      </c>
      <c r="K21" s="146">
        <f>+'Therm Sales Master'!M140</f>
        <v>230233</v>
      </c>
      <c r="L21" s="146">
        <f>+'Therm Sales Master'!N140</f>
        <v>29790523</v>
      </c>
      <c r="M21" s="147">
        <f>+'Therm Sales Master'!O140</f>
        <v>12699045</v>
      </c>
      <c r="N21" s="147">
        <f>+'Therm Sales Master'!P140</f>
        <v>5956005</v>
      </c>
      <c r="O21" s="147">
        <f>+'Therm Sales Master'!Q140</f>
        <v>211269</v>
      </c>
      <c r="P21" s="148">
        <f>+'Therm Sales Master'!R140</f>
        <v>0</v>
      </c>
      <c r="R21" s="147">
        <f t="shared" ref="R21" si="3">SUM(B21:Q21)</f>
        <v>57941607</v>
      </c>
      <c r="S21" s="2" t="s">
        <v>46</v>
      </c>
    </row>
    <row r="22" spans="1:19" hidden="1" x14ac:dyDescent="0.2">
      <c r="A22" s="145">
        <v>43830</v>
      </c>
      <c r="B22" s="146">
        <f>+'Therm Sales Master'!B141</f>
        <v>17650518</v>
      </c>
      <c r="C22" s="147">
        <f>+'Therm Sales Master'!D141</f>
        <v>0</v>
      </c>
      <c r="D22" s="147">
        <f>+'Therm Sales Master'!E141</f>
        <v>1422636</v>
      </c>
      <c r="E22" s="148">
        <f>+'Therm Sales Master'!F141</f>
        <v>368658</v>
      </c>
      <c r="F22" s="147">
        <f>+'Therm Sales Master'!G141</f>
        <v>4552</v>
      </c>
      <c r="G22" s="147">
        <f>+'Therm Sales Master'!H141</f>
        <v>11976706</v>
      </c>
      <c r="H22" s="148">
        <f>+'Therm Sales Master'!J141</f>
        <v>2959155</v>
      </c>
      <c r="I22" s="147">
        <f>+'Therm Sales Master'!K141</f>
        <v>261</v>
      </c>
      <c r="J22" s="148">
        <f>+'Therm Sales Master'!L141</f>
        <v>0</v>
      </c>
      <c r="K22" s="146">
        <f>+'Therm Sales Master'!M141</f>
        <v>254015</v>
      </c>
      <c r="L22" s="146">
        <f>+'Therm Sales Master'!N141</f>
        <v>31617374</v>
      </c>
      <c r="M22" s="147">
        <f>+'Therm Sales Master'!O141</f>
        <v>14173947</v>
      </c>
      <c r="N22" s="147">
        <f>+'Therm Sales Master'!P141</f>
        <v>13886984</v>
      </c>
      <c r="O22" s="147">
        <f>+'Therm Sales Master'!Q141</f>
        <v>1297588</v>
      </c>
      <c r="P22" s="148">
        <f>+'Therm Sales Master'!R141</f>
        <v>0</v>
      </c>
      <c r="R22" s="147">
        <f t="shared" si="2"/>
        <v>95612394</v>
      </c>
    </row>
    <row r="23" spans="1:19" hidden="1" x14ac:dyDescent="0.2">
      <c r="A23" s="145">
        <v>43861</v>
      </c>
      <c r="B23" s="146">
        <f>+'Therm Sales Master'!B142</f>
        <v>21443608</v>
      </c>
      <c r="C23" s="147">
        <f>+'Therm Sales Master'!D142</f>
        <v>0</v>
      </c>
      <c r="D23" s="147">
        <f>+'Therm Sales Master'!E142</f>
        <v>1522757</v>
      </c>
      <c r="E23" s="148">
        <f>+'Therm Sales Master'!F142</f>
        <v>431249</v>
      </c>
      <c r="F23" s="147">
        <f>+'Therm Sales Master'!G142</f>
        <v>4887</v>
      </c>
      <c r="G23" s="147">
        <f>+'Therm Sales Master'!H142</f>
        <v>14478708</v>
      </c>
      <c r="H23" s="148">
        <f>+'Therm Sales Master'!J142</f>
        <v>3309514</v>
      </c>
      <c r="I23" s="147">
        <f>+'Therm Sales Master'!K142</f>
        <v>85</v>
      </c>
      <c r="J23" s="148">
        <f>+'Therm Sales Master'!L142</f>
        <v>0</v>
      </c>
      <c r="K23" s="146">
        <f>+'Therm Sales Master'!M142</f>
        <v>256203</v>
      </c>
      <c r="L23" s="146">
        <f>+'Therm Sales Master'!N142</f>
        <v>32467716</v>
      </c>
      <c r="M23" s="147">
        <f>+'Therm Sales Master'!O142</f>
        <v>12220363</v>
      </c>
      <c r="N23" s="147">
        <f>+'Therm Sales Master'!P142</f>
        <v>9693367</v>
      </c>
      <c r="O23" s="147">
        <f>+'Therm Sales Master'!Q142</f>
        <v>362331</v>
      </c>
      <c r="P23" s="148">
        <f>+'Therm Sales Master'!R142</f>
        <v>0</v>
      </c>
      <c r="R23" s="147">
        <f t="shared" ref="R23:R35" si="4">SUM(B23:Q23)</f>
        <v>96190788</v>
      </c>
    </row>
    <row r="24" spans="1:19" hidden="1" x14ac:dyDescent="0.2">
      <c r="A24" s="145">
        <v>43890</v>
      </c>
      <c r="B24" s="146">
        <f>+'Therm Sales Master'!B143</f>
        <v>17506775</v>
      </c>
      <c r="C24" s="147">
        <f>+'Therm Sales Master'!D143</f>
        <v>0</v>
      </c>
      <c r="D24" s="147">
        <f>+'Therm Sales Master'!E143</f>
        <v>1322495</v>
      </c>
      <c r="E24" s="148">
        <f>+'Therm Sales Master'!F143</f>
        <v>393372</v>
      </c>
      <c r="F24" s="147">
        <f>+'Therm Sales Master'!G143</f>
        <v>4650</v>
      </c>
      <c r="G24" s="147">
        <f>+'Therm Sales Master'!H143</f>
        <v>11970901</v>
      </c>
      <c r="H24" s="148">
        <f>+'Therm Sales Master'!J143</f>
        <v>2889473</v>
      </c>
      <c r="I24" s="147">
        <f>+'Therm Sales Master'!K143</f>
        <v>341</v>
      </c>
      <c r="J24" s="148">
        <f>+'Therm Sales Master'!L143</f>
        <v>0</v>
      </c>
      <c r="K24" s="146">
        <f>+'Therm Sales Master'!M143</f>
        <v>228991</v>
      </c>
      <c r="L24" s="146">
        <f>+'Therm Sales Master'!N143</f>
        <v>30355704</v>
      </c>
      <c r="M24" s="147">
        <f>+'Therm Sales Master'!O143</f>
        <v>11897437</v>
      </c>
      <c r="N24" s="147">
        <f>+'Therm Sales Master'!P143</f>
        <v>7438730</v>
      </c>
      <c r="O24" s="147">
        <f>+'Therm Sales Master'!Q143</f>
        <v>761639</v>
      </c>
      <c r="P24" s="148">
        <f>+'Therm Sales Master'!R143</f>
        <v>0</v>
      </c>
      <c r="R24" s="147">
        <f t="shared" si="4"/>
        <v>84770508</v>
      </c>
    </row>
    <row r="25" spans="1:19" hidden="1" x14ac:dyDescent="0.2">
      <c r="A25" s="145">
        <v>43921</v>
      </c>
      <c r="B25" s="146">
        <f>+'Therm Sales Master'!B144</f>
        <v>17635811</v>
      </c>
      <c r="C25" s="147">
        <f>+'Therm Sales Master'!D144</f>
        <v>0</v>
      </c>
      <c r="D25" s="147">
        <f>+'Therm Sales Master'!E144</f>
        <v>1356275</v>
      </c>
      <c r="E25" s="148">
        <f>+'Therm Sales Master'!F144</f>
        <v>297569</v>
      </c>
      <c r="F25" s="147">
        <f>+'Therm Sales Master'!G144</f>
        <v>4903</v>
      </c>
      <c r="G25" s="147">
        <f>+'Therm Sales Master'!H144</f>
        <v>11812961</v>
      </c>
      <c r="H25" s="148">
        <f>+'Therm Sales Master'!J144</f>
        <v>3033699</v>
      </c>
      <c r="I25" s="147">
        <f>+'Therm Sales Master'!K144</f>
        <v>182</v>
      </c>
      <c r="J25" s="148">
        <f>+'Therm Sales Master'!L144</f>
        <v>0</v>
      </c>
      <c r="K25" s="146">
        <f>+'Therm Sales Master'!M144</f>
        <v>229265</v>
      </c>
      <c r="L25" s="146">
        <f>+'Therm Sales Master'!N144</f>
        <v>32606618</v>
      </c>
      <c r="M25" s="147">
        <f>+'Therm Sales Master'!O144</f>
        <v>15670834</v>
      </c>
      <c r="N25" s="147">
        <f>+'Therm Sales Master'!P144</f>
        <v>14229128</v>
      </c>
      <c r="O25" s="147">
        <f>+'Therm Sales Master'!Q144</f>
        <v>3004872</v>
      </c>
      <c r="P25" s="148">
        <f>+'Therm Sales Master'!R144</f>
        <v>0</v>
      </c>
      <c r="R25" s="147">
        <f t="shared" si="4"/>
        <v>99882117</v>
      </c>
    </row>
    <row r="26" spans="1:19" hidden="1" x14ac:dyDescent="0.2">
      <c r="A26" s="145">
        <v>43951</v>
      </c>
      <c r="B26" s="146">
        <f>+'Therm Sales Master'!B145</f>
        <v>13930299</v>
      </c>
      <c r="C26" s="147">
        <f>+'Therm Sales Master'!D145</f>
        <v>0</v>
      </c>
      <c r="D26" s="147">
        <f>+'Therm Sales Master'!E145</f>
        <v>1128418</v>
      </c>
      <c r="E26" s="148">
        <f>+'Therm Sales Master'!F145</f>
        <v>537766</v>
      </c>
      <c r="F26" s="147">
        <f>+'Therm Sales Master'!G145</f>
        <v>3889</v>
      </c>
      <c r="G26" s="147">
        <f>+'Therm Sales Master'!H145</f>
        <v>8554564</v>
      </c>
      <c r="H26" s="148">
        <f>+'Therm Sales Master'!J145</f>
        <v>2377971</v>
      </c>
      <c r="I26" s="147">
        <f>+'Therm Sales Master'!K145</f>
        <v>193</v>
      </c>
      <c r="J26" s="148">
        <f>+'Therm Sales Master'!L145</f>
        <v>0</v>
      </c>
      <c r="K26" s="146">
        <f>+'Therm Sales Master'!M145</f>
        <v>189521</v>
      </c>
      <c r="L26" s="146">
        <f>+'Therm Sales Master'!N145</f>
        <v>27153616</v>
      </c>
      <c r="M26" s="147">
        <f>+'Therm Sales Master'!O145</f>
        <v>13569738</v>
      </c>
      <c r="N26" s="147">
        <f>+'Therm Sales Master'!P145</f>
        <v>11001952</v>
      </c>
      <c r="O26" s="147">
        <f>+'Therm Sales Master'!Q145</f>
        <v>3430843</v>
      </c>
      <c r="P26" s="148">
        <f>+'Therm Sales Master'!R145</f>
        <v>0</v>
      </c>
      <c r="R26" s="147">
        <f t="shared" si="4"/>
        <v>81878770</v>
      </c>
    </row>
    <row r="27" spans="1:19" hidden="1" x14ac:dyDescent="0.2">
      <c r="A27" s="145">
        <v>43982</v>
      </c>
      <c r="B27" s="146">
        <f>+'Therm Sales Master'!B146</f>
        <v>6809502</v>
      </c>
      <c r="C27" s="147">
        <f>+'Therm Sales Master'!D146</f>
        <v>0</v>
      </c>
      <c r="D27" s="147">
        <f>+'Therm Sales Master'!E146</f>
        <v>713209</v>
      </c>
      <c r="E27" s="148">
        <f>+'Therm Sales Master'!F146</f>
        <v>222952</v>
      </c>
      <c r="F27" s="147">
        <f>+'Therm Sales Master'!G146</f>
        <v>2219</v>
      </c>
      <c r="G27" s="147">
        <f>+'Therm Sales Master'!H146</f>
        <v>4127918</v>
      </c>
      <c r="H27" s="148">
        <f>+'Therm Sales Master'!J146</f>
        <v>1489675</v>
      </c>
      <c r="I27" s="147">
        <f>+'Therm Sales Master'!K146</f>
        <v>0</v>
      </c>
      <c r="J27" s="148">
        <f>+'Therm Sales Master'!L146</f>
        <v>0</v>
      </c>
      <c r="K27" s="146">
        <f>+'Therm Sales Master'!M146</f>
        <v>139474</v>
      </c>
      <c r="L27" s="146">
        <f>+'Therm Sales Master'!N146</f>
        <v>29220834</v>
      </c>
      <c r="M27" s="147">
        <f>+'Therm Sales Master'!O146</f>
        <v>2198918</v>
      </c>
      <c r="N27" s="147">
        <f>+'Therm Sales Master'!P146</f>
        <v>791584</v>
      </c>
      <c r="O27" s="147">
        <f>+'Therm Sales Master'!Q146</f>
        <v>447784</v>
      </c>
      <c r="P27" s="148">
        <f>+'Therm Sales Master'!R146</f>
        <v>0</v>
      </c>
      <c r="R27" s="147">
        <f t="shared" si="4"/>
        <v>46164069</v>
      </c>
    </row>
    <row r="28" spans="1:19" hidden="1" x14ac:dyDescent="0.2">
      <c r="A28" s="145">
        <v>44012</v>
      </c>
      <c r="B28" s="146">
        <f>+'Therm Sales Master'!B147</f>
        <v>5005480</v>
      </c>
      <c r="C28" s="147">
        <f>+'Therm Sales Master'!D147</f>
        <v>0</v>
      </c>
      <c r="D28" s="147">
        <f>+'Therm Sales Master'!E147</f>
        <v>637229</v>
      </c>
      <c r="E28" s="148">
        <f>+'Therm Sales Master'!F147</f>
        <v>433558</v>
      </c>
      <c r="F28" s="147">
        <f>+'Therm Sales Master'!G147</f>
        <v>2099</v>
      </c>
      <c r="G28" s="147">
        <f>+'Therm Sales Master'!H147</f>
        <v>3158885</v>
      </c>
      <c r="H28" s="148">
        <f>+'Therm Sales Master'!J147</f>
        <v>1216237</v>
      </c>
      <c r="I28" s="147">
        <f>+'Therm Sales Master'!K147</f>
        <v>0</v>
      </c>
      <c r="J28" s="148">
        <f>+'Therm Sales Master'!L147</f>
        <v>0</v>
      </c>
      <c r="K28" s="146">
        <f>+'Therm Sales Master'!M147</f>
        <v>109505</v>
      </c>
      <c r="L28" s="146">
        <f>+'Therm Sales Master'!N147</f>
        <v>27661973</v>
      </c>
      <c r="M28" s="147">
        <f>+'Therm Sales Master'!O147</f>
        <v>3015900</v>
      </c>
      <c r="N28" s="147">
        <f>+'Therm Sales Master'!P147</f>
        <v>1306946</v>
      </c>
      <c r="O28" s="147">
        <f>+'Therm Sales Master'!Q147</f>
        <v>736401</v>
      </c>
      <c r="P28" s="148">
        <f>+'Therm Sales Master'!R147</f>
        <v>0</v>
      </c>
      <c r="R28" s="147">
        <f t="shared" si="4"/>
        <v>43284213</v>
      </c>
    </row>
    <row r="29" spans="1:19" hidden="1" x14ac:dyDescent="0.2">
      <c r="A29" s="145">
        <v>44043</v>
      </c>
      <c r="B29" s="146">
        <f>+'Therm Sales Master'!B148</f>
        <v>4024864</v>
      </c>
      <c r="C29" s="147">
        <f>+'Therm Sales Master'!D148</f>
        <v>0</v>
      </c>
      <c r="D29" s="147">
        <f>+'Therm Sales Master'!E148</f>
        <v>562464</v>
      </c>
      <c r="E29" s="148">
        <f>+'Therm Sales Master'!F148</f>
        <v>335278</v>
      </c>
      <c r="F29" s="147">
        <f>+'Therm Sales Master'!G148</f>
        <v>943</v>
      </c>
      <c r="G29" s="147">
        <f>+'Therm Sales Master'!H148</f>
        <v>2836474</v>
      </c>
      <c r="H29" s="148">
        <f>+'Therm Sales Master'!J148</f>
        <v>1217402</v>
      </c>
      <c r="I29" s="147">
        <f>+'Therm Sales Master'!K148</f>
        <v>0</v>
      </c>
      <c r="J29" s="148">
        <f>+'Therm Sales Master'!L148</f>
        <v>0</v>
      </c>
      <c r="K29" s="146">
        <f>+'Therm Sales Master'!M148</f>
        <v>106383</v>
      </c>
      <c r="L29" s="146">
        <f>+'Therm Sales Master'!N148</f>
        <v>28966911</v>
      </c>
      <c r="M29" s="147">
        <f>+'Therm Sales Master'!O148</f>
        <v>9874110</v>
      </c>
      <c r="N29" s="147">
        <f>+'Therm Sales Master'!P148</f>
        <v>5180231</v>
      </c>
      <c r="O29" s="147">
        <f>+'Therm Sales Master'!Q148</f>
        <v>1984278</v>
      </c>
      <c r="P29" s="148">
        <f>+'Therm Sales Master'!R148</f>
        <v>0</v>
      </c>
      <c r="R29" s="147">
        <f t="shared" si="4"/>
        <v>55089338</v>
      </c>
    </row>
    <row r="30" spans="1:19" hidden="1" x14ac:dyDescent="0.2">
      <c r="A30" s="145">
        <v>44074</v>
      </c>
      <c r="B30" s="146">
        <f>+'Therm Sales Master'!B149</f>
        <v>2732363</v>
      </c>
      <c r="C30" s="147">
        <f>+'Therm Sales Master'!D149</f>
        <v>0</v>
      </c>
      <c r="D30" s="147">
        <f>+'Therm Sales Master'!E149</f>
        <v>497342</v>
      </c>
      <c r="E30" s="148">
        <f>+'Therm Sales Master'!F149</f>
        <v>298740</v>
      </c>
      <c r="F30" s="147">
        <f>+'Therm Sales Master'!G149</f>
        <v>816</v>
      </c>
      <c r="G30" s="147">
        <f>+'Therm Sales Master'!H149</f>
        <v>2165794</v>
      </c>
      <c r="H30" s="148">
        <f>+'Therm Sales Master'!J149</f>
        <v>956939</v>
      </c>
      <c r="I30" s="147">
        <f>+'Therm Sales Master'!K149</f>
        <v>0</v>
      </c>
      <c r="J30" s="148">
        <f>+'Therm Sales Master'!L149</f>
        <v>0</v>
      </c>
      <c r="K30" s="146">
        <f>+'Therm Sales Master'!M149</f>
        <v>100500</v>
      </c>
      <c r="L30" s="146">
        <f>+'Therm Sales Master'!N149</f>
        <v>32340707</v>
      </c>
      <c r="M30" s="147">
        <f>+'Therm Sales Master'!O149</f>
        <v>13157147</v>
      </c>
      <c r="N30" s="147">
        <f>+'Therm Sales Master'!P149</f>
        <v>10278160</v>
      </c>
      <c r="O30" s="147">
        <f>+'Therm Sales Master'!Q149</f>
        <v>4334957</v>
      </c>
      <c r="P30" s="148">
        <f>+'Therm Sales Master'!R149</f>
        <v>0</v>
      </c>
      <c r="R30" s="147">
        <f t="shared" si="4"/>
        <v>66863465</v>
      </c>
    </row>
    <row r="31" spans="1:19" hidden="1" x14ac:dyDescent="0.2">
      <c r="A31" s="145">
        <v>44104</v>
      </c>
      <c r="B31" s="146">
        <f>+'Therm Sales Master'!B150</f>
        <v>2948480</v>
      </c>
      <c r="C31" s="147">
        <f>+'Therm Sales Master'!D150</f>
        <v>0</v>
      </c>
      <c r="D31" s="147">
        <f>+'Therm Sales Master'!E150</f>
        <v>620797</v>
      </c>
      <c r="E31" s="148">
        <f>+'Therm Sales Master'!F150</f>
        <v>341767</v>
      </c>
      <c r="F31" s="147">
        <f>+'Therm Sales Master'!G150</f>
        <v>643</v>
      </c>
      <c r="G31" s="147">
        <f>+'Therm Sales Master'!H150</f>
        <v>2450387</v>
      </c>
      <c r="H31" s="148">
        <f>+'Therm Sales Master'!J150</f>
        <v>933559</v>
      </c>
      <c r="I31" s="147">
        <f>+'Therm Sales Master'!K150</f>
        <v>0</v>
      </c>
      <c r="J31" s="148">
        <f>+'Therm Sales Master'!L150</f>
        <v>0</v>
      </c>
      <c r="K31" s="146">
        <f>+'Therm Sales Master'!M150</f>
        <v>94559</v>
      </c>
      <c r="L31" s="146">
        <f>+'Therm Sales Master'!N150</f>
        <v>34240639</v>
      </c>
      <c r="M31" s="147">
        <f>+'Therm Sales Master'!O150</f>
        <v>14061705</v>
      </c>
      <c r="N31" s="147">
        <f>+'Therm Sales Master'!P150</f>
        <v>12575104</v>
      </c>
      <c r="O31" s="147">
        <f>+'Therm Sales Master'!Q150</f>
        <v>5435910</v>
      </c>
      <c r="P31" s="148">
        <f>+'Therm Sales Master'!R150</f>
        <v>0</v>
      </c>
      <c r="R31" s="147">
        <f t="shared" si="4"/>
        <v>73703550</v>
      </c>
    </row>
    <row r="32" spans="1:19" hidden="1" x14ac:dyDescent="0.2">
      <c r="A32" s="145">
        <v>44135</v>
      </c>
      <c r="B32" s="146">
        <f>+'Therm Sales Master'!B151</f>
        <v>4232461</v>
      </c>
      <c r="C32" s="147">
        <f>+'Therm Sales Master'!D151</f>
        <v>0</v>
      </c>
      <c r="D32" s="147">
        <f>+'Therm Sales Master'!E151</f>
        <v>1000739</v>
      </c>
      <c r="E32" s="148">
        <f>+'Therm Sales Master'!F151</f>
        <v>374010</v>
      </c>
      <c r="F32" s="147">
        <f>+'Therm Sales Master'!G151</f>
        <v>3290</v>
      </c>
      <c r="G32" s="147">
        <f>+'Therm Sales Master'!H151</f>
        <v>3183599</v>
      </c>
      <c r="H32" s="148">
        <f>+'Therm Sales Master'!J151</f>
        <v>506452</v>
      </c>
      <c r="I32" s="147">
        <f>+'Therm Sales Master'!K151</f>
        <v>0</v>
      </c>
      <c r="J32" s="148">
        <f>+'Therm Sales Master'!L151</f>
        <v>0</v>
      </c>
      <c r="K32" s="146">
        <f>+'Therm Sales Master'!M151</f>
        <v>178840</v>
      </c>
      <c r="L32" s="146">
        <f>+'Therm Sales Master'!N151</f>
        <v>36890125</v>
      </c>
      <c r="M32" s="147">
        <f>+'Therm Sales Master'!O151</f>
        <v>9459059</v>
      </c>
      <c r="N32" s="147">
        <f>+'Therm Sales Master'!P151</f>
        <v>8268305</v>
      </c>
      <c r="O32" s="147">
        <f>+'Therm Sales Master'!Q151</f>
        <v>1590604</v>
      </c>
      <c r="P32" s="148">
        <f>+'Therm Sales Master'!R151</f>
        <v>0</v>
      </c>
      <c r="R32" s="147">
        <f t="shared" si="4"/>
        <v>65687484</v>
      </c>
    </row>
    <row r="33" spans="1:19" hidden="1" x14ac:dyDescent="0.2">
      <c r="A33" s="145">
        <v>44165</v>
      </c>
      <c r="B33" s="146">
        <f>+'Therm Sales Master'!B152</f>
        <v>6886950</v>
      </c>
      <c r="C33" s="147">
        <f>+'Therm Sales Master'!D152</f>
        <v>0</v>
      </c>
      <c r="D33" s="147">
        <f>+'Therm Sales Master'!E152</f>
        <v>615235</v>
      </c>
      <c r="E33" s="148">
        <f>+'Therm Sales Master'!F152</f>
        <v>224068</v>
      </c>
      <c r="F33" s="147">
        <f>+'Therm Sales Master'!G152</f>
        <v>0</v>
      </c>
      <c r="G33" s="147">
        <f>+'Therm Sales Master'!H152</f>
        <v>4428383</v>
      </c>
      <c r="H33" s="148">
        <f>+'Therm Sales Master'!J152</f>
        <v>570674</v>
      </c>
      <c r="I33" s="147">
        <f>+'Therm Sales Master'!K152</f>
        <v>0</v>
      </c>
      <c r="J33" s="148">
        <f>+'Therm Sales Master'!L152</f>
        <v>0</v>
      </c>
      <c r="K33" s="146">
        <f>+'Therm Sales Master'!M152</f>
        <v>0</v>
      </c>
      <c r="L33" s="146">
        <f>+'Therm Sales Master'!N152</f>
        <v>-43037</v>
      </c>
      <c r="M33" s="147">
        <f>+'Therm Sales Master'!O152</f>
        <v>0</v>
      </c>
      <c r="N33" s="147">
        <f>+'Therm Sales Master'!P152</f>
        <v>0</v>
      </c>
      <c r="O33" s="147">
        <f>+'Therm Sales Master'!Q152</f>
        <v>0</v>
      </c>
      <c r="P33" s="148">
        <f>+'Therm Sales Master'!R152</f>
        <v>0</v>
      </c>
      <c r="R33" s="147">
        <f t="shared" si="4"/>
        <v>12682273</v>
      </c>
      <c r="S33" s="2" t="s">
        <v>45</v>
      </c>
    </row>
    <row r="34" spans="1:19" hidden="1" x14ac:dyDescent="0.2">
      <c r="A34" s="145">
        <v>44165</v>
      </c>
      <c r="B34" s="146">
        <f>+'Therm Sales Master'!B153</f>
        <v>3564962</v>
      </c>
      <c r="C34" s="147">
        <f>+'Therm Sales Master'!D153</f>
        <v>0</v>
      </c>
      <c r="D34" s="147">
        <f>+'Therm Sales Master'!E153</f>
        <v>255052</v>
      </c>
      <c r="E34" s="148">
        <f>+'Therm Sales Master'!F153</f>
        <v>108414</v>
      </c>
      <c r="F34" s="147">
        <f>+'Therm Sales Master'!G153</f>
        <v>5658</v>
      </c>
      <c r="G34" s="147">
        <f>+'Therm Sales Master'!H153</f>
        <v>2059842</v>
      </c>
      <c r="H34" s="148">
        <f>+'Therm Sales Master'!J153</f>
        <v>341335</v>
      </c>
      <c r="I34" s="147">
        <f>+'Therm Sales Master'!K153</f>
        <v>0</v>
      </c>
      <c r="J34" s="148">
        <f>+'Therm Sales Master'!L153</f>
        <v>0</v>
      </c>
      <c r="K34" s="146">
        <f>+'Therm Sales Master'!M153</f>
        <v>220318</v>
      </c>
      <c r="L34" s="146">
        <f>+'Therm Sales Master'!N153</f>
        <v>38203799</v>
      </c>
      <c r="M34" s="147">
        <f>+'Therm Sales Master'!O153</f>
        <v>7516479</v>
      </c>
      <c r="N34" s="147">
        <f>+'Therm Sales Master'!P153</f>
        <v>2419246</v>
      </c>
      <c r="O34" s="147">
        <f>+'Therm Sales Master'!Q153</f>
        <v>916410</v>
      </c>
      <c r="P34" s="148">
        <f>+'Therm Sales Master'!R153</f>
        <v>0</v>
      </c>
      <c r="R34" s="147">
        <f t="shared" ref="R34" si="5">SUM(B34:Q34)</f>
        <v>55611515</v>
      </c>
      <c r="S34" s="2" t="s">
        <v>46</v>
      </c>
    </row>
    <row r="35" spans="1:19" hidden="1" x14ac:dyDescent="0.2">
      <c r="A35" s="145">
        <v>44196</v>
      </c>
      <c r="B35" s="146">
        <f>+'Therm Sales Master'!B154</f>
        <v>18475354</v>
      </c>
      <c r="C35" s="147">
        <f>+'Therm Sales Master'!D154</f>
        <v>0</v>
      </c>
      <c r="D35" s="147">
        <f>+'Therm Sales Master'!E154</f>
        <v>1356324</v>
      </c>
      <c r="E35" s="148">
        <f>+'Therm Sales Master'!F154</f>
        <v>419977</v>
      </c>
      <c r="F35" s="147">
        <f>+'Therm Sales Master'!G154</f>
        <v>7535</v>
      </c>
      <c r="G35" s="147">
        <f>+'Therm Sales Master'!H154</f>
        <v>12051598</v>
      </c>
      <c r="H35" s="148">
        <f>+'Therm Sales Master'!J154</f>
        <v>1502233</v>
      </c>
      <c r="I35" s="147">
        <f>+'Therm Sales Master'!K154</f>
        <v>0</v>
      </c>
      <c r="J35" s="148">
        <f>+'Therm Sales Master'!L154</f>
        <v>0</v>
      </c>
      <c r="K35" s="146">
        <f>+'Therm Sales Master'!M154</f>
        <v>244469</v>
      </c>
      <c r="L35" s="146">
        <f>+'Therm Sales Master'!N154</f>
        <v>37243979</v>
      </c>
      <c r="M35" s="147">
        <f>+'Therm Sales Master'!O154</f>
        <v>13353201</v>
      </c>
      <c r="N35" s="147">
        <f>+'Therm Sales Master'!P154</f>
        <v>9176642</v>
      </c>
      <c r="O35" s="147">
        <f>+'Therm Sales Master'!Q154</f>
        <v>764453</v>
      </c>
      <c r="P35" s="148">
        <f>+'Therm Sales Master'!R154</f>
        <v>0</v>
      </c>
      <c r="R35" s="147">
        <f t="shared" si="4"/>
        <v>94595765</v>
      </c>
    </row>
    <row r="36" spans="1:19" hidden="1" x14ac:dyDescent="0.2">
      <c r="A36" s="145">
        <v>44227</v>
      </c>
      <c r="B36" s="146">
        <f>+'Therm Sales Master'!B155</f>
        <v>19685299</v>
      </c>
      <c r="C36" s="147">
        <f>+'Therm Sales Master'!D155</f>
        <v>0</v>
      </c>
      <c r="D36" s="147">
        <f>+'Therm Sales Master'!E155</f>
        <v>1264480</v>
      </c>
      <c r="E36" s="148">
        <f>+'Therm Sales Master'!F155</f>
        <v>431368</v>
      </c>
      <c r="F36" s="147">
        <f>+'Therm Sales Master'!G155</f>
        <v>12694</v>
      </c>
      <c r="G36" s="147">
        <f>+'Therm Sales Master'!H155</f>
        <v>12849986</v>
      </c>
      <c r="H36" s="148">
        <f>+'Therm Sales Master'!J155</f>
        <v>1460025</v>
      </c>
      <c r="I36" s="147">
        <f>+'Therm Sales Master'!K155</f>
        <v>0</v>
      </c>
      <c r="J36" s="148">
        <f>+'Therm Sales Master'!L155</f>
        <v>0</v>
      </c>
      <c r="K36" s="146">
        <f>+'Therm Sales Master'!M155</f>
        <v>248648</v>
      </c>
      <c r="L36" s="146">
        <f>+'Therm Sales Master'!N155</f>
        <v>39534451</v>
      </c>
      <c r="M36" s="147">
        <f>+'Therm Sales Master'!O155</f>
        <v>12333204</v>
      </c>
      <c r="N36" s="147">
        <f>+'Therm Sales Master'!P155</f>
        <v>5190781</v>
      </c>
      <c r="O36" s="147">
        <f>+'Therm Sales Master'!Q155</f>
        <v>252622</v>
      </c>
      <c r="P36" s="148">
        <f>+'Therm Sales Master'!R155</f>
        <v>0</v>
      </c>
      <c r="R36" s="147">
        <f t="shared" ref="R36:R45" si="6">SUM(B36:Q36)</f>
        <v>93263558</v>
      </c>
    </row>
    <row r="37" spans="1:19" hidden="1" x14ac:dyDescent="0.2">
      <c r="A37" s="145">
        <v>44255</v>
      </c>
      <c r="B37" s="146">
        <f>+'Therm Sales Master'!B156</f>
        <v>18599534</v>
      </c>
      <c r="C37" s="147">
        <f>+'Therm Sales Master'!D156</f>
        <v>0</v>
      </c>
      <c r="D37" s="147">
        <f>+'Therm Sales Master'!E156</f>
        <v>1226133</v>
      </c>
      <c r="E37" s="148">
        <f>+'Therm Sales Master'!F156</f>
        <v>372501</v>
      </c>
      <c r="F37" s="147">
        <f>+'Therm Sales Master'!G156</f>
        <v>7553</v>
      </c>
      <c r="G37" s="147">
        <f>+'Therm Sales Master'!H156</f>
        <v>12050270</v>
      </c>
      <c r="H37" s="148">
        <f>+'Therm Sales Master'!J156</f>
        <v>1413677</v>
      </c>
      <c r="I37" s="147">
        <f>+'Therm Sales Master'!K156</f>
        <v>0</v>
      </c>
      <c r="J37" s="148">
        <f>+'Therm Sales Master'!L156</f>
        <v>0</v>
      </c>
      <c r="K37" s="146">
        <f>+'Therm Sales Master'!M156</f>
        <v>239855</v>
      </c>
      <c r="L37" s="146">
        <f>+'Therm Sales Master'!N156</f>
        <v>36249518</v>
      </c>
      <c r="M37" s="147">
        <f>+'Therm Sales Master'!O156</f>
        <v>10471909</v>
      </c>
      <c r="N37" s="147">
        <f>+'Therm Sales Master'!P156</f>
        <v>5382227</v>
      </c>
      <c r="O37" s="147">
        <f>+'Therm Sales Master'!Q156</f>
        <v>982292</v>
      </c>
      <c r="P37" s="148">
        <f>+'Therm Sales Master'!R156</f>
        <v>0</v>
      </c>
      <c r="R37" s="147">
        <f t="shared" si="6"/>
        <v>86995469</v>
      </c>
    </row>
    <row r="38" spans="1:19" hidden="1" x14ac:dyDescent="0.2">
      <c r="A38" s="145">
        <v>44286</v>
      </c>
      <c r="B38" s="146">
        <f>+'Therm Sales Master'!B157</f>
        <v>19676756</v>
      </c>
      <c r="C38" s="147">
        <f>+'Therm Sales Master'!D157</f>
        <v>0</v>
      </c>
      <c r="D38" s="147">
        <f>+'Therm Sales Master'!E157</f>
        <v>1362750</v>
      </c>
      <c r="E38" s="148">
        <f>+'Therm Sales Master'!F157</f>
        <v>456093</v>
      </c>
      <c r="F38" s="147">
        <f>+'Therm Sales Master'!G157</f>
        <v>3998</v>
      </c>
      <c r="G38" s="147">
        <f>+'Therm Sales Master'!H157</f>
        <v>13158991</v>
      </c>
      <c r="H38" s="148">
        <f>+'Therm Sales Master'!J157</f>
        <v>1484437</v>
      </c>
      <c r="I38" s="147">
        <f>+'Therm Sales Master'!K157</f>
        <v>0</v>
      </c>
      <c r="J38" s="148">
        <f>+'Therm Sales Master'!L157</f>
        <v>0</v>
      </c>
      <c r="K38" s="146">
        <f>+'Therm Sales Master'!M157</f>
        <v>234583</v>
      </c>
      <c r="L38" s="146">
        <f>+'Therm Sales Master'!N157</f>
        <v>38737982</v>
      </c>
      <c r="M38" s="147">
        <f>+'Therm Sales Master'!O157</f>
        <v>15050505</v>
      </c>
      <c r="N38" s="147">
        <f>+'Therm Sales Master'!P157</f>
        <v>10973891</v>
      </c>
      <c r="O38" s="147">
        <f>+'Therm Sales Master'!Q157</f>
        <v>2069033</v>
      </c>
      <c r="P38" s="148">
        <f>+'Therm Sales Master'!R157</f>
        <v>0</v>
      </c>
      <c r="R38" s="147">
        <f t="shared" si="6"/>
        <v>103209019</v>
      </c>
    </row>
    <row r="39" spans="1:19" hidden="1" x14ac:dyDescent="0.2">
      <c r="A39" s="145">
        <v>44316</v>
      </c>
      <c r="B39" s="146">
        <f>+'Therm Sales Master'!B158</f>
        <v>13567783</v>
      </c>
      <c r="C39" s="147">
        <f>+'Therm Sales Master'!D158</f>
        <v>0</v>
      </c>
      <c r="D39" s="147">
        <f>+'Therm Sales Master'!E158</f>
        <v>1066951</v>
      </c>
      <c r="E39" s="148">
        <f>+'Therm Sales Master'!F158</f>
        <v>426217</v>
      </c>
      <c r="F39" s="147">
        <f>+'Therm Sales Master'!G158</f>
        <v>2200</v>
      </c>
      <c r="G39" s="147">
        <f>+'Therm Sales Master'!H158</f>
        <v>9154067</v>
      </c>
      <c r="H39" s="148">
        <f>+'Therm Sales Master'!J158</f>
        <v>1134637</v>
      </c>
      <c r="I39" s="147">
        <f>+'Therm Sales Master'!K158</f>
        <v>0</v>
      </c>
      <c r="J39" s="148">
        <f>+'Therm Sales Master'!L158</f>
        <v>0</v>
      </c>
      <c r="K39" s="146">
        <f>+'Therm Sales Master'!M158</f>
        <v>180576</v>
      </c>
      <c r="L39" s="146">
        <f>+'Therm Sales Master'!N158</f>
        <v>36210898</v>
      </c>
      <c r="M39" s="147">
        <f>+'Therm Sales Master'!O158</f>
        <v>6562711</v>
      </c>
      <c r="N39" s="147">
        <f>+'Therm Sales Master'!P158</f>
        <v>12896888</v>
      </c>
      <c r="O39" s="147">
        <f>+'Therm Sales Master'!Q158</f>
        <v>8378207</v>
      </c>
      <c r="P39" s="148">
        <f>+'Therm Sales Master'!R158</f>
        <v>0</v>
      </c>
      <c r="R39" s="147">
        <f t="shared" si="6"/>
        <v>89581135</v>
      </c>
    </row>
    <row r="40" spans="1:19" hidden="1" x14ac:dyDescent="0.2">
      <c r="A40" s="145">
        <v>44347</v>
      </c>
      <c r="B40" s="146">
        <f>+'Therm Sales Master'!B159</f>
        <v>6623364</v>
      </c>
      <c r="C40" s="147">
        <f>+'Therm Sales Master'!D159</f>
        <v>0</v>
      </c>
      <c r="D40" s="147">
        <f>+'Therm Sales Master'!E159</f>
        <v>680086</v>
      </c>
      <c r="E40" s="148">
        <f>+'Therm Sales Master'!F159</f>
        <v>286219</v>
      </c>
      <c r="F40" s="147">
        <f>+'Therm Sales Master'!G159</f>
        <v>3602</v>
      </c>
      <c r="G40" s="147">
        <f>+'Therm Sales Master'!H159</f>
        <v>4930955</v>
      </c>
      <c r="H40" s="148">
        <f>+'Therm Sales Master'!J159</f>
        <v>641375</v>
      </c>
      <c r="I40" s="147">
        <f>+'Therm Sales Master'!K159</f>
        <v>0</v>
      </c>
      <c r="J40" s="148">
        <f>+'Therm Sales Master'!L159</f>
        <v>0</v>
      </c>
      <c r="K40" s="146">
        <f>+'Therm Sales Master'!M159</f>
        <v>143789</v>
      </c>
      <c r="L40" s="146">
        <f>+'Therm Sales Master'!N159</f>
        <v>34143279</v>
      </c>
      <c r="M40" s="147">
        <f>+'Therm Sales Master'!O159</f>
        <v>364</v>
      </c>
      <c r="N40" s="147">
        <f>+'Therm Sales Master'!P159</f>
        <v>5871337</v>
      </c>
      <c r="O40" s="147">
        <f>+'Therm Sales Master'!Q159</f>
        <v>2903752</v>
      </c>
      <c r="P40" s="148">
        <f>+'Therm Sales Master'!R159</f>
        <v>0</v>
      </c>
      <c r="R40" s="147">
        <f t="shared" si="6"/>
        <v>56228122</v>
      </c>
    </row>
    <row r="41" spans="1:19" hidden="1" x14ac:dyDescent="0.2">
      <c r="A41" s="145">
        <v>44377</v>
      </c>
      <c r="B41" s="146">
        <f>+'Therm Sales Master'!B160</f>
        <v>5165480</v>
      </c>
      <c r="C41" s="147">
        <f>+'Therm Sales Master'!D160</f>
        <v>0</v>
      </c>
      <c r="D41" s="147">
        <f>+'Therm Sales Master'!E160</f>
        <v>585095</v>
      </c>
      <c r="E41" s="148">
        <f>+'Therm Sales Master'!F160</f>
        <v>448138</v>
      </c>
      <c r="F41" s="147">
        <f>+'Therm Sales Master'!G160</f>
        <v>1512</v>
      </c>
      <c r="G41" s="147">
        <f>+'Therm Sales Master'!H160</f>
        <v>4017478</v>
      </c>
      <c r="H41" s="148">
        <f>+'Therm Sales Master'!J160</f>
        <v>510200</v>
      </c>
      <c r="I41" s="147">
        <f>+'Therm Sales Master'!K160</f>
        <v>0</v>
      </c>
      <c r="J41" s="148">
        <f>+'Therm Sales Master'!L160</f>
        <v>0</v>
      </c>
      <c r="K41" s="146">
        <f>+'Therm Sales Master'!M160</f>
        <v>104510</v>
      </c>
      <c r="L41" s="146">
        <f>+'Therm Sales Master'!N160</f>
        <v>32699223</v>
      </c>
      <c r="M41" s="147">
        <f>+'Therm Sales Master'!O160</f>
        <v>10580854</v>
      </c>
      <c r="N41" s="147">
        <f>+'Therm Sales Master'!P160</f>
        <v>9297912</v>
      </c>
      <c r="O41" s="147">
        <f>+'Therm Sales Master'!Q160</f>
        <v>5368620</v>
      </c>
      <c r="P41" s="148">
        <f>+'Therm Sales Master'!R160</f>
        <v>0</v>
      </c>
      <c r="R41" s="147">
        <f t="shared" si="6"/>
        <v>68779022</v>
      </c>
    </row>
    <row r="42" spans="1:19" hidden="1" x14ac:dyDescent="0.2">
      <c r="A42" s="145">
        <v>44408</v>
      </c>
      <c r="B42" s="146">
        <f>+'Therm Sales Master'!B161</f>
        <v>3043741</v>
      </c>
      <c r="C42" s="147">
        <f>+'Therm Sales Master'!D161</f>
        <v>0</v>
      </c>
      <c r="D42" s="147">
        <f>+'Therm Sales Master'!E161</f>
        <v>496382</v>
      </c>
      <c r="E42" s="148">
        <f>+'Therm Sales Master'!F161</f>
        <v>260037</v>
      </c>
      <c r="F42" s="147">
        <f>+'Therm Sales Master'!G161</f>
        <v>1203</v>
      </c>
      <c r="G42" s="147">
        <f>+'Therm Sales Master'!H161</f>
        <v>2731524</v>
      </c>
      <c r="H42" s="148">
        <f>+'Therm Sales Master'!J161</f>
        <v>333326</v>
      </c>
      <c r="I42" s="147">
        <f>+'Therm Sales Master'!K161</f>
        <v>0</v>
      </c>
      <c r="J42" s="148">
        <f>+'Therm Sales Master'!L161</f>
        <v>0</v>
      </c>
      <c r="K42" s="146">
        <f>+'Therm Sales Master'!M161</f>
        <v>88811</v>
      </c>
      <c r="L42" s="146">
        <f>+'Therm Sales Master'!N161</f>
        <v>29641199</v>
      </c>
      <c r="M42" s="147">
        <f>+'Therm Sales Master'!O161</f>
        <v>14701743</v>
      </c>
      <c r="N42" s="147">
        <f>+'Therm Sales Master'!P161</f>
        <v>12217042</v>
      </c>
      <c r="O42" s="147">
        <f>+'Therm Sales Master'!Q161</f>
        <v>8620267</v>
      </c>
      <c r="P42" s="148">
        <f>+'Therm Sales Master'!R161</f>
        <v>0</v>
      </c>
      <c r="R42" s="147">
        <f t="shared" si="6"/>
        <v>72135275</v>
      </c>
    </row>
    <row r="43" spans="1:19" hidden="1" x14ac:dyDescent="0.2">
      <c r="A43" s="145">
        <v>44439</v>
      </c>
      <c r="B43" s="146">
        <f>+'Therm Sales Master'!B162</f>
        <v>2658664</v>
      </c>
      <c r="C43" s="147">
        <f>+'Therm Sales Master'!D162</f>
        <v>0</v>
      </c>
      <c r="D43" s="147">
        <f>+'Therm Sales Master'!E162</f>
        <v>465585</v>
      </c>
      <c r="E43" s="148">
        <f>+'Therm Sales Master'!F162</f>
        <v>315534</v>
      </c>
      <c r="F43" s="147">
        <f>+'Therm Sales Master'!G162</f>
        <v>1834</v>
      </c>
      <c r="G43" s="147">
        <f>+'Therm Sales Master'!H162</f>
        <v>2572912</v>
      </c>
      <c r="H43" s="148">
        <f>+'Therm Sales Master'!J162</f>
        <v>304207</v>
      </c>
      <c r="I43" s="147">
        <f>+'Therm Sales Master'!K162</f>
        <v>0</v>
      </c>
      <c r="J43" s="148">
        <f>+'Therm Sales Master'!L162</f>
        <v>0</v>
      </c>
      <c r="K43" s="146">
        <f>+'Therm Sales Master'!M162</f>
        <v>103033</v>
      </c>
      <c r="L43" s="146">
        <f>+'Therm Sales Master'!N162</f>
        <v>30352096</v>
      </c>
      <c r="M43" s="147">
        <f>+'Therm Sales Master'!O162</f>
        <v>14849398</v>
      </c>
      <c r="N43" s="147">
        <f>+'Therm Sales Master'!P162</f>
        <v>12371540</v>
      </c>
      <c r="O43" s="147">
        <f>+'Therm Sales Master'!Q162</f>
        <v>6769382</v>
      </c>
      <c r="P43" s="148">
        <f>+'Therm Sales Master'!R162</f>
        <v>0</v>
      </c>
      <c r="R43" s="147">
        <f t="shared" si="6"/>
        <v>70764185</v>
      </c>
    </row>
    <row r="44" spans="1:19" hidden="1" x14ac:dyDescent="0.2">
      <c r="A44" s="145">
        <v>44469</v>
      </c>
      <c r="B44" s="146">
        <f>+'Therm Sales Master'!B163</f>
        <v>3024586</v>
      </c>
      <c r="C44" s="147">
        <f>+'Therm Sales Master'!D163</f>
        <v>0</v>
      </c>
      <c r="D44" s="147">
        <f>+'Therm Sales Master'!E163</f>
        <v>585259</v>
      </c>
      <c r="E44" s="148">
        <f>+'Therm Sales Master'!F163</f>
        <v>292711</v>
      </c>
      <c r="F44" s="147">
        <f>+'Therm Sales Master'!G163</f>
        <v>2215</v>
      </c>
      <c r="G44" s="147">
        <f>+'Therm Sales Master'!H163</f>
        <v>2784423</v>
      </c>
      <c r="H44" s="148">
        <f>+'Therm Sales Master'!J163</f>
        <v>323275</v>
      </c>
      <c r="I44" s="147">
        <f>+'Therm Sales Master'!K163</f>
        <v>0</v>
      </c>
      <c r="J44" s="148">
        <f>+'Therm Sales Master'!L163</f>
        <v>0</v>
      </c>
      <c r="K44" s="146">
        <f>+'Therm Sales Master'!M163</f>
        <v>127498</v>
      </c>
      <c r="L44" s="146">
        <f>+'Therm Sales Master'!N163</f>
        <v>32241556</v>
      </c>
      <c r="M44" s="147">
        <f>+'Therm Sales Master'!O163</f>
        <v>13988315</v>
      </c>
      <c r="N44" s="147">
        <f>+'Therm Sales Master'!P163</f>
        <v>13923327</v>
      </c>
      <c r="O44" s="147">
        <f>+'Therm Sales Master'!Q163</f>
        <v>4570873</v>
      </c>
      <c r="P44" s="148">
        <f>+'Therm Sales Master'!R163</f>
        <v>0</v>
      </c>
      <c r="R44" s="147">
        <f t="shared" si="6"/>
        <v>71864038</v>
      </c>
    </row>
    <row r="45" spans="1:19" hidden="1" x14ac:dyDescent="0.2">
      <c r="A45" s="145">
        <v>44500</v>
      </c>
      <c r="B45" s="146">
        <f>+'Therm Sales Master'!B164</f>
        <v>5302722</v>
      </c>
      <c r="C45" s="147">
        <f>+'Therm Sales Master'!D164</f>
        <v>0</v>
      </c>
      <c r="D45" s="147">
        <f>+'Therm Sales Master'!E164</f>
        <v>1219426</v>
      </c>
      <c r="E45" s="148">
        <f>+'Therm Sales Master'!F164</f>
        <v>334722</v>
      </c>
      <c r="F45" s="147">
        <f>+'Therm Sales Master'!G164</f>
        <v>3066</v>
      </c>
      <c r="G45" s="147">
        <f>+'Therm Sales Master'!H164</f>
        <v>3968867</v>
      </c>
      <c r="H45" s="148">
        <f>+'Therm Sales Master'!J164</f>
        <v>529394</v>
      </c>
      <c r="I45" s="147">
        <f>+'Therm Sales Master'!K164</f>
        <v>0</v>
      </c>
      <c r="J45" s="148">
        <f>+'Therm Sales Master'!L164</f>
        <v>0</v>
      </c>
      <c r="K45" s="146">
        <f>+'Therm Sales Master'!M164</f>
        <v>188282</v>
      </c>
      <c r="L45" s="146">
        <f>+'Therm Sales Master'!N164</f>
        <v>36147853</v>
      </c>
      <c r="M45" s="147">
        <f>+'Therm Sales Master'!O164</f>
        <v>10167896</v>
      </c>
      <c r="N45" s="147">
        <f>+'Therm Sales Master'!P164</f>
        <v>10295353</v>
      </c>
      <c r="O45" s="147">
        <f>+'Therm Sales Master'!Q164</f>
        <v>4181139</v>
      </c>
      <c r="P45" s="148">
        <f>+'Therm Sales Master'!R164</f>
        <v>0</v>
      </c>
      <c r="R45" s="147">
        <f t="shared" si="6"/>
        <v>72338720</v>
      </c>
    </row>
    <row r="46" spans="1:19" x14ac:dyDescent="0.2">
      <c r="A46" s="145">
        <v>44530</v>
      </c>
      <c r="B46" s="146">
        <f>+'Therm Sales Master'!B165</f>
        <v>6875152</v>
      </c>
      <c r="C46" s="147">
        <f>+'Therm Sales Master'!D165</f>
        <v>0</v>
      </c>
      <c r="D46" s="147">
        <f>+'Therm Sales Master'!E165</f>
        <v>687044</v>
      </c>
      <c r="E46" s="148">
        <f>+'Therm Sales Master'!F165</f>
        <v>274192</v>
      </c>
      <c r="F46" s="147">
        <f>+'Therm Sales Master'!G165</f>
        <v>0</v>
      </c>
      <c r="G46" s="147">
        <f>+'Therm Sales Master'!H165</f>
        <v>4648667</v>
      </c>
      <c r="H46" s="148">
        <f>+'Therm Sales Master'!J165</f>
        <v>554223</v>
      </c>
      <c r="I46" s="147">
        <f>+'Therm Sales Master'!K165</f>
        <v>0</v>
      </c>
      <c r="J46" s="148">
        <f>+'Therm Sales Master'!L165</f>
        <v>0</v>
      </c>
      <c r="K46" s="146">
        <f>+'Therm Sales Master'!M165</f>
        <v>0</v>
      </c>
      <c r="L46" s="146">
        <f>+'Therm Sales Master'!N165</f>
        <v>0</v>
      </c>
      <c r="M46" s="147">
        <f>+'Therm Sales Master'!O165</f>
        <v>0</v>
      </c>
      <c r="N46" s="147">
        <f>+'Therm Sales Master'!P165</f>
        <v>0</v>
      </c>
      <c r="O46" s="147">
        <f>+'Therm Sales Master'!Q165</f>
        <v>305909</v>
      </c>
      <c r="P46" s="148">
        <f>+'Therm Sales Master'!R165</f>
        <v>0</v>
      </c>
      <c r="R46" s="147">
        <f t="shared" ref="R46" si="7">SUM(B46:Q46)</f>
        <v>13345187</v>
      </c>
      <c r="S46" s="2" t="s">
        <v>45</v>
      </c>
    </row>
    <row r="47" spans="1:19" x14ac:dyDescent="0.2">
      <c r="A47" s="145">
        <v>44530</v>
      </c>
      <c r="B47" s="146">
        <f>+'Therm Sales Master'!B166</f>
        <v>3055417</v>
      </c>
      <c r="C47" s="147">
        <f>+'Therm Sales Master'!D166</f>
        <v>0</v>
      </c>
      <c r="D47" s="147">
        <f>+'Therm Sales Master'!E166</f>
        <v>241794</v>
      </c>
      <c r="E47" s="148">
        <f>+'Therm Sales Master'!F166</f>
        <v>98046</v>
      </c>
      <c r="F47" s="147">
        <f>+'Therm Sales Master'!G166</f>
        <v>5052</v>
      </c>
      <c r="G47" s="147">
        <f>+'Therm Sales Master'!H166</f>
        <v>1834948</v>
      </c>
      <c r="H47" s="148">
        <f>+'Therm Sales Master'!J166</f>
        <v>314142</v>
      </c>
      <c r="I47" s="147">
        <f>+'Therm Sales Master'!K166</f>
        <v>0</v>
      </c>
      <c r="J47" s="148">
        <f>+'Therm Sales Master'!L166</f>
        <v>0</v>
      </c>
      <c r="K47" s="146">
        <f>+'Therm Sales Master'!M166</f>
        <v>215369</v>
      </c>
      <c r="L47" s="146">
        <f>+'Therm Sales Master'!N166</f>
        <v>34679208</v>
      </c>
      <c r="M47" s="147">
        <f>+'Therm Sales Master'!O166</f>
        <v>13522374</v>
      </c>
      <c r="N47" s="147">
        <f>+'Therm Sales Master'!P166</f>
        <v>7960245</v>
      </c>
      <c r="O47" s="147">
        <f>+'Therm Sales Master'!Q166</f>
        <v>449463</v>
      </c>
      <c r="P47" s="148">
        <f>+'Therm Sales Master'!R166</f>
        <v>0</v>
      </c>
      <c r="R47" s="147">
        <f t="shared" ref="R47:R58" si="8">SUM(B47:Q47)</f>
        <v>62376058</v>
      </c>
      <c r="S47" s="2" t="s">
        <v>46</v>
      </c>
    </row>
    <row r="48" spans="1:19" x14ac:dyDescent="0.2">
      <c r="A48" s="145">
        <v>44561</v>
      </c>
      <c r="B48" s="146">
        <f>+'Therm Sales Master'!B167</f>
        <v>16399782</v>
      </c>
      <c r="C48" s="147">
        <f>+'Therm Sales Master'!D167</f>
        <v>0</v>
      </c>
      <c r="D48" s="147">
        <f>+'Therm Sales Master'!E167</f>
        <v>1371971</v>
      </c>
      <c r="E48" s="148">
        <f>+'Therm Sales Master'!F167</f>
        <v>456838</v>
      </c>
      <c r="F48" s="147">
        <f>+'Therm Sales Master'!G167</f>
        <v>14032</v>
      </c>
      <c r="G48" s="147">
        <f>+'Therm Sales Master'!H167</f>
        <v>10769619</v>
      </c>
      <c r="H48" s="148">
        <f>+'Therm Sales Master'!J167</f>
        <v>1248673</v>
      </c>
      <c r="I48" s="147">
        <f>+'Therm Sales Master'!K167</f>
        <v>0</v>
      </c>
      <c r="J48" s="148">
        <f>+'Therm Sales Master'!L167</f>
        <v>0</v>
      </c>
      <c r="K48" s="146">
        <f>+'Therm Sales Master'!M167</f>
        <v>271190</v>
      </c>
      <c r="L48" s="146">
        <f>+'Therm Sales Master'!N167</f>
        <v>33971503</v>
      </c>
      <c r="M48" s="147">
        <f>+'Therm Sales Master'!O167</f>
        <v>10372937</v>
      </c>
      <c r="N48" s="147">
        <f>+'Therm Sales Master'!P167</f>
        <v>8559438</v>
      </c>
      <c r="O48" s="147">
        <f>+'Therm Sales Master'!Q167</f>
        <v>490739</v>
      </c>
      <c r="P48" s="148">
        <f>+'Therm Sales Master'!R167</f>
        <v>0</v>
      </c>
      <c r="R48" s="147">
        <f t="shared" si="8"/>
        <v>83926722</v>
      </c>
    </row>
    <row r="49" spans="1:18" x14ac:dyDescent="0.2">
      <c r="A49" s="145">
        <v>44592</v>
      </c>
      <c r="B49" s="146">
        <f>+'Therm Sales Master'!B168</f>
        <v>25738243</v>
      </c>
      <c r="C49" s="147">
        <f>+'Therm Sales Master'!D168</f>
        <v>0</v>
      </c>
      <c r="D49" s="147">
        <f>+'Therm Sales Master'!E168</f>
        <v>1704248</v>
      </c>
      <c r="E49" s="148">
        <f>+'Therm Sales Master'!F168</f>
        <v>503777</v>
      </c>
      <c r="F49" s="147">
        <f>+'Therm Sales Master'!G168</f>
        <v>12713</v>
      </c>
      <c r="G49" s="147">
        <f>+'Therm Sales Master'!H168</f>
        <v>17429567</v>
      </c>
      <c r="H49" s="148">
        <f>+'Therm Sales Master'!J168</f>
        <v>1933704</v>
      </c>
      <c r="I49" s="147">
        <f>+'Therm Sales Master'!K168</f>
        <v>0</v>
      </c>
      <c r="J49" s="148">
        <f>+'Therm Sales Master'!L168</f>
        <v>0</v>
      </c>
      <c r="K49" s="146">
        <f>+'Therm Sales Master'!M168</f>
        <v>257267</v>
      </c>
      <c r="L49" s="146">
        <f>+'Therm Sales Master'!N168</f>
        <v>39152740</v>
      </c>
      <c r="M49" s="147">
        <f>+'Therm Sales Master'!O168</f>
        <v>2783061</v>
      </c>
      <c r="N49" s="147">
        <f>+'Therm Sales Master'!P168</f>
        <v>5418332</v>
      </c>
      <c r="O49" s="147">
        <f>+'Therm Sales Master'!Q168</f>
        <v>479370</v>
      </c>
      <c r="P49" s="148">
        <f>+'Therm Sales Master'!R168</f>
        <v>0</v>
      </c>
      <c r="R49" s="147">
        <f t="shared" si="8"/>
        <v>95413022</v>
      </c>
    </row>
    <row r="50" spans="1:18" x14ac:dyDescent="0.2">
      <c r="A50" s="145">
        <v>44620</v>
      </c>
      <c r="B50" s="146">
        <f>+'Therm Sales Master'!B169</f>
        <v>19530273</v>
      </c>
      <c r="C50" s="147">
        <f>+'Therm Sales Master'!D169</f>
        <v>0</v>
      </c>
      <c r="D50" s="147">
        <f>+'Therm Sales Master'!E169</f>
        <v>1365177</v>
      </c>
      <c r="E50" s="148">
        <f>+'Therm Sales Master'!F169</f>
        <v>438477</v>
      </c>
      <c r="F50" s="147">
        <f>+'Therm Sales Master'!G169</f>
        <v>6643</v>
      </c>
      <c r="G50" s="147">
        <f>+'Therm Sales Master'!H169</f>
        <v>13856753</v>
      </c>
      <c r="H50" s="148">
        <f>+'Therm Sales Master'!J169</f>
        <v>1383449</v>
      </c>
      <c r="I50" s="147">
        <f>+'Therm Sales Master'!K169</f>
        <v>0</v>
      </c>
      <c r="J50" s="148">
        <f>+'Therm Sales Master'!L169</f>
        <v>0</v>
      </c>
      <c r="K50" s="146">
        <f>+'Therm Sales Master'!M169</f>
        <v>227538</v>
      </c>
      <c r="L50" s="146">
        <f>+'Therm Sales Master'!N169</f>
        <v>35167746</v>
      </c>
      <c r="M50" s="147">
        <f>+'Therm Sales Master'!O169</f>
        <v>8980650</v>
      </c>
      <c r="N50" s="147">
        <f>+'Therm Sales Master'!P169</f>
        <v>3610543</v>
      </c>
      <c r="O50" s="147">
        <f>+'Therm Sales Master'!Q169</f>
        <v>449992</v>
      </c>
      <c r="P50" s="148">
        <f>+'Therm Sales Master'!R169</f>
        <v>0</v>
      </c>
      <c r="R50" s="147">
        <f t="shared" si="8"/>
        <v>85017241</v>
      </c>
    </row>
    <row r="51" spans="1:18" x14ac:dyDescent="0.2">
      <c r="A51" s="145">
        <v>44651</v>
      </c>
      <c r="B51" s="146">
        <f>+'Therm Sales Master'!B170</f>
        <v>18863108</v>
      </c>
      <c r="C51" s="147">
        <f>+'Therm Sales Master'!D170</f>
        <v>0</v>
      </c>
      <c r="D51" s="147">
        <f>+'Therm Sales Master'!E170</f>
        <v>1544890</v>
      </c>
      <c r="E51" s="148">
        <f>+'Therm Sales Master'!F170</f>
        <v>507616</v>
      </c>
      <c r="F51" s="147">
        <f>+'Therm Sales Master'!G170</f>
        <v>5669</v>
      </c>
      <c r="G51" s="147">
        <f>+'Therm Sales Master'!H170</f>
        <v>13353929</v>
      </c>
      <c r="H51" s="148">
        <f>+'Therm Sales Master'!J170</f>
        <v>1387408</v>
      </c>
      <c r="I51" s="147">
        <f>+'Therm Sales Master'!K170</f>
        <v>0</v>
      </c>
      <c r="J51" s="148">
        <f>+'Therm Sales Master'!L170</f>
        <v>0</v>
      </c>
      <c r="K51" s="146">
        <f>+'Therm Sales Master'!M170</f>
        <v>220931</v>
      </c>
      <c r="L51" s="146">
        <f>+'Therm Sales Master'!N170</f>
        <v>37545657</v>
      </c>
      <c r="M51" s="147">
        <f>+'Therm Sales Master'!O170</f>
        <v>10732336</v>
      </c>
      <c r="N51" s="147">
        <f>+'Therm Sales Master'!P170</f>
        <v>399625</v>
      </c>
      <c r="O51" s="147">
        <f>+'Therm Sales Master'!Q170</f>
        <v>162178</v>
      </c>
      <c r="P51" s="148">
        <f>+'Therm Sales Master'!R170</f>
        <v>0</v>
      </c>
      <c r="R51" s="147">
        <f t="shared" si="8"/>
        <v>84723347</v>
      </c>
    </row>
    <row r="52" spans="1:18" x14ac:dyDescent="0.2">
      <c r="A52" s="145">
        <v>44681</v>
      </c>
      <c r="B52" s="146">
        <f>+'Therm Sales Master'!B171</f>
        <v>12434900</v>
      </c>
      <c r="C52" s="147">
        <f>+'Therm Sales Master'!D171</f>
        <v>0</v>
      </c>
      <c r="D52" s="147">
        <f>+'Therm Sales Master'!E171</f>
        <v>1036159</v>
      </c>
      <c r="E52" s="148">
        <f>+'Therm Sales Master'!F171</f>
        <v>377750</v>
      </c>
      <c r="F52" s="147">
        <f>+'Therm Sales Master'!G171</f>
        <v>10961</v>
      </c>
      <c r="G52" s="147">
        <f>+'Therm Sales Master'!H171</f>
        <v>8644689</v>
      </c>
      <c r="H52" s="148">
        <f>+'Therm Sales Master'!J171</f>
        <v>982514</v>
      </c>
      <c r="I52" s="147">
        <f>+'Therm Sales Master'!K171</f>
        <v>0</v>
      </c>
      <c r="J52" s="148">
        <f>+'Therm Sales Master'!L171</f>
        <v>0</v>
      </c>
      <c r="K52" s="146">
        <f>+'Therm Sales Master'!M171</f>
        <v>211682</v>
      </c>
      <c r="L52" s="146">
        <f>+'Therm Sales Master'!N171</f>
        <v>37240011</v>
      </c>
      <c r="M52" s="147">
        <f>+'Therm Sales Master'!O171</f>
        <v>8681518</v>
      </c>
      <c r="N52" s="147">
        <f>+'Therm Sales Master'!P171</f>
        <v>0</v>
      </c>
      <c r="O52" s="147">
        <f>+'Therm Sales Master'!Q171</f>
        <v>4411828</v>
      </c>
      <c r="P52" s="148">
        <f>+'Therm Sales Master'!R171</f>
        <v>0</v>
      </c>
      <c r="R52" s="147">
        <f t="shared" si="8"/>
        <v>74032012</v>
      </c>
    </row>
    <row r="53" spans="1:18" x14ac:dyDescent="0.2">
      <c r="A53" s="145">
        <v>44712</v>
      </c>
      <c r="B53" s="146">
        <f>+'Therm Sales Master'!B172</f>
        <v>10496103</v>
      </c>
      <c r="C53" s="147">
        <f>+'Therm Sales Master'!D172</f>
        <v>0</v>
      </c>
      <c r="D53" s="147">
        <f>+'Therm Sales Master'!E172</f>
        <v>1008957</v>
      </c>
      <c r="E53" s="148">
        <f>+'Therm Sales Master'!F172</f>
        <v>328009</v>
      </c>
      <c r="F53" s="147">
        <f>+'Therm Sales Master'!G172</f>
        <v>5884</v>
      </c>
      <c r="G53" s="147">
        <f>+'Therm Sales Master'!H172</f>
        <v>7572813</v>
      </c>
      <c r="H53" s="148">
        <f>+'Therm Sales Master'!J172</f>
        <v>860586</v>
      </c>
      <c r="I53" s="147">
        <f>+'Therm Sales Master'!K172</f>
        <v>0</v>
      </c>
      <c r="J53" s="148">
        <f>+'Therm Sales Master'!L172</f>
        <v>0</v>
      </c>
      <c r="K53" s="146">
        <f>+'Therm Sales Master'!M172</f>
        <v>179840</v>
      </c>
      <c r="L53" s="146">
        <f>+'Therm Sales Master'!N172</f>
        <v>35254347</v>
      </c>
      <c r="M53" s="147">
        <f>+'Therm Sales Master'!O172</f>
        <v>6981169</v>
      </c>
      <c r="N53" s="147">
        <f>+'Therm Sales Master'!P172</f>
        <v>0</v>
      </c>
      <c r="O53" s="147">
        <f>+'Therm Sales Master'!Q172</f>
        <v>782753</v>
      </c>
      <c r="P53" s="148">
        <f>+'Therm Sales Master'!R172</f>
        <v>0</v>
      </c>
      <c r="R53" s="147">
        <f t="shared" si="8"/>
        <v>63470461</v>
      </c>
    </row>
    <row r="54" spans="1:18" x14ac:dyDescent="0.2">
      <c r="A54" s="145">
        <v>44742</v>
      </c>
      <c r="B54" s="146">
        <f>+'Therm Sales Master'!B173</f>
        <v>6329476</v>
      </c>
      <c r="C54" s="147">
        <f>+'Therm Sales Master'!D173</f>
        <v>0</v>
      </c>
      <c r="D54" s="147">
        <f>+'Therm Sales Master'!E173</f>
        <v>757107</v>
      </c>
      <c r="E54" s="148">
        <f>+'Therm Sales Master'!F173</f>
        <v>387432</v>
      </c>
      <c r="F54" s="147">
        <f>+'Therm Sales Master'!G173</f>
        <v>2608</v>
      </c>
      <c r="G54" s="147">
        <f>+'Therm Sales Master'!H173</f>
        <v>4956571</v>
      </c>
      <c r="H54" s="148">
        <f>+'Therm Sales Master'!J173</f>
        <v>590255</v>
      </c>
      <c r="I54" s="147">
        <f>+'Therm Sales Master'!K173</f>
        <v>0</v>
      </c>
      <c r="J54" s="148">
        <f>+'Therm Sales Master'!L173</f>
        <v>0</v>
      </c>
      <c r="K54" s="146">
        <f>+'Therm Sales Master'!M173</f>
        <v>115112</v>
      </c>
      <c r="L54" s="146">
        <f>+'Therm Sales Master'!N173</f>
        <v>31295997</v>
      </c>
      <c r="M54" s="147">
        <f>+'Therm Sales Master'!O173</f>
        <v>1361467</v>
      </c>
      <c r="N54" s="147">
        <f>+'Therm Sales Master'!P173</f>
        <v>1217442</v>
      </c>
      <c r="O54" s="147">
        <f>+'Therm Sales Master'!Q173</f>
        <v>621285</v>
      </c>
      <c r="P54" s="148">
        <f>+'Therm Sales Master'!R173</f>
        <v>0</v>
      </c>
      <c r="R54" s="147">
        <f t="shared" si="8"/>
        <v>47634752</v>
      </c>
    </row>
    <row r="55" spans="1:18" x14ac:dyDescent="0.2">
      <c r="A55" s="145">
        <v>44773</v>
      </c>
      <c r="B55" s="164">
        <f>+'Therm Sales Master'!B174</f>
        <v>4725200</v>
      </c>
      <c r="C55" s="147">
        <f>+'Therm Sales Master'!D174</f>
        <v>0</v>
      </c>
      <c r="D55" s="147">
        <f>+'Therm Sales Master'!E174</f>
        <v>510625</v>
      </c>
      <c r="E55" s="148">
        <f>+'Therm Sales Master'!F174</f>
        <v>380485</v>
      </c>
      <c r="F55" s="147">
        <f>+'Therm Sales Master'!G174</f>
        <v>1405</v>
      </c>
      <c r="G55" s="165">
        <f>+'Therm Sales Master'!H174</f>
        <v>4260295</v>
      </c>
      <c r="H55" s="148">
        <f>+'Therm Sales Master'!J174</f>
        <v>362939</v>
      </c>
      <c r="I55" s="147">
        <f>+'Therm Sales Master'!K174</f>
        <v>0</v>
      </c>
      <c r="J55" s="148">
        <f>+'Therm Sales Master'!L174</f>
        <v>0</v>
      </c>
      <c r="K55" s="146">
        <f>+'Therm Sales Master'!M174</f>
        <v>88882</v>
      </c>
      <c r="L55" s="146">
        <f>+'Therm Sales Master'!N174</f>
        <v>29720370</v>
      </c>
      <c r="M55" s="147">
        <f>+'Therm Sales Master'!O174</f>
        <v>13174665</v>
      </c>
      <c r="N55" s="147">
        <f>+'Therm Sales Master'!P174</f>
        <v>7356565</v>
      </c>
      <c r="O55" s="147">
        <f>+'Therm Sales Master'!Q174</f>
        <v>0</v>
      </c>
      <c r="P55" s="148">
        <f>+'Therm Sales Master'!R174</f>
        <v>0</v>
      </c>
      <c r="R55" s="147">
        <f t="shared" si="8"/>
        <v>60581431</v>
      </c>
    </row>
    <row r="56" spans="1:18" x14ac:dyDescent="0.2">
      <c r="A56" s="145">
        <v>44804</v>
      </c>
      <c r="B56" s="164">
        <f>+'Therm Sales Master'!B175</f>
        <v>2930210</v>
      </c>
      <c r="C56" s="147">
        <f>+'Therm Sales Master'!D175</f>
        <v>0</v>
      </c>
      <c r="D56" s="147">
        <f>+'Therm Sales Master'!E175</f>
        <v>477547</v>
      </c>
      <c r="E56" s="148">
        <f>+'Therm Sales Master'!F175</f>
        <v>353311</v>
      </c>
      <c r="F56" s="147">
        <f>+'Therm Sales Master'!G175</f>
        <v>1532</v>
      </c>
      <c r="G56" s="165">
        <f>+'Therm Sales Master'!H175</f>
        <v>2963491</v>
      </c>
      <c r="H56" s="148">
        <f>+'Therm Sales Master'!J175</f>
        <v>333423</v>
      </c>
      <c r="I56" s="147">
        <f>+'Therm Sales Master'!K175</f>
        <v>0</v>
      </c>
      <c r="J56" s="148">
        <f>+'Therm Sales Master'!L175</f>
        <v>0</v>
      </c>
      <c r="K56" s="146">
        <f>+'Therm Sales Master'!M175</f>
        <v>101586</v>
      </c>
      <c r="L56" s="146">
        <f>+'Therm Sales Master'!N175</f>
        <v>33186006</v>
      </c>
      <c r="M56" s="147">
        <f>+'Therm Sales Master'!O175</f>
        <v>18226302</v>
      </c>
      <c r="N56" s="147">
        <f>+'Therm Sales Master'!P175</f>
        <v>10655816</v>
      </c>
      <c r="O56" s="147">
        <f>+'Therm Sales Master'!Q175</f>
        <v>0</v>
      </c>
      <c r="P56" s="148">
        <f>+'Therm Sales Master'!R175</f>
        <v>0</v>
      </c>
      <c r="R56" s="147">
        <f t="shared" si="8"/>
        <v>69229224</v>
      </c>
    </row>
    <row r="57" spans="1:18" x14ac:dyDescent="0.2">
      <c r="A57" s="145">
        <v>44834</v>
      </c>
      <c r="B57" s="164">
        <f>+'Therm Sales Master'!B176</f>
        <v>-1269341</v>
      </c>
      <c r="C57" s="147">
        <f>+'Therm Sales Master'!D176</f>
        <v>0</v>
      </c>
      <c r="D57" s="147">
        <f>+'Therm Sales Master'!E176</f>
        <v>0</v>
      </c>
      <c r="E57" s="148">
        <f>+'Therm Sales Master'!F176</f>
        <v>0</v>
      </c>
      <c r="F57" s="147">
        <f>+'Therm Sales Master'!G176</f>
        <v>-1532</v>
      </c>
      <c r="G57" s="165">
        <f>+'Therm Sales Master'!H176</f>
        <v>-1362124</v>
      </c>
      <c r="H57" s="148">
        <f>+'Therm Sales Master'!J176</f>
        <v>-7349</v>
      </c>
      <c r="I57" s="147">
        <f>+'Therm Sales Master'!K176</f>
        <v>0</v>
      </c>
      <c r="J57" s="148">
        <f>+'Therm Sales Master'!L176</f>
        <v>0</v>
      </c>
      <c r="K57" s="146">
        <f>+'Therm Sales Master'!M176</f>
        <v>-101586</v>
      </c>
      <c r="L57" s="146">
        <f>+'Therm Sales Master'!N176</f>
        <v>-33186006</v>
      </c>
      <c r="M57" s="147">
        <f>+'Therm Sales Master'!O176</f>
        <v>-18226302</v>
      </c>
      <c r="N57" s="147">
        <f>+'Therm Sales Master'!P176</f>
        <v>-10655816</v>
      </c>
      <c r="O57" s="147">
        <f>+'Therm Sales Master'!Q176</f>
        <v>0</v>
      </c>
      <c r="P57" s="148">
        <f>+'Therm Sales Master'!R176</f>
        <v>0</v>
      </c>
      <c r="R57" s="147">
        <f t="shared" si="8"/>
        <v>-64810056</v>
      </c>
    </row>
    <row r="58" spans="1:18" x14ac:dyDescent="0.2">
      <c r="A58" s="145">
        <v>44865</v>
      </c>
      <c r="B58" s="164">
        <f>+'Therm Sales Master'!B177</f>
        <v>0</v>
      </c>
      <c r="C58" s="147">
        <f>+'Therm Sales Master'!D177</f>
        <v>0</v>
      </c>
      <c r="D58" s="147">
        <f>+'Therm Sales Master'!E177</f>
        <v>0</v>
      </c>
      <c r="E58" s="148">
        <f>+'Therm Sales Master'!F177</f>
        <v>0</v>
      </c>
      <c r="F58" s="147">
        <f>+'Therm Sales Master'!G177</f>
        <v>0</v>
      </c>
      <c r="G58" s="165">
        <f>+'Therm Sales Master'!H177</f>
        <v>0</v>
      </c>
      <c r="H58" s="148">
        <f>+'Therm Sales Master'!J177</f>
        <v>0</v>
      </c>
      <c r="I58" s="147">
        <f>+'Therm Sales Master'!K177</f>
        <v>0</v>
      </c>
      <c r="J58" s="148">
        <f>+'Therm Sales Master'!L177</f>
        <v>0</v>
      </c>
      <c r="K58" s="146">
        <f>+'Therm Sales Master'!M177</f>
        <v>0</v>
      </c>
      <c r="L58" s="146">
        <f>+'Therm Sales Master'!N177</f>
        <v>0</v>
      </c>
      <c r="M58" s="147">
        <f>+'Therm Sales Master'!O177</f>
        <v>0</v>
      </c>
      <c r="N58" s="147">
        <f>+'Therm Sales Master'!P177</f>
        <v>0</v>
      </c>
      <c r="O58" s="147">
        <f>+'Therm Sales Master'!Q177</f>
        <v>0</v>
      </c>
      <c r="P58" s="148">
        <f>+'Therm Sales Master'!R177</f>
        <v>0</v>
      </c>
      <c r="R58" s="147">
        <f t="shared" si="8"/>
        <v>0</v>
      </c>
    </row>
    <row r="59" spans="1:18" x14ac:dyDescent="0.2">
      <c r="A59" s="145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R59" s="149"/>
    </row>
    <row r="60" spans="1:18" x14ac:dyDescent="0.2">
      <c r="B60" s="150"/>
      <c r="C60" s="150"/>
      <c r="D60" s="150"/>
      <c r="E60" s="150"/>
      <c r="F60" s="150"/>
      <c r="G60" s="150"/>
      <c r="H60" s="150"/>
      <c r="I60" s="150"/>
      <c r="J60" s="150"/>
      <c r="K60" s="25"/>
      <c r="L60" s="25"/>
      <c r="M60" s="25"/>
      <c r="N60" s="25"/>
      <c r="O60" s="25"/>
      <c r="P60" s="25"/>
    </row>
    <row r="61" spans="1:18" x14ac:dyDescent="0.2">
      <c r="B61" s="139">
        <v>503</v>
      </c>
      <c r="C61" s="139" t="s">
        <v>38</v>
      </c>
      <c r="D61" s="139">
        <v>505</v>
      </c>
      <c r="E61" s="139">
        <v>511</v>
      </c>
      <c r="F61" s="139" t="s">
        <v>39</v>
      </c>
      <c r="G61" s="139">
        <v>504</v>
      </c>
      <c r="H61" s="139" t="s">
        <v>41</v>
      </c>
      <c r="I61" s="139" t="s">
        <v>38</v>
      </c>
      <c r="J61" s="139">
        <v>570</v>
      </c>
      <c r="K61" s="139">
        <v>570</v>
      </c>
      <c r="L61" s="142" t="s">
        <v>42</v>
      </c>
      <c r="M61" s="142">
        <v>6631</v>
      </c>
      <c r="N61" s="142">
        <v>6633</v>
      </c>
      <c r="O61" s="142">
        <v>6635</v>
      </c>
      <c r="P61" s="142">
        <v>916</v>
      </c>
    </row>
    <row r="62" spans="1:18" hidden="1" x14ac:dyDescent="0.2">
      <c r="A62" s="145">
        <v>43343</v>
      </c>
      <c r="B62" s="151">
        <v>-2.3400000000000001E-3</v>
      </c>
      <c r="C62" s="151">
        <v>-1.14E-3</v>
      </c>
      <c r="D62" s="151">
        <v>-1.14E-3</v>
      </c>
      <c r="E62" s="151">
        <v>-9.3000000000000005E-4</v>
      </c>
      <c r="F62" s="151">
        <v>-1.8E-3</v>
      </c>
      <c r="G62" s="151">
        <v>-1.8E-3</v>
      </c>
      <c r="H62" s="151">
        <v>-9.3000000000000005E-4</v>
      </c>
      <c r="I62" s="151">
        <v>-1.14E-3</v>
      </c>
      <c r="J62" s="151">
        <v>-3.5E-4</v>
      </c>
      <c r="K62" s="151">
        <v>-3.5E-4</v>
      </c>
      <c r="L62" s="152">
        <v>-2.0000000000000001E-4</v>
      </c>
      <c r="M62" s="152">
        <v>-2.0000000000000001E-4</v>
      </c>
      <c r="N62" s="152">
        <v>-2.0000000000000001E-4</v>
      </c>
      <c r="O62" s="152">
        <v>-2.0000000000000001E-4</v>
      </c>
      <c r="P62" s="152">
        <v>-2.0000000000000001E-4</v>
      </c>
    </row>
    <row r="63" spans="1:18" hidden="1" x14ac:dyDescent="0.2">
      <c r="A63" s="145">
        <v>43373</v>
      </c>
      <c r="B63" s="151">
        <v>-2.3400000000000001E-3</v>
      </c>
      <c r="C63" s="151">
        <v>-1.14E-3</v>
      </c>
      <c r="D63" s="151">
        <v>-1.14E-3</v>
      </c>
      <c r="E63" s="151">
        <v>-9.3000000000000005E-4</v>
      </c>
      <c r="F63" s="151">
        <v>-1.8E-3</v>
      </c>
      <c r="G63" s="151">
        <v>-1.8E-3</v>
      </c>
      <c r="H63" s="151">
        <v>-9.3000000000000005E-4</v>
      </c>
      <c r="I63" s="151">
        <v>-1.14E-3</v>
      </c>
      <c r="J63" s="151">
        <v>-3.5E-4</v>
      </c>
      <c r="K63" s="151">
        <v>-3.5E-4</v>
      </c>
      <c r="L63" s="152">
        <v>-2.0000000000000001E-4</v>
      </c>
      <c r="M63" s="152">
        <v>-2.0000000000000001E-4</v>
      </c>
      <c r="N63" s="152">
        <v>-2.0000000000000001E-4</v>
      </c>
      <c r="O63" s="152">
        <v>-2.0000000000000001E-4</v>
      </c>
      <c r="P63" s="152">
        <v>-2.0000000000000001E-4</v>
      </c>
    </row>
    <row r="64" spans="1:18" hidden="1" x14ac:dyDescent="0.2">
      <c r="A64" s="145">
        <v>43404</v>
      </c>
      <c r="B64" s="151">
        <v>-2.3400000000000001E-3</v>
      </c>
      <c r="C64" s="151">
        <v>-1.14E-3</v>
      </c>
      <c r="D64" s="151">
        <v>-1.14E-3</v>
      </c>
      <c r="E64" s="151">
        <v>-9.3000000000000005E-4</v>
      </c>
      <c r="F64" s="151">
        <v>-1.8E-3</v>
      </c>
      <c r="G64" s="151">
        <v>-1.8E-3</v>
      </c>
      <c r="H64" s="151">
        <v>-9.3000000000000005E-4</v>
      </c>
      <c r="I64" s="151">
        <v>-1.14E-3</v>
      </c>
      <c r="J64" s="151">
        <v>-3.5E-4</v>
      </c>
      <c r="K64" s="151">
        <v>-3.5E-4</v>
      </c>
      <c r="L64" s="152">
        <v>-2.0000000000000001E-4</v>
      </c>
      <c r="M64" s="152">
        <v>-2.0000000000000001E-4</v>
      </c>
      <c r="N64" s="152">
        <v>-2.0000000000000001E-4</v>
      </c>
      <c r="O64" s="152">
        <v>-2.0000000000000001E-4</v>
      </c>
      <c r="P64" s="152">
        <v>-2.0000000000000001E-4</v>
      </c>
      <c r="R64" s="2" t="s">
        <v>45</v>
      </c>
    </row>
    <row r="65" spans="1:19" hidden="1" x14ac:dyDescent="0.2">
      <c r="A65" s="145">
        <v>43434</v>
      </c>
      <c r="B65" s="151">
        <v>-2.5200000000000001E-3</v>
      </c>
      <c r="C65" s="151">
        <v>-1.2199999999999999E-3</v>
      </c>
      <c r="D65" s="151">
        <v>-1.2199999999999999E-3</v>
      </c>
      <c r="E65" s="151">
        <v>-1E-3</v>
      </c>
      <c r="F65" s="151">
        <v>-1.9300000000000001E-3</v>
      </c>
      <c r="G65" s="151">
        <v>-1.9300000000000001E-3</v>
      </c>
      <c r="H65" s="151">
        <v>-1E-3</v>
      </c>
      <c r="I65" s="151">
        <v>-1.2199999999999999E-3</v>
      </c>
      <c r="J65" s="151">
        <v>-3.6999999999999999E-4</v>
      </c>
      <c r="K65" s="151">
        <v>-3.6999999999999999E-4</v>
      </c>
      <c r="L65" s="152">
        <v>-2.2000000000000001E-4</v>
      </c>
      <c r="M65" s="152">
        <v>-2.2000000000000001E-4</v>
      </c>
      <c r="N65" s="152">
        <v>-2.2000000000000001E-4</v>
      </c>
      <c r="O65" s="152">
        <v>-2.2000000000000001E-4</v>
      </c>
      <c r="P65" s="152">
        <v>-2.2000000000000001E-4</v>
      </c>
      <c r="R65" s="2" t="s">
        <v>46</v>
      </c>
      <c r="S65" s="2" t="s">
        <v>105</v>
      </c>
    </row>
    <row r="66" spans="1:19" hidden="1" x14ac:dyDescent="0.2">
      <c r="A66" s="145">
        <v>43465</v>
      </c>
      <c r="B66" s="151">
        <v>-2.5200000000000001E-3</v>
      </c>
      <c r="C66" s="151">
        <v>-1.2199999999999999E-3</v>
      </c>
      <c r="D66" s="151">
        <v>-1.2199999999999999E-3</v>
      </c>
      <c r="E66" s="151">
        <v>-1E-3</v>
      </c>
      <c r="F66" s="151">
        <v>-1.9300000000000001E-3</v>
      </c>
      <c r="G66" s="151">
        <v>-1.9300000000000001E-3</v>
      </c>
      <c r="H66" s="151">
        <v>-1E-3</v>
      </c>
      <c r="I66" s="151">
        <v>-1.2199999999999999E-3</v>
      </c>
      <c r="J66" s="151">
        <v>-3.6999999999999999E-4</v>
      </c>
      <c r="K66" s="151">
        <v>-3.6999999999999999E-4</v>
      </c>
      <c r="L66" s="152">
        <v>-2.2000000000000001E-4</v>
      </c>
      <c r="M66" s="152">
        <v>-2.2000000000000001E-4</v>
      </c>
      <c r="N66" s="152">
        <v>-2.2000000000000001E-4</v>
      </c>
      <c r="O66" s="152">
        <v>-2.2000000000000001E-4</v>
      </c>
      <c r="P66" s="152">
        <v>-2.2000000000000001E-4</v>
      </c>
    </row>
    <row r="67" spans="1:19" hidden="1" x14ac:dyDescent="0.2">
      <c r="A67" s="145">
        <v>43496</v>
      </c>
      <c r="B67" s="151">
        <v>-2.5200000000000001E-3</v>
      </c>
      <c r="C67" s="151">
        <v>-1.2199999999999999E-3</v>
      </c>
      <c r="D67" s="151">
        <v>-1.2199999999999999E-3</v>
      </c>
      <c r="E67" s="151">
        <v>-1E-3</v>
      </c>
      <c r="F67" s="151">
        <v>-1.9300000000000001E-3</v>
      </c>
      <c r="G67" s="151">
        <v>-1.9300000000000001E-3</v>
      </c>
      <c r="H67" s="151">
        <v>-1E-3</v>
      </c>
      <c r="I67" s="151">
        <v>-1.2199999999999999E-3</v>
      </c>
      <c r="J67" s="151">
        <v>-3.6999999999999999E-4</v>
      </c>
      <c r="K67" s="151">
        <v>-3.6999999999999999E-4</v>
      </c>
      <c r="L67" s="152">
        <v>-2.2000000000000001E-4</v>
      </c>
      <c r="M67" s="152">
        <v>-2.2000000000000001E-4</v>
      </c>
      <c r="N67" s="152">
        <v>-2.2000000000000001E-4</v>
      </c>
      <c r="O67" s="152">
        <v>-2.2000000000000001E-4</v>
      </c>
      <c r="P67" s="152">
        <v>-2.2000000000000001E-4</v>
      </c>
    </row>
    <row r="68" spans="1:19" hidden="1" x14ac:dyDescent="0.2">
      <c r="A68" s="145">
        <v>43524</v>
      </c>
      <c r="B68" s="151">
        <v>-2.5200000000000001E-3</v>
      </c>
      <c r="C68" s="151">
        <v>-1.2199999999999999E-3</v>
      </c>
      <c r="D68" s="151">
        <v>-1.2199999999999999E-3</v>
      </c>
      <c r="E68" s="151">
        <v>-1E-3</v>
      </c>
      <c r="F68" s="151">
        <v>-1.9300000000000001E-3</v>
      </c>
      <c r="G68" s="151">
        <v>-1.9300000000000001E-3</v>
      </c>
      <c r="H68" s="151">
        <v>-1E-3</v>
      </c>
      <c r="I68" s="151">
        <v>-1.2199999999999999E-3</v>
      </c>
      <c r="J68" s="151">
        <v>-3.6999999999999999E-4</v>
      </c>
      <c r="K68" s="151">
        <v>-3.6999999999999999E-4</v>
      </c>
      <c r="L68" s="152">
        <v>-2.2000000000000001E-4</v>
      </c>
      <c r="M68" s="152">
        <v>-2.2000000000000001E-4</v>
      </c>
      <c r="N68" s="152">
        <v>-2.2000000000000001E-4</v>
      </c>
      <c r="O68" s="152">
        <v>-2.2000000000000001E-4</v>
      </c>
      <c r="P68" s="152">
        <v>-2.2000000000000001E-4</v>
      </c>
    </row>
    <row r="69" spans="1:19" hidden="1" x14ac:dyDescent="0.2">
      <c r="A69" s="145">
        <v>43555</v>
      </c>
      <c r="B69" s="151">
        <v>-2.5200000000000001E-3</v>
      </c>
      <c r="C69" s="151">
        <v>-1.2199999999999999E-3</v>
      </c>
      <c r="D69" s="151">
        <v>-1.2199999999999999E-3</v>
      </c>
      <c r="E69" s="151">
        <v>-1E-3</v>
      </c>
      <c r="F69" s="151">
        <v>-1.9300000000000001E-3</v>
      </c>
      <c r="G69" s="151">
        <v>-1.9300000000000001E-3</v>
      </c>
      <c r="H69" s="151">
        <v>-1E-3</v>
      </c>
      <c r="I69" s="151">
        <v>-1.2199999999999999E-3</v>
      </c>
      <c r="J69" s="151">
        <v>-3.6999999999999999E-4</v>
      </c>
      <c r="K69" s="151">
        <v>-3.6999999999999999E-4</v>
      </c>
      <c r="L69" s="152">
        <v>-2.2000000000000001E-4</v>
      </c>
      <c r="M69" s="152">
        <v>-2.2000000000000001E-4</v>
      </c>
      <c r="N69" s="152">
        <v>-2.2000000000000001E-4</v>
      </c>
      <c r="O69" s="152">
        <v>-2.2000000000000001E-4</v>
      </c>
      <c r="P69" s="152">
        <v>-2.2000000000000001E-4</v>
      </c>
    </row>
    <row r="70" spans="1:19" hidden="1" x14ac:dyDescent="0.2">
      <c r="A70" s="145">
        <v>43585</v>
      </c>
      <c r="B70" s="151">
        <v>-2.5200000000000001E-3</v>
      </c>
      <c r="C70" s="151">
        <v>-1.2199999999999999E-3</v>
      </c>
      <c r="D70" s="151">
        <v>-1.2199999999999999E-3</v>
      </c>
      <c r="E70" s="151">
        <v>-1E-3</v>
      </c>
      <c r="F70" s="151">
        <v>-1.9300000000000001E-3</v>
      </c>
      <c r="G70" s="151">
        <v>-1.9300000000000001E-3</v>
      </c>
      <c r="H70" s="151">
        <v>-1E-3</v>
      </c>
      <c r="I70" s="151">
        <v>-1.2199999999999999E-3</v>
      </c>
      <c r="J70" s="151">
        <v>-3.6999999999999999E-4</v>
      </c>
      <c r="K70" s="151">
        <v>-3.6999999999999999E-4</v>
      </c>
      <c r="L70" s="152">
        <v>-2.2000000000000001E-4</v>
      </c>
      <c r="M70" s="152">
        <v>-2.2000000000000001E-4</v>
      </c>
      <c r="N70" s="152">
        <v>-2.2000000000000001E-4</v>
      </c>
      <c r="O70" s="152">
        <v>-2.2000000000000001E-4</v>
      </c>
      <c r="P70" s="152">
        <v>-2.2000000000000001E-4</v>
      </c>
    </row>
    <row r="71" spans="1:19" hidden="1" x14ac:dyDescent="0.2">
      <c r="A71" s="145">
        <v>43616</v>
      </c>
      <c r="B71" s="151">
        <v>-2.5200000000000001E-3</v>
      </c>
      <c r="C71" s="151">
        <v>-1.2199999999999999E-3</v>
      </c>
      <c r="D71" s="151">
        <v>-1.2199999999999999E-3</v>
      </c>
      <c r="E71" s="151">
        <v>-1E-3</v>
      </c>
      <c r="F71" s="151">
        <v>-1.9300000000000001E-3</v>
      </c>
      <c r="G71" s="151">
        <v>-1.9300000000000001E-3</v>
      </c>
      <c r="H71" s="151">
        <v>-1E-3</v>
      </c>
      <c r="I71" s="151">
        <v>-1.2199999999999999E-3</v>
      </c>
      <c r="J71" s="151">
        <v>-3.6999999999999999E-4</v>
      </c>
      <c r="K71" s="151">
        <v>-3.6999999999999999E-4</v>
      </c>
      <c r="L71" s="152">
        <v>-2.2000000000000001E-4</v>
      </c>
      <c r="M71" s="152">
        <v>-2.2000000000000001E-4</v>
      </c>
      <c r="N71" s="152">
        <v>-2.2000000000000001E-4</v>
      </c>
      <c r="O71" s="152">
        <v>-2.2000000000000001E-4</v>
      </c>
      <c r="P71" s="152">
        <v>-2.2000000000000001E-4</v>
      </c>
    </row>
    <row r="72" spans="1:19" hidden="1" x14ac:dyDescent="0.2">
      <c r="A72" s="145">
        <v>43646</v>
      </c>
      <c r="B72" s="151">
        <v>-2.5200000000000001E-3</v>
      </c>
      <c r="C72" s="151">
        <v>-1.2199999999999999E-3</v>
      </c>
      <c r="D72" s="151">
        <v>-1.2199999999999999E-3</v>
      </c>
      <c r="E72" s="151">
        <v>-1E-3</v>
      </c>
      <c r="F72" s="151">
        <v>-1.9300000000000001E-3</v>
      </c>
      <c r="G72" s="151">
        <v>-1.9300000000000001E-3</v>
      </c>
      <c r="H72" s="151">
        <v>-1E-3</v>
      </c>
      <c r="I72" s="151">
        <v>-1.2199999999999999E-3</v>
      </c>
      <c r="J72" s="151">
        <v>-3.6999999999999999E-4</v>
      </c>
      <c r="K72" s="151">
        <v>-3.6999999999999999E-4</v>
      </c>
      <c r="L72" s="152">
        <v>-2.2000000000000001E-4</v>
      </c>
      <c r="M72" s="152">
        <v>-2.2000000000000001E-4</v>
      </c>
      <c r="N72" s="152">
        <v>-2.2000000000000001E-4</v>
      </c>
      <c r="O72" s="152">
        <v>-2.2000000000000001E-4</v>
      </c>
      <c r="P72" s="152">
        <v>-2.2000000000000001E-4</v>
      </c>
    </row>
    <row r="73" spans="1:19" hidden="1" x14ac:dyDescent="0.2">
      <c r="A73" s="145">
        <v>43677</v>
      </c>
      <c r="B73" s="151">
        <v>-2.5200000000000001E-3</v>
      </c>
      <c r="C73" s="151">
        <v>-1.2199999999999999E-3</v>
      </c>
      <c r="D73" s="151">
        <v>-1.2199999999999999E-3</v>
      </c>
      <c r="E73" s="151">
        <v>-1E-3</v>
      </c>
      <c r="F73" s="151">
        <v>-1.9300000000000001E-3</v>
      </c>
      <c r="G73" s="151">
        <v>-1.9300000000000001E-3</v>
      </c>
      <c r="H73" s="151">
        <v>-1E-3</v>
      </c>
      <c r="I73" s="151">
        <v>-1.2199999999999999E-3</v>
      </c>
      <c r="J73" s="151">
        <v>-3.6999999999999999E-4</v>
      </c>
      <c r="K73" s="151">
        <v>-3.6999999999999999E-4</v>
      </c>
      <c r="L73" s="152">
        <v>-2.2000000000000001E-4</v>
      </c>
      <c r="M73" s="152">
        <v>-2.2000000000000001E-4</v>
      </c>
      <c r="N73" s="152">
        <v>-2.2000000000000001E-4</v>
      </c>
      <c r="O73" s="152">
        <v>-2.2000000000000001E-4</v>
      </c>
      <c r="P73" s="152">
        <v>-2.2000000000000001E-4</v>
      </c>
    </row>
    <row r="74" spans="1:19" hidden="1" x14ac:dyDescent="0.2">
      <c r="A74" s="145">
        <v>43708</v>
      </c>
      <c r="B74" s="151">
        <v>-2.5200000000000001E-3</v>
      </c>
      <c r="C74" s="151">
        <v>-1.2199999999999999E-3</v>
      </c>
      <c r="D74" s="151">
        <v>-1.2199999999999999E-3</v>
      </c>
      <c r="E74" s="151">
        <v>-1E-3</v>
      </c>
      <c r="F74" s="151">
        <v>-1.9300000000000001E-3</v>
      </c>
      <c r="G74" s="151">
        <v>-1.9300000000000001E-3</v>
      </c>
      <c r="H74" s="151">
        <v>-1E-3</v>
      </c>
      <c r="I74" s="151">
        <v>-1.2199999999999999E-3</v>
      </c>
      <c r="J74" s="151">
        <v>-3.6999999999999999E-4</v>
      </c>
      <c r="K74" s="151">
        <v>-3.6999999999999999E-4</v>
      </c>
      <c r="L74" s="152">
        <v>-2.2000000000000001E-4</v>
      </c>
      <c r="M74" s="152">
        <v>-2.2000000000000001E-4</v>
      </c>
      <c r="N74" s="152">
        <v>-2.2000000000000001E-4</v>
      </c>
      <c r="O74" s="152">
        <v>-2.2000000000000001E-4</v>
      </c>
      <c r="P74" s="152">
        <v>-2.2000000000000001E-4</v>
      </c>
    </row>
    <row r="75" spans="1:19" hidden="1" x14ac:dyDescent="0.2">
      <c r="A75" s="145">
        <v>43738</v>
      </c>
      <c r="B75" s="151">
        <v>-2.5200000000000001E-3</v>
      </c>
      <c r="C75" s="151">
        <v>-1.2199999999999999E-3</v>
      </c>
      <c r="D75" s="151">
        <v>-1.2199999999999999E-3</v>
      </c>
      <c r="E75" s="151">
        <v>-1E-3</v>
      </c>
      <c r="F75" s="151">
        <v>-1.9300000000000001E-3</v>
      </c>
      <c r="G75" s="151">
        <v>-1.9300000000000001E-3</v>
      </c>
      <c r="H75" s="151">
        <v>-1E-3</v>
      </c>
      <c r="I75" s="151">
        <v>-1.2199999999999999E-3</v>
      </c>
      <c r="J75" s="151">
        <v>-3.6999999999999999E-4</v>
      </c>
      <c r="K75" s="151">
        <v>-3.6999999999999999E-4</v>
      </c>
      <c r="L75" s="152">
        <v>-2.2000000000000001E-4</v>
      </c>
      <c r="M75" s="152">
        <v>-2.2000000000000001E-4</v>
      </c>
      <c r="N75" s="152">
        <v>-2.2000000000000001E-4</v>
      </c>
      <c r="O75" s="152">
        <v>-2.2000000000000001E-4</v>
      </c>
      <c r="P75" s="152">
        <v>-2.2000000000000001E-4</v>
      </c>
    </row>
    <row r="76" spans="1:19" hidden="1" x14ac:dyDescent="0.2">
      <c r="A76" s="145">
        <v>43769</v>
      </c>
      <c r="B76" s="151">
        <v>-2.5200000000000001E-3</v>
      </c>
      <c r="C76" s="151">
        <v>-1.2199999999999999E-3</v>
      </c>
      <c r="D76" s="151">
        <v>-1.2199999999999999E-3</v>
      </c>
      <c r="E76" s="151">
        <v>-1E-3</v>
      </c>
      <c r="F76" s="151">
        <v>-1.9300000000000001E-3</v>
      </c>
      <c r="G76" s="151">
        <v>-1.9300000000000001E-3</v>
      </c>
      <c r="H76" s="151">
        <v>-1E-3</v>
      </c>
      <c r="I76" s="151">
        <v>-1.2199999999999999E-3</v>
      </c>
      <c r="J76" s="151">
        <v>-3.6999999999999999E-4</v>
      </c>
      <c r="K76" s="151">
        <v>-3.6999999999999999E-4</v>
      </c>
      <c r="L76" s="152">
        <v>-2.2000000000000001E-4</v>
      </c>
      <c r="M76" s="152">
        <v>-2.2000000000000001E-4</v>
      </c>
      <c r="N76" s="152">
        <v>-2.2000000000000001E-4</v>
      </c>
      <c r="O76" s="152">
        <v>-2.2000000000000001E-4</v>
      </c>
      <c r="P76" s="152">
        <v>-2.2000000000000001E-4</v>
      </c>
      <c r="R76" s="2" t="s">
        <v>45</v>
      </c>
    </row>
    <row r="77" spans="1:19" hidden="1" x14ac:dyDescent="0.2">
      <c r="A77" s="145">
        <v>43799</v>
      </c>
      <c r="B77" s="151">
        <v>-2.2699999999999999E-3</v>
      </c>
      <c r="C77" s="151">
        <v>-1.1000000000000001E-3</v>
      </c>
      <c r="D77" s="151">
        <v>-1.1000000000000001E-3</v>
      </c>
      <c r="E77" s="151">
        <v>-8.9999999999999998E-4</v>
      </c>
      <c r="F77" s="151">
        <v>-1.74E-3</v>
      </c>
      <c r="G77" s="151">
        <v>-1.74E-3</v>
      </c>
      <c r="H77" s="151">
        <v>-8.9999999999999998E-4</v>
      </c>
      <c r="I77" s="151">
        <v>-1.1000000000000001E-3</v>
      </c>
      <c r="J77" s="151">
        <v>-3.3E-4</v>
      </c>
      <c r="K77" s="151">
        <v>-3.3E-4</v>
      </c>
      <c r="L77" s="152">
        <v>-2.0000000000000001E-4</v>
      </c>
      <c r="M77" s="152">
        <v>-2.0000000000000001E-4</v>
      </c>
      <c r="N77" s="152">
        <v>-2.0000000000000001E-4</v>
      </c>
      <c r="O77" s="152">
        <v>-2.0000000000000001E-4</v>
      </c>
      <c r="P77" s="152">
        <v>-2.0000000000000001E-4</v>
      </c>
      <c r="R77" s="2" t="s">
        <v>46</v>
      </c>
    </row>
    <row r="78" spans="1:19" hidden="1" x14ac:dyDescent="0.2">
      <c r="A78" s="145">
        <v>43830</v>
      </c>
      <c r="B78" s="151">
        <v>-2.2699999999999999E-3</v>
      </c>
      <c r="C78" s="151">
        <v>-1.1000000000000001E-3</v>
      </c>
      <c r="D78" s="151">
        <v>-1.1000000000000001E-3</v>
      </c>
      <c r="E78" s="151">
        <v>-8.9999999999999998E-4</v>
      </c>
      <c r="F78" s="151">
        <v>-1.74E-3</v>
      </c>
      <c r="G78" s="151">
        <v>-1.74E-3</v>
      </c>
      <c r="H78" s="151">
        <v>-8.9999999999999998E-4</v>
      </c>
      <c r="I78" s="151">
        <v>-1.1000000000000001E-3</v>
      </c>
      <c r="J78" s="151">
        <v>-3.3E-4</v>
      </c>
      <c r="K78" s="151">
        <v>-3.3E-4</v>
      </c>
      <c r="L78" s="152">
        <v>-2.0000000000000001E-4</v>
      </c>
      <c r="M78" s="152">
        <v>-2.0000000000000001E-4</v>
      </c>
      <c r="N78" s="152">
        <v>-2.0000000000000001E-4</v>
      </c>
      <c r="O78" s="152">
        <v>-2.0000000000000001E-4</v>
      </c>
      <c r="P78" s="152">
        <v>-2.0000000000000001E-4</v>
      </c>
    </row>
    <row r="79" spans="1:19" hidden="1" x14ac:dyDescent="0.2">
      <c r="A79" s="145">
        <v>43861</v>
      </c>
      <c r="B79" s="151">
        <v>-2.2699999999999999E-3</v>
      </c>
      <c r="C79" s="151">
        <v>-1.1000000000000001E-3</v>
      </c>
      <c r="D79" s="151">
        <v>-1.1000000000000001E-3</v>
      </c>
      <c r="E79" s="151">
        <v>-8.9999999999999998E-4</v>
      </c>
      <c r="F79" s="151">
        <v>-1.74E-3</v>
      </c>
      <c r="G79" s="151">
        <v>-1.74E-3</v>
      </c>
      <c r="H79" s="151">
        <v>-8.9999999999999998E-4</v>
      </c>
      <c r="I79" s="151">
        <v>-1.1000000000000001E-3</v>
      </c>
      <c r="J79" s="151">
        <v>-3.3E-4</v>
      </c>
      <c r="K79" s="151">
        <v>-3.3E-4</v>
      </c>
      <c r="L79" s="152">
        <v>-2.0000000000000001E-4</v>
      </c>
      <c r="M79" s="152">
        <v>-2.0000000000000001E-4</v>
      </c>
      <c r="N79" s="152">
        <v>-2.0000000000000001E-4</v>
      </c>
      <c r="O79" s="152">
        <v>-2.0000000000000001E-4</v>
      </c>
      <c r="P79" s="152">
        <v>-2.0000000000000001E-4</v>
      </c>
    </row>
    <row r="80" spans="1:19" hidden="1" x14ac:dyDescent="0.2">
      <c r="A80" s="145">
        <v>43890</v>
      </c>
      <c r="B80" s="151">
        <v>-2.2699999999999999E-3</v>
      </c>
      <c r="C80" s="151">
        <v>-1.1000000000000001E-3</v>
      </c>
      <c r="D80" s="151">
        <v>-1.1000000000000001E-3</v>
      </c>
      <c r="E80" s="151">
        <v>-8.9999999999999998E-4</v>
      </c>
      <c r="F80" s="151">
        <v>-1.74E-3</v>
      </c>
      <c r="G80" s="151">
        <v>-1.74E-3</v>
      </c>
      <c r="H80" s="151">
        <v>-8.9999999999999998E-4</v>
      </c>
      <c r="I80" s="151">
        <v>-1.1000000000000001E-3</v>
      </c>
      <c r="J80" s="151">
        <v>-3.3E-4</v>
      </c>
      <c r="K80" s="151">
        <v>-3.3E-4</v>
      </c>
      <c r="L80" s="152">
        <v>-2.0000000000000001E-4</v>
      </c>
      <c r="M80" s="152">
        <v>-2.0000000000000001E-4</v>
      </c>
      <c r="N80" s="152">
        <v>-2.0000000000000001E-4</v>
      </c>
      <c r="O80" s="152">
        <v>-2.0000000000000001E-4</v>
      </c>
      <c r="P80" s="152">
        <v>-2.0000000000000001E-4</v>
      </c>
    </row>
    <row r="81" spans="1:19" hidden="1" x14ac:dyDescent="0.2">
      <c r="A81" s="145">
        <v>43921</v>
      </c>
      <c r="B81" s="151">
        <v>-2.2699999999999999E-3</v>
      </c>
      <c r="C81" s="151">
        <v>-1.1000000000000001E-3</v>
      </c>
      <c r="D81" s="151">
        <v>-1.1000000000000001E-3</v>
      </c>
      <c r="E81" s="151">
        <v>-8.9999999999999998E-4</v>
      </c>
      <c r="F81" s="151">
        <v>-1.74E-3</v>
      </c>
      <c r="G81" s="151">
        <v>-1.74E-3</v>
      </c>
      <c r="H81" s="151">
        <v>-8.9999999999999998E-4</v>
      </c>
      <c r="I81" s="151">
        <v>-1.1000000000000001E-3</v>
      </c>
      <c r="J81" s="151">
        <v>-3.3E-4</v>
      </c>
      <c r="K81" s="151">
        <v>-3.3E-4</v>
      </c>
      <c r="L81" s="152">
        <v>-2.0000000000000001E-4</v>
      </c>
      <c r="M81" s="152">
        <v>-2.0000000000000001E-4</v>
      </c>
      <c r="N81" s="152">
        <v>-2.0000000000000001E-4</v>
      </c>
      <c r="O81" s="152">
        <v>-2.0000000000000001E-4</v>
      </c>
      <c r="P81" s="152">
        <v>-2.0000000000000001E-4</v>
      </c>
    </row>
    <row r="82" spans="1:19" hidden="1" x14ac:dyDescent="0.2">
      <c r="A82" s="145">
        <v>43951</v>
      </c>
      <c r="B82" s="151">
        <v>-2.2699999999999999E-3</v>
      </c>
      <c r="C82" s="151">
        <v>-1.1000000000000001E-3</v>
      </c>
      <c r="D82" s="151">
        <v>-1.1000000000000001E-3</v>
      </c>
      <c r="E82" s="151">
        <v>-8.9999999999999998E-4</v>
      </c>
      <c r="F82" s="151">
        <v>-1.74E-3</v>
      </c>
      <c r="G82" s="151">
        <v>-1.74E-3</v>
      </c>
      <c r="H82" s="151">
        <v>-8.9999999999999998E-4</v>
      </c>
      <c r="I82" s="151">
        <v>-1.1000000000000001E-3</v>
      </c>
      <c r="J82" s="151">
        <v>-3.3E-4</v>
      </c>
      <c r="K82" s="151">
        <v>-3.3E-4</v>
      </c>
      <c r="L82" s="152">
        <v>-2.0000000000000001E-4</v>
      </c>
      <c r="M82" s="152">
        <v>-2.0000000000000001E-4</v>
      </c>
      <c r="N82" s="152">
        <v>-2.0000000000000001E-4</v>
      </c>
      <c r="O82" s="152">
        <v>-2.0000000000000001E-4</v>
      </c>
      <c r="P82" s="152">
        <v>-2.0000000000000001E-4</v>
      </c>
    </row>
    <row r="83" spans="1:19" hidden="1" x14ac:dyDescent="0.2">
      <c r="A83" s="145">
        <v>43982</v>
      </c>
      <c r="B83" s="151">
        <v>-2.2699999999999999E-3</v>
      </c>
      <c r="C83" s="151">
        <v>-1.1000000000000001E-3</v>
      </c>
      <c r="D83" s="151">
        <v>-1.1000000000000001E-3</v>
      </c>
      <c r="E83" s="151">
        <v>-8.9999999999999998E-4</v>
      </c>
      <c r="F83" s="151">
        <v>-1.74E-3</v>
      </c>
      <c r="G83" s="151">
        <v>-1.74E-3</v>
      </c>
      <c r="H83" s="151">
        <v>-8.9999999999999998E-4</v>
      </c>
      <c r="I83" s="151">
        <v>-1.1000000000000001E-3</v>
      </c>
      <c r="J83" s="151">
        <v>-3.3E-4</v>
      </c>
      <c r="K83" s="151">
        <v>-3.3E-4</v>
      </c>
      <c r="L83" s="152">
        <v>-2.0000000000000001E-4</v>
      </c>
      <c r="M83" s="152">
        <v>-2.0000000000000001E-4</v>
      </c>
      <c r="N83" s="152">
        <v>-2.0000000000000001E-4</v>
      </c>
      <c r="O83" s="152">
        <v>-2.0000000000000001E-4</v>
      </c>
      <c r="P83" s="152">
        <v>-2.0000000000000001E-4</v>
      </c>
    </row>
    <row r="84" spans="1:19" hidden="1" x14ac:dyDescent="0.2">
      <c r="A84" s="145">
        <v>44012</v>
      </c>
      <c r="B84" s="151">
        <v>-2.2699999999999999E-3</v>
      </c>
      <c r="C84" s="151">
        <v>-1.1000000000000001E-3</v>
      </c>
      <c r="D84" s="151">
        <v>-1.1000000000000001E-3</v>
      </c>
      <c r="E84" s="151">
        <v>-8.9999999999999998E-4</v>
      </c>
      <c r="F84" s="151">
        <v>-1.74E-3</v>
      </c>
      <c r="G84" s="151">
        <v>-1.74E-3</v>
      </c>
      <c r="H84" s="151">
        <v>-8.9999999999999998E-4</v>
      </c>
      <c r="I84" s="151">
        <v>-1.1000000000000001E-3</v>
      </c>
      <c r="J84" s="151">
        <v>-3.3E-4</v>
      </c>
      <c r="K84" s="151">
        <v>-3.3E-4</v>
      </c>
      <c r="L84" s="152">
        <v>-2.0000000000000001E-4</v>
      </c>
      <c r="M84" s="152">
        <v>-2.0000000000000001E-4</v>
      </c>
      <c r="N84" s="152">
        <v>-2.0000000000000001E-4</v>
      </c>
      <c r="O84" s="152">
        <v>-2.0000000000000001E-4</v>
      </c>
      <c r="P84" s="152">
        <v>-2.0000000000000001E-4</v>
      </c>
    </row>
    <row r="85" spans="1:19" hidden="1" x14ac:dyDescent="0.2">
      <c r="A85" s="145">
        <v>44043</v>
      </c>
      <c r="B85" s="151">
        <v>-2.2699999999999999E-3</v>
      </c>
      <c r="C85" s="151">
        <v>-1.1000000000000001E-3</v>
      </c>
      <c r="D85" s="151">
        <v>-1.1000000000000001E-3</v>
      </c>
      <c r="E85" s="151">
        <v>-8.9999999999999998E-4</v>
      </c>
      <c r="F85" s="151">
        <v>-1.74E-3</v>
      </c>
      <c r="G85" s="151">
        <v>-1.74E-3</v>
      </c>
      <c r="H85" s="151">
        <v>-8.9999999999999998E-4</v>
      </c>
      <c r="I85" s="151">
        <v>-1.1000000000000001E-3</v>
      </c>
      <c r="J85" s="151">
        <v>-3.3E-4</v>
      </c>
      <c r="K85" s="151">
        <v>-3.3E-4</v>
      </c>
      <c r="L85" s="152">
        <v>-2.0000000000000001E-4</v>
      </c>
      <c r="M85" s="152">
        <v>-2.0000000000000001E-4</v>
      </c>
      <c r="N85" s="152">
        <v>-2.0000000000000001E-4</v>
      </c>
      <c r="O85" s="152">
        <v>-2.0000000000000001E-4</v>
      </c>
      <c r="P85" s="152">
        <v>-2.0000000000000001E-4</v>
      </c>
    </row>
    <row r="86" spans="1:19" hidden="1" x14ac:dyDescent="0.2">
      <c r="A86" s="145">
        <v>44074</v>
      </c>
      <c r="B86" s="151">
        <v>-2.2699999999999999E-3</v>
      </c>
      <c r="C86" s="151">
        <v>-1.1000000000000001E-3</v>
      </c>
      <c r="D86" s="151">
        <v>-1.1000000000000001E-3</v>
      </c>
      <c r="E86" s="151">
        <v>-8.9999999999999998E-4</v>
      </c>
      <c r="F86" s="151">
        <v>-1.74E-3</v>
      </c>
      <c r="G86" s="151">
        <v>-1.74E-3</v>
      </c>
      <c r="H86" s="151">
        <v>-8.9999999999999998E-4</v>
      </c>
      <c r="I86" s="151">
        <v>-1.1000000000000001E-3</v>
      </c>
      <c r="J86" s="151">
        <v>-3.3E-4</v>
      </c>
      <c r="K86" s="151">
        <v>-3.3E-4</v>
      </c>
      <c r="L86" s="152">
        <v>-2.0000000000000001E-4</v>
      </c>
      <c r="M86" s="152">
        <v>-2.0000000000000001E-4</v>
      </c>
      <c r="N86" s="152">
        <v>-2.0000000000000001E-4</v>
      </c>
      <c r="O86" s="152">
        <v>-2.0000000000000001E-4</v>
      </c>
      <c r="P86" s="152">
        <v>-2.0000000000000001E-4</v>
      </c>
    </row>
    <row r="87" spans="1:19" hidden="1" x14ac:dyDescent="0.2">
      <c r="A87" s="145">
        <v>44104</v>
      </c>
      <c r="B87" s="151">
        <v>-2.2699999999999999E-3</v>
      </c>
      <c r="C87" s="151">
        <v>-1.1000000000000001E-3</v>
      </c>
      <c r="D87" s="151">
        <v>-1.1000000000000001E-3</v>
      </c>
      <c r="E87" s="151">
        <v>-8.9999999999999998E-4</v>
      </c>
      <c r="F87" s="151">
        <v>-1.74E-3</v>
      </c>
      <c r="G87" s="151">
        <v>-1.74E-3</v>
      </c>
      <c r="H87" s="151">
        <v>-8.9999999999999998E-4</v>
      </c>
      <c r="I87" s="151">
        <v>-1.1000000000000001E-3</v>
      </c>
      <c r="J87" s="151">
        <v>-3.3E-4</v>
      </c>
      <c r="K87" s="151">
        <v>-3.3E-4</v>
      </c>
      <c r="L87" s="152">
        <v>-2.0000000000000001E-4</v>
      </c>
      <c r="M87" s="152">
        <v>-2.0000000000000001E-4</v>
      </c>
      <c r="N87" s="152">
        <v>-2.0000000000000001E-4</v>
      </c>
      <c r="O87" s="152">
        <v>-2.0000000000000001E-4</v>
      </c>
      <c r="P87" s="152">
        <v>-2.0000000000000001E-4</v>
      </c>
    </row>
    <row r="88" spans="1:19" hidden="1" x14ac:dyDescent="0.2">
      <c r="A88" s="145">
        <v>44135</v>
      </c>
      <c r="B88" s="151">
        <v>-2.2699999999999999E-3</v>
      </c>
      <c r="C88" s="151">
        <v>-1.1000000000000001E-3</v>
      </c>
      <c r="D88" s="151">
        <v>-1.1000000000000001E-3</v>
      </c>
      <c r="E88" s="151">
        <v>-8.9999999999999998E-4</v>
      </c>
      <c r="F88" s="151">
        <v>-1.74E-3</v>
      </c>
      <c r="G88" s="151">
        <v>-1.74E-3</v>
      </c>
      <c r="H88" s="151">
        <v>-8.9999999999999998E-4</v>
      </c>
      <c r="I88" s="151">
        <v>-1.1000000000000001E-3</v>
      </c>
      <c r="J88" s="151">
        <v>-3.3E-4</v>
      </c>
      <c r="K88" s="151">
        <v>-3.3E-4</v>
      </c>
      <c r="L88" s="152">
        <v>-2.0000000000000001E-4</v>
      </c>
      <c r="M88" s="152">
        <v>-2.0000000000000001E-4</v>
      </c>
      <c r="N88" s="152">
        <v>-2.0000000000000001E-4</v>
      </c>
      <c r="O88" s="152">
        <v>-2.0000000000000001E-4</v>
      </c>
      <c r="P88" s="152">
        <v>-2.0000000000000001E-4</v>
      </c>
      <c r="R88" s="2" t="s">
        <v>45</v>
      </c>
    </row>
    <row r="89" spans="1:19" hidden="1" x14ac:dyDescent="0.2">
      <c r="A89" s="145">
        <v>44165</v>
      </c>
      <c r="B89" s="151">
        <v>-2.8400000000000001E-3</v>
      </c>
      <c r="C89" s="151">
        <v>-1.3699999999999999E-3</v>
      </c>
      <c r="D89" s="151">
        <v>-1.3699999999999999E-3</v>
      </c>
      <c r="E89" s="151">
        <v>-1.1299999999999999E-3</v>
      </c>
      <c r="F89" s="151">
        <v>-2.1700000000000001E-3</v>
      </c>
      <c r="G89" s="151">
        <v>-2.1700000000000001E-3</v>
      </c>
      <c r="H89" s="151">
        <v>-1.1299999999999999E-3</v>
      </c>
      <c r="I89" s="151">
        <v>-1.3699999999999999E-3</v>
      </c>
      <c r="J89" s="151">
        <v>-4.2000000000000002E-4</v>
      </c>
      <c r="K89" s="151">
        <v>-4.2000000000000002E-4</v>
      </c>
      <c r="L89" s="152">
        <v>-2.4000000000000001E-4</v>
      </c>
      <c r="M89" s="152">
        <v>-2.4000000000000001E-4</v>
      </c>
      <c r="N89" s="152">
        <v>-2.4000000000000001E-4</v>
      </c>
      <c r="O89" s="152">
        <v>-2.4000000000000001E-4</v>
      </c>
      <c r="P89" s="152"/>
      <c r="R89" s="2" t="s">
        <v>46</v>
      </c>
      <c r="S89" s="2" t="s">
        <v>105</v>
      </c>
    </row>
    <row r="90" spans="1:19" hidden="1" x14ac:dyDescent="0.2">
      <c r="A90" s="145">
        <v>44196</v>
      </c>
      <c r="B90" s="151">
        <v>-2.8400000000000001E-3</v>
      </c>
      <c r="C90" s="151">
        <v>-1.3699999999999999E-3</v>
      </c>
      <c r="D90" s="151">
        <v>-1.3699999999999999E-3</v>
      </c>
      <c r="E90" s="151">
        <v>-1.1299999999999999E-3</v>
      </c>
      <c r="F90" s="151">
        <v>-2.1700000000000001E-3</v>
      </c>
      <c r="G90" s="151">
        <v>-2.1700000000000001E-3</v>
      </c>
      <c r="H90" s="151">
        <v>-1.1299999999999999E-3</v>
      </c>
      <c r="I90" s="151">
        <v>-1.3699999999999999E-3</v>
      </c>
      <c r="J90" s="151">
        <v>-4.2000000000000002E-4</v>
      </c>
      <c r="K90" s="151">
        <v>-4.2000000000000002E-4</v>
      </c>
      <c r="L90" s="152">
        <v>-2.4000000000000001E-4</v>
      </c>
      <c r="M90" s="152">
        <v>-2.4000000000000001E-4</v>
      </c>
      <c r="N90" s="152">
        <v>-2.4000000000000001E-4</v>
      </c>
      <c r="O90" s="152">
        <v>-2.4000000000000001E-4</v>
      </c>
      <c r="P90" s="152"/>
    </row>
    <row r="91" spans="1:19" hidden="1" x14ac:dyDescent="0.2">
      <c r="A91" s="145">
        <v>44227</v>
      </c>
      <c r="B91" s="151">
        <v>-2.8400000000000001E-3</v>
      </c>
      <c r="C91" s="151">
        <v>-1.3699999999999999E-3</v>
      </c>
      <c r="D91" s="151">
        <v>-1.3699999999999999E-3</v>
      </c>
      <c r="E91" s="151">
        <v>-1.1299999999999999E-3</v>
      </c>
      <c r="F91" s="151">
        <v>-2.1700000000000001E-3</v>
      </c>
      <c r="G91" s="151">
        <v>-2.1700000000000001E-3</v>
      </c>
      <c r="H91" s="151">
        <v>-1.1299999999999999E-3</v>
      </c>
      <c r="I91" s="151">
        <v>-1.3699999999999999E-3</v>
      </c>
      <c r="J91" s="151">
        <v>-4.2000000000000002E-4</v>
      </c>
      <c r="K91" s="151">
        <v>-4.2000000000000002E-4</v>
      </c>
      <c r="L91" s="152">
        <v>-2.4000000000000001E-4</v>
      </c>
      <c r="M91" s="152">
        <v>-2.4000000000000001E-4</v>
      </c>
      <c r="N91" s="152">
        <v>-2.4000000000000001E-4</v>
      </c>
      <c r="O91" s="152">
        <v>-2.4000000000000001E-4</v>
      </c>
      <c r="P91" s="152"/>
    </row>
    <row r="92" spans="1:19" hidden="1" x14ac:dyDescent="0.2">
      <c r="A92" s="145">
        <v>44255</v>
      </c>
      <c r="B92" s="151">
        <v>-2.8400000000000001E-3</v>
      </c>
      <c r="C92" s="151">
        <v>-1.3699999999999999E-3</v>
      </c>
      <c r="D92" s="151">
        <v>-1.3699999999999999E-3</v>
      </c>
      <c r="E92" s="151">
        <v>-1.1299999999999999E-3</v>
      </c>
      <c r="F92" s="151">
        <v>-2.1700000000000001E-3</v>
      </c>
      <c r="G92" s="151">
        <v>-2.1700000000000001E-3</v>
      </c>
      <c r="H92" s="151">
        <v>-1.1299999999999999E-3</v>
      </c>
      <c r="I92" s="151">
        <v>-1.3699999999999999E-3</v>
      </c>
      <c r="J92" s="151">
        <v>-4.2000000000000002E-4</v>
      </c>
      <c r="K92" s="151">
        <v>-4.2000000000000002E-4</v>
      </c>
      <c r="L92" s="152">
        <v>-2.4000000000000001E-4</v>
      </c>
      <c r="M92" s="152">
        <v>-2.4000000000000001E-4</v>
      </c>
      <c r="N92" s="152">
        <v>-2.4000000000000001E-4</v>
      </c>
      <c r="O92" s="152">
        <v>-2.4000000000000001E-4</v>
      </c>
      <c r="P92" s="152"/>
    </row>
    <row r="93" spans="1:19" hidden="1" x14ac:dyDescent="0.2">
      <c r="A93" s="145">
        <v>44286</v>
      </c>
      <c r="B93" s="151">
        <v>-2.8400000000000001E-3</v>
      </c>
      <c r="C93" s="151">
        <v>-1.3699999999999999E-3</v>
      </c>
      <c r="D93" s="151">
        <v>-1.3699999999999999E-3</v>
      </c>
      <c r="E93" s="151">
        <v>-1.1299999999999999E-3</v>
      </c>
      <c r="F93" s="151">
        <v>-2.1700000000000001E-3</v>
      </c>
      <c r="G93" s="151">
        <v>-2.1700000000000001E-3</v>
      </c>
      <c r="H93" s="151">
        <v>-1.1299999999999999E-3</v>
      </c>
      <c r="I93" s="151">
        <v>-1.3699999999999999E-3</v>
      </c>
      <c r="J93" s="151">
        <v>-4.2000000000000002E-4</v>
      </c>
      <c r="K93" s="151">
        <v>-4.2000000000000002E-4</v>
      </c>
      <c r="L93" s="152">
        <v>-2.4000000000000001E-4</v>
      </c>
      <c r="M93" s="152">
        <v>-2.4000000000000001E-4</v>
      </c>
      <c r="N93" s="152">
        <v>-2.4000000000000001E-4</v>
      </c>
      <c r="O93" s="152">
        <v>-2.4000000000000001E-4</v>
      </c>
      <c r="P93" s="152"/>
    </row>
    <row r="94" spans="1:19" hidden="1" x14ac:dyDescent="0.2">
      <c r="A94" s="145">
        <v>44316</v>
      </c>
      <c r="B94" s="151">
        <v>-2.8400000000000001E-3</v>
      </c>
      <c r="C94" s="151">
        <v>-1.3699999999999999E-3</v>
      </c>
      <c r="D94" s="151">
        <v>-1.3699999999999999E-3</v>
      </c>
      <c r="E94" s="151">
        <v>-1.1299999999999999E-3</v>
      </c>
      <c r="F94" s="151">
        <v>-2.1700000000000001E-3</v>
      </c>
      <c r="G94" s="151">
        <v>-2.1700000000000001E-3</v>
      </c>
      <c r="H94" s="151">
        <v>-1.1299999999999999E-3</v>
      </c>
      <c r="I94" s="151">
        <v>-1.3699999999999999E-3</v>
      </c>
      <c r="J94" s="151">
        <v>-4.2000000000000002E-4</v>
      </c>
      <c r="K94" s="151">
        <v>-4.2000000000000002E-4</v>
      </c>
      <c r="L94" s="152">
        <v>-2.4000000000000001E-4</v>
      </c>
      <c r="M94" s="152">
        <v>-2.4000000000000001E-4</v>
      </c>
      <c r="N94" s="152">
        <v>-2.4000000000000001E-4</v>
      </c>
      <c r="O94" s="152">
        <v>-2.4000000000000001E-4</v>
      </c>
      <c r="P94" s="152"/>
    </row>
    <row r="95" spans="1:19" hidden="1" x14ac:dyDescent="0.2">
      <c r="A95" s="145">
        <v>44347</v>
      </c>
      <c r="B95" s="151">
        <v>-2.8400000000000001E-3</v>
      </c>
      <c r="C95" s="151">
        <v>-1.3699999999999999E-3</v>
      </c>
      <c r="D95" s="151">
        <v>-1.3699999999999999E-3</v>
      </c>
      <c r="E95" s="151">
        <v>-1.1299999999999999E-3</v>
      </c>
      <c r="F95" s="151">
        <v>-2.1700000000000001E-3</v>
      </c>
      <c r="G95" s="151">
        <v>-2.1700000000000001E-3</v>
      </c>
      <c r="H95" s="151">
        <v>-1.1299999999999999E-3</v>
      </c>
      <c r="I95" s="151">
        <v>-1.3699999999999999E-3</v>
      </c>
      <c r="J95" s="151">
        <v>-4.2000000000000002E-4</v>
      </c>
      <c r="K95" s="151">
        <v>-4.2000000000000002E-4</v>
      </c>
      <c r="L95" s="152">
        <v>-2.4000000000000001E-4</v>
      </c>
      <c r="M95" s="152">
        <v>-2.4000000000000001E-4</v>
      </c>
      <c r="N95" s="152">
        <v>-2.4000000000000001E-4</v>
      </c>
      <c r="O95" s="152">
        <v>-2.4000000000000001E-4</v>
      </c>
      <c r="P95" s="152"/>
    </row>
    <row r="96" spans="1:19" hidden="1" x14ac:dyDescent="0.2">
      <c r="A96" s="145">
        <v>44377</v>
      </c>
      <c r="B96" s="151">
        <v>-2.8400000000000001E-3</v>
      </c>
      <c r="C96" s="151">
        <v>-1.3699999999999999E-3</v>
      </c>
      <c r="D96" s="151">
        <v>-1.3699999999999999E-3</v>
      </c>
      <c r="E96" s="151">
        <v>-1.1299999999999999E-3</v>
      </c>
      <c r="F96" s="151">
        <v>-2.1700000000000001E-3</v>
      </c>
      <c r="G96" s="151">
        <v>-2.1700000000000001E-3</v>
      </c>
      <c r="H96" s="151">
        <v>-1.1299999999999999E-3</v>
      </c>
      <c r="I96" s="151">
        <v>-1.3699999999999999E-3</v>
      </c>
      <c r="J96" s="151">
        <v>-4.2000000000000002E-4</v>
      </c>
      <c r="K96" s="151">
        <v>-4.2000000000000002E-4</v>
      </c>
      <c r="L96" s="152">
        <v>-2.4000000000000001E-4</v>
      </c>
      <c r="M96" s="152">
        <v>-2.4000000000000001E-4</v>
      </c>
      <c r="N96" s="152">
        <v>-2.4000000000000001E-4</v>
      </c>
      <c r="O96" s="152">
        <v>-2.4000000000000001E-4</v>
      </c>
      <c r="P96" s="152"/>
    </row>
    <row r="97" spans="1:19" hidden="1" x14ac:dyDescent="0.2">
      <c r="A97" s="145">
        <v>44408</v>
      </c>
      <c r="B97" s="151">
        <v>-2.8400000000000001E-3</v>
      </c>
      <c r="C97" s="151">
        <v>-1.3699999999999999E-3</v>
      </c>
      <c r="D97" s="151">
        <v>-1.3699999999999999E-3</v>
      </c>
      <c r="E97" s="151">
        <v>-1.1299999999999999E-3</v>
      </c>
      <c r="F97" s="151">
        <v>-2.1700000000000001E-3</v>
      </c>
      <c r="G97" s="151">
        <v>-2.1700000000000001E-3</v>
      </c>
      <c r="H97" s="151">
        <v>-1.1299999999999999E-3</v>
      </c>
      <c r="I97" s="151">
        <v>-1.3699999999999999E-3</v>
      </c>
      <c r="J97" s="151">
        <v>-4.2000000000000002E-4</v>
      </c>
      <c r="K97" s="151">
        <v>-4.2000000000000002E-4</v>
      </c>
      <c r="L97" s="152">
        <v>-2.4000000000000001E-4</v>
      </c>
      <c r="M97" s="152">
        <v>-2.4000000000000001E-4</v>
      </c>
      <c r="N97" s="152">
        <v>-2.4000000000000001E-4</v>
      </c>
      <c r="O97" s="152">
        <v>-2.4000000000000001E-4</v>
      </c>
      <c r="P97" s="152"/>
    </row>
    <row r="98" spans="1:19" hidden="1" x14ac:dyDescent="0.2">
      <c r="A98" s="145">
        <v>44439</v>
      </c>
      <c r="B98" s="151">
        <v>-2.8400000000000001E-3</v>
      </c>
      <c r="C98" s="151">
        <v>-1.3699999999999999E-3</v>
      </c>
      <c r="D98" s="151">
        <v>-1.3699999999999999E-3</v>
      </c>
      <c r="E98" s="151">
        <v>-1.1299999999999999E-3</v>
      </c>
      <c r="F98" s="151">
        <v>-2.1700000000000001E-3</v>
      </c>
      <c r="G98" s="151">
        <v>-2.1700000000000001E-3</v>
      </c>
      <c r="H98" s="151">
        <v>-1.1299999999999999E-3</v>
      </c>
      <c r="I98" s="151">
        <v>-1.3699999999999999E-3</v>
      </c>
      <c r="J98" s="151">
        <v>-4.2000000000000002E-4</v>
      </c>
      <c r="K98" s="151">
        <v>-4.2000000000000002E-4</v>
      </c>
      <c r="L98" s="152">
        <v>-2.4000000000000001E-4</v>
      </c>
      <c r="M98" s="152">
        <v>-2.4000000000000001E-4</v>
      </c>
      <c r="N98" s="152">
        <v>-2.4000000000000001E-4</v>
      </c>
      <c r="O98" s="152">
        <v>-2.4000000000000001E-4</v>
      </c>
      <c r="P98" s="152"/>
    </row>
    <row r="99" spans="1:19" hidden="1" x14ac:dyDescent="0.2">
      <c r="A99" s="145">
        <v>44469</v>
      </c>
      <c r="B99" s="151">
        <v>-2.8400000000000001E-3</v>
      </c>
      <c r="C99" s="151">
        <v>-1.3699999999999999E-3</v>
      </c>
      <c r="D99" s="151">
        <v>-1.3699999999999999E-3</v>
      </c>
      <c r="E99" s="151">
        <v>-1.1299999999999999E-3</v>
      </c>
      <c r="F99" s="151">
        <v>-2.1700000000000001E-3</v>
      </c>
      <c r="G99" s="151">
        <v>-2.1700000000000001E-3</v>
      </c>
      <c r="H99" s="151">
        <v>-1.1299999999999999E-3</v>
      </c>
      <c r="I99" s="151">
        <v>-1.3699999999999999E-3</v>
      </c>
      <c r="J99" s="151">
        <v>-4.2000000000000002E-4</v>
      </c>
      <c r="K99" s="151">
        <v>-4.2000000000000002E-4</v>
      </c>
      <c r="L99" s="152">
        <v>-2.4000000000000001E-4</v>
      </c>
      <c r="M99" s="152">
        <v>-2.4000000000000001E-4</v>
      </c>
      <c r="N99" s="152">
        <v>-2.4000000000000001E-4</v>
      </c>
      <c r="O99" s="152">
        <v>-2.4000000000000001E-4</v>
      </c>
      <c r="P99" s="152"/>
    </row>
    <row r="100" spans="1:19" x14ac:dyDescent="0.2">
      <c r="A100" s="145">
        <v>44500</v>
      </c>
      <c r="B100" s="151">
        <v>-2.8400000000000001E-3</v>
      </c>
      <c r="C100" s="151">
        <v>-1.3699999999999999E-3</v>
      </c>
      <c r="D100" s="151">
        <v>-1.3699999999999999E-3</v>
      </c>
      <c r="E100" s="151">
        <v>-1.1299999999999999E-3</v>
      </c>
      <c r="F100" s="151">
        <v>-2.1700000000000001E-3</v>
      </c>
      <c r="G100" s="151">
        <v>-2.1700000000000001E-3</v>
      </c>
      <c r="H100" s="151">
        <v>-1.1299999999999999E-3</v>
      </c>
      <c r="I100" s="151">
        <v>-1.3699999999999999E-3</v>
      </c>
      <c r="J100" s="151">
        <v>-4.2000000000000002E-4</v>
      </c>
      <c r="K100" s="151">
        <v>-4.2000000000000002E-4</v>
      </c>
      <c r="L100" s="152">
        <v>-2.4000000000000001E-4</v>
      </c>
      <c r="M100" s="152">
        <v>-2.4000000000000001E-4</v>
      </c>
      <c r="N100" s="152">
        <v>-2.4000000000000001E-4</v>
      </c>
      <c r="O100" s="152">
        <v>-2.4000000000000001E-4</v>
      </c>
      <c r="P100" s="152"/>
    </row>
    <row r="101" spans="1:19" x14ac:dyDescent="0.2">
      <c r="A101" s="145">
        <v>44530</v>
      </c>
      <c r="B101" s="151">
        <v>-2.0699999999999998E-3</v>
      </c>
      <c r="C101" s="151">
        <v>-1E-3</v>
      </c>
      <c r="D101" s="151">
        <v>-1E-3</v>
      </c>
      <c r="E101" s="151">
        <v>-8.1999999999999998E-4</v>
      </c>
      <c r="F101" s="151">
        <v>-1.58E-3</v>
      </c>
      <c r="G101" s="151">
        <v>-1.58E-3</v>
      </c>
      <c r="H101" s="151">
        <v>-8.1999999999999998E-4</v>
      </c>
      <c r="I101" s="151">
        <v>-1E-3</v>
      </c>
      <c r="J101" s="151">
        <v>-2.9999999999999997E-4</v>
      </c>
      <c r="K101" s="151">
        <v>-2.9999999999999997E-4</v>
      </c>
      <c r="L101" s="152">
        <v>-1.7000000000000001E-4</v>
      </c>
      <c r="M101" s="152">
        <v>-1.7000000000000001E-4</v>
      </c>
      <c r="N101" s="152">
        <v>-1.7000000000000001E-4</v>
      </c>
      <c r="O101" s="152">
        <v>-1.7000000000000001E-4</v>
      </c>
      <c r="P101" s="152"/>
      <c r="R101" s="2" t="s">
        <v>46</v>
      </c>
      <c r="S101" s="2" t="s">
        <v>105</v>
      </c>
    </row>
    <row r="102" spans="1:19" x14ac:dyDescent="0.2">
      <c r="A102" s="145">
        <v>44561</v>
      </c>
      <c r="B102" s="151">
        <v>-2.0699999999999998E-3</v>
      </c>
      <c r="C102" s="151">
        <v>-1E-3</v>
      </c>
      <c r="D102" s="151">
        <v>-1E-3</v>
      </c>
      <c r="E102" s="151">
        <v>-8.1999999999999998E-4</v>
      </c>
      <c r="F102" s="151">
        <v>-1.58E-3</v>
      </c>
      <c r="G102" s="151">
        <v>-1.58E-3</v>
      </c>
      <c r="H102" s="151">
        <v>-8.1999999999999998E-4</v>
      </c>
      <c r="I102" s="151">
        <v>-1E-3</v>
      </c>
      <c r="J102" s="151">
        <v>-2.9999999999999997E-4</v>
      </c>
      <c r="K102" s="151">
        <v>-2.9999999999999997E-4</v>
      </c>
      <c r="L102" s="152">
        <v>-1.7000000000000001E-4</v>
      </c>
      <c r="M102" s="152">
        <v>-1.7000000000000001E-4</v>
      </c>
      <c r="N102" s="152">
        <v>-1.7000000000000001E-4</v>
      </c>
      <c r="O102" s="152">
        <v>-1.7000000000000001E-4</v>
      </c>
      <c r="P102" s="152"/>
    </row>
    <row r="103" spans="1:19" x14ac:dyDescent="0.2">
      <c r="A103" s="145">
        <v>44592</v>
      </c>
      <c r="B103" s="151">
        <v>-2.0699999999999998E-3</v>
      </c>
      <c r="C103" s="151">
        <v>-1E-3</v>
      </c>
      <c r="D103" s="151">
        <v>-1E-3</v>
      </c>
      <c r="E103" s="151">
        <v>-8.1999999999999998E-4</v>
      </c>
      <c r="F103" s="151">
        <v>-1.58E-3</v>
      </c>
      <c r="G103" s="151">
        <v>-1.58E-3</v>
      </c>
      <c r="H103" s="151">
        <v>-8.1999999999999998E-4</v>
      </c>
      <c r="I103" s="151">
        <v>-1E-3</v>
      </c>
      <c r="J103" s="151">
        <v>-2.9999999999999997E-4</v>
      </c>
      <c r="K103" s="151">
        <v>-2.9999999999999997E-4</v>
      </c>
      <c r="L103" s="152">
        <v>-1.7000000000000001E-4</v>
      </c>
      <c r="M103" s="152">
        <v>-1.7000000000000001E-4</v>
      </c>
      <c r="N103" s="152">
        <v>-1.7000000000000001E-4</v>
      </c>
      <c r="O103" s="152">
        <v>-1.7000000000000001E-4</v>
      </c>
      <c r="P103" s="152"/>
    </row>
    <row r="104" spans="1:19" x14ac:dyDescent="0.2">
      <c r="A104" s="145">
        <v>44620</v>
      </c>
      <c r="B104" s="151">
        <v>-2.0699999999999998E-3</v>
      </c>
      <c r="C104" s="151">
        <v>-1E-3</v>
      </c>
      <c r="D104" s="151">
        <v>-1E-3</v>
      </c>
      <c r="E104" s="151">
        <v>-8.1999999999999998E-4</v>
      </c>
      <c r="F104" s="151">
        <v>-1.58E-3</v>
      </c>
      <c r="G104" s="151">
        <v>-1.58E-3</v>
      </c>
      <c r="H104" s="151">
        <v>-8.1999999999999998E-4</v>
      </c>
      <c r="I104" s="151">
        <v>-1E-3</v>
      </c>
      <c r="J104" s="151">
        <v>-2.9999999999999997E-4</v>
      </c>
      <c r="K104" s="151">
        <v>-2.9999999999999997E-4</v>
      </c>
      <c r="L104" s="152">
        <v>-1.7000000000000001E-4</v>
      </c>
      <c r="M104" s="152">
        <v>-1.7000000000000001E-4</v>
      </c>
      <c r="N104" s="152">
        <v>-1.7000000000000001E-4</v>
      </c>
      <c r="O104" s="152">
        <v>-1.7000000000000001E-4</v>
      </c>
      <c r="P104" s="152"/>
    </row>
    <row r="105" spans="1:19" x14ac:dyDescent="0.2">
      <c r="A105" s="145">
        <v>44651</v>
      </c>
      <c r="B105" s="151">
        <v>-2.0699999999999998E-3</v>
      </c>
      <c r="C105" s="151">
        <v>-1E-3</v>
      </c>
      <c r="D105" s="151">
        <v>-1E-3</v>
      </c>
      <c r="E105" s="151">
        <v>-8.1999999999999998E-4</v>
      </c>
      <c r="F105" s="151">
        <v>-1.58E-3</v>
      </c>
      <c r="G105" s="151">
        <v>-1.58E-3</v>
      </c>
      <c r="H105" s="151">
        <v>-8.1999999999999998E-4</v>
      </c>
      <c r="I105" s="151">
        <v>-1E-3</v>
      </c>
      <c r="J105" s="151">
        <v>-2.9999999999999997E-4</v>
      </c>
      <c r="K105" s="151">
        <v>-2.9999999999999997E-4</v>
      </c>
      <c r="L105" s="152">
        <v>-1.7000000000000001E-4</v>
      </c>
      <c r="M105" s="152">
        <v>-1.7000000000000001E-4</v>
      </c>
      <c r="N105" s="152">
        <v>-1.7000000000000001E-4</v>
      </c>
      <c r="O105" s="152">
        <v>-1.7000000000000001E-4</v>
      </c>
      <c r="P105" s="152"/>
    </row>
    <row r="106" spans="1:19" x14ac:dyDescent="0.2">
      <c r="A106" s="145">
        <v>44681</v>
      </c>
      <c r="B106" s="151">
        <v>-2.0699999999999998E-3</v>
      </c>
      <c r="C106" s="151">
        <v>-1E-3</v>
      </c>
      <c r="D106" s="151">
        <v>-1E-3</v>
      </c>
      <c r="E106" s="151">
        <v>-8.1999999999999998E-4</v>
      </c>
      <c r="F106" s="151">
        <v>-1.58E-3</v>
      </c>
      <c r="G106" s="151">
        <v>-1.58E-3</v>
      </c>
      <c r="H106" s="151">
        <v>-8.1999999999999998E-4</v>
      </c>
      <c r="I106" s="151">
        <v>-1E-3</v>
      </c>
      <c r="J106" s="151">
        <v>-2.9999999999999997E-4</v>
      </c>
      <c r="K106" s="151">
        <v>-2.9999999999999997E-4</v>
      </c>
      <c r="L106" s="152">
        <v>-1.7000000000000001E-4</v>
      </c>
      <c r="M106" s="152">
        <v>-1.7000000000000001E-4</v>
      </c>
      <c r="N106" s="152">
        <v>-1.7000000000000001E-4</v>
      </c>
      <c r="O106" s="152">
        <v>-1.7000000000000001E-4</v>
      </c>
      <c r="P106" s="152"/>
    </row>
    <row r="107" spans="1:19" x14ac:dyDescent="0.2">
      <c r="A107" s="145">
        <v>44712</v>
      </c>
      <c r="B107" s="151">
        <v>-2.0699999999999998E-3</v>
      </c>
      <c r="C107" s="151">
        <v>-1E-3</v>
      </c>
      <c r="D107" s="151">
        <v>-1E-3</v>
      </c>
      <c r="E107" s="151">
        <v>-8.1999999999999998E-4</v>
      </c>
      <c r="F107" s="151">
        <v>-1.58E-3</v>
      </c>
      <c r="G107" s="151">
        <v>-1.58E-3</v>
      </c>
      <c r="H107" s="151">
        <v>-8.1999999999999998E-4</v>
      </c>
      <c r="I107" s="151">
        <v>-1E-3</v>
      </c>
      <c r="J107" s="151">
        <v>-2.9999999999999997E-4</v>
      </c>
      <c r="K107" s="151">
        <v>-2.9999999999999997E-4</v>
      </c>
      <c r="L107" s="152">
        <v>-1.7000000000000001E-4</v>
      </c>
      <c r="M107" s="152">
        <v>-1.7000000000000001E-4</v>
      </c>
      <c r="N107" s="152">
        <v>-1.7000000000000001E-4</v>
      </c>
      <c r="O107" s="152">
        <v>-1.7000000000000001E-4</v>
      </c>
      <c r="P107" s="152"/>
    </row>
    <row r="108" spans="1:19" x14ac:dyDescent="0.2">
      <c r="A108" s="145">
        <v>44742</v>
      </c>
      <c r="B108" s="151">
        <v>-2.0699999999999998E-3</v>
      </c>
      <c r="C108" s="151">
        <v>-1E-3</v>
      </c>
      <c r="D108" s="151">
        <v>-1E-3</v>
      </c>
      <c r="E108" s="151">
        <v>-8.1999999999999998E-4</v>
      </c>
      <c r="F108" s="151">
        <v>-1.58E-3</v>
      </c>
      <c r="G108" s="151">
        <v>-1.58E-3</v>
      </c>
      <c r="H108" s="151">
        <v>-8.1999999999999998E-4</v>
      </c>
      <c r="I108" s="151">
        <v>-1E-3</v>
      </c>
      <c r="J108" s="151">
        <v>-2.9999999999999997E-4</v>
      </c>
      <c r="K108" s="151">
        <v>-2.9999999999999997E-4</v>
      </c>
      <c r="L108" s="152">
        <v>-1.7000000000000001E-4</v>
      </c>
      <c r="M108" s="152">
        <v>-1.7000000000000001E-4</v>
      </c>
      <c r="N108" s="152">
        <v>-1.7000000000000001E-4</v>
      </c>
      <c r="O108" s="152">
        <v>-1.7000000000000001E-4</v>
      </c>
      <c r="P108" s="152"/>
    </row>
    <row r="109" spans="1:19" x14ac:dyDescent="0.2">
      <c r="A109" s="145">
        <v>44773</v>
      </c>
      <c r="B109" s="151">
        <v>-2.0699999999999998E-3</v>
      </c>
      <c r="C109" s="151">
        <v>-1E-3</v>
      </c>
      <c r="D109" s="151">
        <v>-1E-3</v>
      </c>
      <c r="E109" s="151">
        <v>-8.1999999999999998E-4</v>
      </c>
      <c r="F109" s="151">
        <v>-1.58E-3</v>
      </c>
      <c r="G109" s="151">
        <v>-1.58E-3</v>
      </c>
      <c r="H109" s="151">
        <v>-8.1999999999999998E-4</v>
      </c>
      <c r="I109" s="151">
        <v>-1E-3</v>
      </c>
      <c r="J109" s="151">
        <v>-2.9999999999999997E-4</v>
      </c>
      <c r="K109" s="151">
        <v>-2.9999999999999997E-4</v>
      </c>
      <c r="L109" s="152">
        <v>-1.7000000000000001E-4</v>
      </c>
      <c r="M109" s="152">
        <v>-1.7000000000000001E-4</v>
      </c>
      <c r="N109" s="152">
        <v>-1.7000000000000001E-4</v>
      </c>
      <c r="O109" s="152">
        <v>-1.7000000000000001E-4</v>
      </c>
      <c r="P109" s="152"/>
    </row>
    <row r="110" spans="1:19" x14ac:dyDescent="0.2">
      <c r="A110" s="145">
        <v>44804</v>
      </c>
      <c r="B110" s="151">
        <v>-2.0699999999999998E-3</v>
      </c>
      <c r="C110" s="151">
        <v>-1E-3</v>
      </c>
      <c r="D110" s="151">
        <v>-1E-3</v>
      </c>
      <c r="E110" s="151">
        <v>-8.1999999999999998E-4</v>
      </c>
      <c r="F110" s="151">
        <v>-1.58E-3</v>
      </c>
      <c r="G110" s="151">
        <v>-1.58E-3</v>
      </c>
      <c r="H110" s="151">
        <v>-8.1999999999999998E-4</v>
      </c>
      <c r="I110" s="151">
        <v>-1E-3</v>
      </c>
      <c r="J110" s="151">
        <v>-2.9999999999999997E-4</v>
      </c>
      <c r="K110" s="151">
        <v>-2.9999999999999997E-4</v>
      </c>
      <c r="L110" s="152">
        <v>-1.7000000000000001E-4</v>
      </c>
      <c r="M110" s="152">
        <v>-1.7000000000000001E-4</v>
      </c>
      <c r="N110" s="152">
        <v>-1.7000000000000001E-4</v>
      </c>
      <c r="O110" s="152">
        <v>-1.7000000000000001E-4</v>
      </c>
      <c r="P110" s="152"/>
    </row>
    <row r="111" spans="1:19" x14ac:dyDescent="0.2">
      <c r="A111" s="145">
        <v>44834</v>
      </c>
      <c r="B111" s="151">
        <v>-2.0699999999999998E-3</v>
      </c>
      <c r="C111" s="151">
        <v>-1E-3</v>
      </c>
      <c r="D111" s="151">
        <v>-1E-3</v>
      </c>
      <c r="E111" s="151">
        <v>-8.1999999999999998E-4</v>
      </c>
      <c r="F111" s="151">
        <v>-1.58E-3</v>
      </c>
      <c r="G111" s="151">
        <v>-1.58E-3</v>
      </c>
      <c r="H111" s="151">
        <v>-8.1999999999999998E-4</v>
      </c>
      <c r="I111" s="151">
        <v>-1E-3</v>
      </c>
      <c r="J111" s="151">
        <v>-2.9999999999999997E-4</v>
      </c>
      <c r="K111" s="151">
        <v>-2.9999999999999997E-4</v>
      </c>
      <c r="L111" s="152">
        <v>-1.7000000000000001E-4</v>
      </c>
      <c r="M111" s="152">
        <v>-1.7000000000000001E-4</v>
      </c>
      <c r="N111" s="152">
        <v>-1.7000000000000001E-4</v>
      </c>
      <c r="O111" s="152">
        <v>-1.7000000000000001E-4</v>
      </c>
      <c r="P111" s="152"/>
    </row>
    <row r="112" spans="1:19" x14ac:dyDescent="0.2">
      <c r="A112" s="145">
        <v>44865</v>
      </c>
      <c r="B112" s="151">
        <v>-2.0699999999999998E-3</v>
      </c>
      <c r="C112" s="151">
        <v>-1E-3</v>
      </c>
      <c r="D112" s="151">
        <v>-1E-3</v>
      </c>
      <c r="E112" s="151">
        <v>-8.1999999999999998E-4</v>
      </c>
      <c r="F112" s="151">
        <v>-1.58E-3</v>
      </c>
      <c r="G112" s="151">
        <v>-1.58E-3</v>
      </c>
      <c r="H112" s="151">
        <v>-8.1999999999999998E-4</v>
      </c>
      <c r="I112" s="151">
        <v>-1E-3</v>
      </c>
      <c r="J112" s="151">
        <v>-2.9999999999999997E-4</v>
      </c>
      <c r="K112" s="151">
        <v>-2.9999999999999997E-4</v>
      </c>
      <c r="L112" s="152">
        <v>-1.7000000000000001E-4</v>
      </c>
      <c r="M112" s="152">
        <v>-1.7000000000000001E-4</v>
      </c>
      <c r="N112" s="152">
        <v>-1.7000000000000001E-4</v>
      </c>
      <c r="O112" s="152">
        <v>-1.7000000000000001E-4</v>
      </c>
      <c r="P112" s="152"/>
    </row>
    <row r="114" spans="1:30" x14ac:dyDescent="0.2">
      <c r="B114" s="150"/>
      <c r="C114" s="150"/>
      <c r="D114" s="150"/>
      <c r="E114" s="150"/>
      <c r="F114" s="150"/>
      <c r="G114" s="150"/>
      <c r="H114" s="150"/>
      <c r="I114" s="150"/>
      <c r="J114" s="150"/>
      <c r="K114" s="25"/>
      <c r="L114" s="25"/>
      <c r="M114" s="25"/>
      <c r="N114" s="25"/>
      <c r="O114" s="25"/>
      <c r="P114" s="25"/>
    </row>
    <row r="115" spans="1:30" x14ac:dyDescent="0.2">
      <c r="B115" s="139">
        <v>503</v>
      </c>
      <c r="C115" s="139" t="s">
        <v>38</v>
      </c>
      <c r="D115" s="139">
        <v>505</v>
      </c>
      <c r="E115" s="139">
        <v>511</v>
      </c>
      <c r="F115" s="139" t="s">
        <v>39</v>
      </c>
      <c r="G115" s="139">
        <v>504</v>
      </c>
      <c r="H115" s="139" t="s">
        <v>41</v>
      </c>
      <c r="I115" s="139" t="s">
        <v>38</v>
      </c>
      <c r="J115" s="139">
        <v>570</v>
      </c>
      <c r="K115" s="139">
        <v>570</v>
      </c>
      <c r="L115" s="142" t="s">
        <v>42</v>
      </c>
      <c r="M115" s="142">
        <v>6631</v>
      </c>
      <c r="N115" s="142">
        <v>6633</v>
      </c>
      <c r="O115" s="142">
        <v>6635</v>
      </c>
      <c r="P115" s="142">
        <v>916</v>
      </c>
      <c r="R115" s="144" t="s">
        <v>51</v>
      </c>
      <c r="T115" s="142">
        <v>4800</v>
      </c>
      <c r="U115" s="142">
        <v>4809</v>
      </c>
      <c r="V115" s="142">
        <v>4810</v>
      </c>
      <c r="W115" s="142">
        <v>4811</v>
      </c>
      <c r="X115" s="142">
        <v>4813</v>
      </c>
      <c r="Y115" s="142" t="s">
        <v>12</v>
      </c>
      <c r="Z115" s="142">
        <v>4861</v>
      </c>
      <c r="AA115" s="142">
        <v>4863</v>
      </c>
      <c r="AB115" s="142" t="s">
        <v>14</v>
      </c>
      <c r="AC115" s="144" t="s">
        <v>51</v>
      </c>
    </row>
    <row r="116" spans="1:30" hidden="1" x14ac:dyDescent="0.2">
      <c r="A116" s="145">
        <f>'TAX Interest Rates'!A17</f>
        <v>43343</v>
      </c>
      <c r="B116" s="153">
        <f t="shared" ref="B116:P116" si="9">ROUND(-B4*B62,2)</f>
        <v>2332.73</v>
      </c>
      <c r="C116" s="153">
        <f t="shared" si="9"/>
        <v>0</v>
      </c>
      <c r="D116" s="153">
        <f t="shared" si="9"/>
        <v>182.48</v>
      </c>
      <c r="E116" s="153">
        <f t="shared" si="9"/>
        <v>82.3</v>
      </c>
      <c r="F116" s="153">
        <f t="shared" si="9"/>
        <v>0.28000000000000003</v>
      </c>
      <c r="G116" s="153">
        <f t="shared" si="9"/>
        <v>1774.85</v>
      </c>
      <c r="H116" s="153">
        <f t="shared" si="9"/>
        <v>127.71</v>
      </c>
      <c r="I116" s="153">
        <f t="shared" si="9"/>
        <v>0.41</v>
      </c>
      <c r="J116" s="153">
        <f t="shared" si="9"/>
        <v>0</v>
      </c>
      <c r="K116" s="153">
        <f t="shared" si="9"/>
        <v>32.69</v>
      </c>
      <c r="L116" s="153">
        <f t="shared" si="9"/>
        <v>5385</v>
      </c>
      <c r="M116" s="153">
        <f t="shared" si="9"/>
        <v>0</v>
      </c>
      <c r="N116" s="153">
        <f t="shared" si="9"/>
        <v>2552.5100000000002</v>
      </c>
      <c r="O116" s="153">
        <f t="shared" si="9"/>
        <v>1058.7</v>
      </c>
      <c r="P116" s="153">
        <f t="shared" si="9"/>
        <v>2878.58</v>
      </c>
      <c r="R116" s="2">
        <f t="shared" ref="R116:R127" si="10">SUM(B116:Q116)</f>
        <v>16408.240000000002</v>
      </c>
      <c r="T116" s="2">
        <f>+B116</f>
        <v>2332.73</v>
      </c>
      <c r="U116" s="2">
        <f>+C116+D116+E116</f>
        <v>264.77999999999997</v>
      </c>
      <c r="V116" s="2">
        <f>+F116+G116+H116</f>
        <v>1902.84</v>
      </c>
      <c r="W116" s="2">
        <f>+I116+J116</f>
        <v>0.41</v>
      </c>
      <c r="X116" s="2">
        <f>+K116</f>
        <v>32.69</v>
      </c>
      <c r="Y116" s="2">
        <f>SUM(T116:X116)</f>
        <v>4533.45</v>
      </c>
      <c r="Z116" s="2">
        <f>+L116</f>
        <v>5385</v>
      </c>
      <c r="AA116" s="2">
        <f>+M116+N116+O116+P116</f>
        <v>6489.79</v>
      </c>
      <c r="AB116" s="2">
        <f>SUM(Z116:AA116)</f>
        <v>11874.79</v>
      </c>
      <c r="AC116" s="2">
        <f>+Y116+AB116</f>
        <v>16408.240000000002</v>
      </c>
      <c r="AD116" s="2">
        <f>+R116-Y116-AB116</f>
        <v>0</v>
      </c>
    </row>
    <row r="117" spans="1:30" hidden="1" x14ac:dyDescent="0.2">
      <c r="A117" s="145">
        <f>'TAX Interest Rates'!A18</f>
        <v>43373</v>
      </c>
      <c r="B117" s="153">
        <f t="shared" ref="B117:P117" si="11">ROUND(-B5*B63,2)</f>
        <v>6573.5</v>
      </c>
      <c r="C117" s="153">
        <f t="shared" si="11"/>
        <v>-0.41</v>
      </c>
      <c r="D117" s="153">
        <f t="shared" si="11"/>
        <v>738.74</v>
      </c>
      <c r="E117" s="153">
        <f t="shared" si="11"/>
        <v>224.14</v>
      </c>
      <c r="F117" s="153">
        <f t="shared" si="11"/>
        <v>0.9</v>
      </c>
      <c r="G117" s="153">
        <f t="shared" si="11"/>
        <v>5011.53</v>
      </c>
      <c r="H117" s="153">
        <f t="shared" si="11"/>
        <v>357.31</v>
      </c>
      <c r="I117" s="153">
        <f t="shared" si="11"/>
        <v>0.62</v>
      </c>
      <c r="J117" s="153">
        <f t="shared" si="11"/>
        <v>0</v>
      </c>
      <c r="K117" s="153">
        <f t="shared" si="11"/>
        <v>41.53</v>
      </c>
      <c r="L117" s="153">
        <f t="shared" si="11"/>
        <v>6092.22</v>
      </c>
      <c r="M117" s="153">
        <f t="shared" si="11"/>
        <v>3062.58</v>
      </c>
      <c r="N117" s="153">
        <f t="shared" si="11"/>
        <v>2876.21</v>
      </c>
      <c r="O117" s="153">
        <f t="shared" si="11"/>
        <v>416.18</v>
      </c>
      <c r="P117" s="153">
        <f t="shared" si="11"/>
        <v>0</v>
      </c>
      <c r="R117" s="2">
        <f t="shared" si="10"/>
        <v>25395.050000000003</v>
      </c>
      <c r="T117" s="2">
        <f t="shared" ref="T117:T127" si="12">+B117</f>
        <v>6573.5</v>
      </c>
      <c r="U117" s="2">
        <f t="shared" ref="U117:U127" si="13">+C117+D117+E117</f>
        <v>962.47</v>
      </c>
      <c r="V117" s="2">
        <f t="shared" ref="V117:V127" si="14">+F117+G117+H117</f>
        <v>5369.74</v>
      </c>
      <c r="W117" s="2">
        <f t="shared" ref="W117:W127" si="15">+I117+J117</f>
        <v>0.62</v>
      </c>
      <c r="X117" s="2">
        <f t="shared" ref="X117:X127" si="16">+K117</f>
        <v>41.53</v>
      </c>
      <c r="Y117" s="2">
        <f t="shared" ref="Y117:Y127" si="17">SUM(T117:X117)</f>
        <v>12947.86</v>
      </c>
      <c r="Z117" s="2">
        <f t="shared" ref="Z117:Z127" si="18">+L117</f>
        <v>6092.22</v>
      </c>
      <c r="AA117" s="2">
        <f t="shared" ref="AA117:AA127" si="19">+M117+N117+O117+P117</f>
        <v>6354.97</v>
      </c>
      <c r="AB117" s="2">
        <f t="shared" ref="AB117:AB127" si="20">SUM(Z117:AA117)</f>
        <v>12447.19</v>
      </c>
      <c r="AC117" s="2">
        <f t="shared" ref="AC117:AC127" si="21">+Y117+AB117</f>
        <v>25395.050000000003</v>
      </c>
      <c r="AD117" s="2">
        <f t="shared" ref="AD117:AD127" si="22">+R117-Y117-AB117</f>
        <v>0</v>
      </c>
    </row>
    <row r="118" spans="1:30" hidden="1" x14ac:dyDescent="0.2">
      <c r="A118" s="145">
        <f>'TAX Interest Rates'!A19</f>
        <v>43404</v>
      </c>
      <c r="B118" s="153">
        <f t="shared" ref="B118:P118" si="23">ROUND(-B6*B64,2)</f>
        <v>12418.65</v>
      </c>
      <c r="C118" s="153">
        <f t="shared" si="23"/>
        <v>0</v>
      </c>
      <c r="D118" s="153">
        <f t="shared" si="23"/>
        <v>1176.01</v>
      </c>
      <c r="E118" s="153">
        <f t="shared" si="23"/>
        <v>415.83</v>
      </c>
      <c r="F118" s="153">
        <f t="shared" si="23"/>
        <v>3.74</v>
      </c>
      <c r="G118" s="153">
        <f t="shared" si="23"/>
        <v>7667.58</v>
      </c>
      <c r="H118" s="153">
        <f t="shared" si="23"/>
        <v>627.4</v>
      </c>
      <c r="I118" s="153">
        <f t="shared" si="23"/>
        <v>0.02</v>
      </c>
      <c r="J118" s="153">
        <f t="shared" si="23"/>
        <v>0</v>
      </c>
      <c r="K118" s="153">
        <f t="shared" si="23"/>
        <v>69.209999999999994</v>
      </c>
      <c r="L118" s="153">
        <f t="shared" si="23"/>
        <v>6489.72</v>
      </c>
      <c r="M118" s="153">
        <f t="shared" si="23"/>
        <v>1542.86</v>
      </c>
      <c r="N118" s="153">
        <f t="shared" si="23"/>
        <v>806.82</v>
      </c>
      <c r="O118" s="153">
        <f t="shared" si="23"/>
        <v>400.31</v>
      </c>
      <c r="P118" s="153">
        <f t="shared" si="23"/>
        <v>0</v>
      </c>
      <c r="R118" s="2">
        <f t="shared" si="10"/>
        <v>31618.15</v>
      </c>
      <c r="T118" s="2">
        <f t="shared" si="12"/>
        <v>12418.65</v>
      </c>
      <c r="U118" s="2">
        <f t="shared" si="13"/>
        <v>1591.84</v>
      </c>
      <c r="V118" s="2">
        <f t="shared" si="14"/>
        <v>8298.7199999999993</v>
      </c>
      <c r="W118" s="2">
        <f t="shared" si="15"/>
        <v>0.02</v>
      </c>
      <c r="X118" s="2">
        <f t="shared" si="16"/>
        <v>69.209999999999994</v>
      </c>
      <c r="Y118" s="2">
        <f t="shared" si="17"/>
        <v>22378.44</v>
      </c>
      <c r="Z118" s="2">
        <f t="shared" si="18"/>
        <v>6489.72</v>
      </c>
      <c r="AA118" s="2">
        <f t="shared" si="19"/>
        <v>2749.99</v>
      </c>
      <c r="AB118" s="2">
        <f t="shared" si="20"/>
        <v>9239.7099999999991</v>
      </c>
      <c r="AC118" s="2">
        <f t="shared" si="21"/>
        <v>31618.149999999998</v>
      </c>
      <c r="AD118" s="2">
        <f t="shared" si="22"/>
        <v>0</v>
      </c>
    </row>
    <row r="119" spans="1:30" hidden="1" x14ac:dyDescent="0.2">
      <c r="A119" s="145">
        <f>'TAX Interest Rates'!A20</f>
        <v>43434</v>
      </c>
      <c r="B119" s="153">
        <f t="shared" ref="B119:P119" si="24">ROUND(-B7*B64,2)</f>
        <v>13402.33</v>
      </c>
      <c r="C119" s="153">
        <f t="shared" si="24"/>
        <v>0</v>
      </c>
      <c r="D119" s="153">
        <f t="shared" si="24"/>
        <v>788.06</v>
      </c>
      <c r="E119" s="153">
        <f t="shared" si="24"/>
        <v>99.94</v>
      </c>
      <c r="F119" s="153">
        <f t="shared" si="24"/>
        <v>0</v>
      </c>
      <c r="G119" s="153">
        <f t="shared" si="24"/>
        <v>7256.43</v>
      </c>
      <c r="H119" s="153">
        <f t="shared" si="24"/>
        <v>427.63</v>
      </c>
      <c r="I119" s="153">
        <f t="shared" si="24"/>
        <v>0</v>
      </c>
      <c r="J119" s="153">
        <f t="shared" si="24"/>
        <v>0</v>
      </c>
      <c r="K119" s="153">
        <f t="shared" si="24"/>
        <v>0</v>
      </c>
      <c r="L119" s="153">
        <f t="shared" si="24"/>
        <v>0</v>
      </c>
      <c r="M119" s="153">
        <f t="shared" si="24"/>
        <v>0</v>
      </c>
      <c r="N119" s="153">
        <f t="shared" si="24"/>
        <v>0</v>
      </c>
      <c r="O119" s="153">
        <f t="shared" si="24"/>
        <v>0</v>
      </c>
      <c r="P119" s="153">
        <f t="shared" si="24"/>
        <v>0</v>
      </c>
      <c r="R119" s="2">
        <f t="shared" ref="R119" si="25">SUM(B119:Q119)</f>
        <v>21974.390000000003</v>
      </c>
      <c r="S119" s="2" t="s">
        <v>45</v>
      </c>
      <c r="T119" s="2">
        <f t="shared" ref="T119" si="26">+B119</f>
        <v>13402.33</v>
      </c>
      <c r="U119" s="2">
        <f t="shared" ref="U119" si="27">+C119+D119+E119</f>
        <v>888</v>
      </c>
      <c r="V119" s="2">
        <f t="shared" ref="V119" si="28">+F119+G119+H119</f>
        <v>7684.06</v>
      </c>
      <c r="W119" s="2">
        <f t="shared" ref="W119" si="29">+I119+J119</f>
        <v>0</v>
      </c>
      <c r="X119" s="2">
        <f t="shared" ref="X119" si="30">+K119</f>
        <v>0</v>
      </c>
      <c r="Y119" s="2">
        <f t="shared" si="17"/>
        <v>21974.39</v>
      </c>
      <c r="Z119" s="2">
        <f t="shared" si="18"/>
        <v>0</v>
      </c>
      <c r="AA119" s="2">
        <f t="shared" si="19"/>
        <v>0</v>
      </c>
      <c r="AB119" s="2">
        <f t="shared" si="20"/>
        <v>0</v>
      </c>
      <c r="AC119" s="2">
        <f t="shared" si="21"/>
        <v>21974.39</v>
      </c>
      <c r="AD119" s="2">
        <f t="shared" si="22"/>
        <v>3.637978807091713E-12</v>
      </c>
    </row>
    <row r="120" spans="1:30" hidden="1" x14ac:dyDescent="0.2">
      <c r="A120" s="145">
        <f>'TAX Interest Rates'!A20</f>
        <v>43434</v>
      </c>
      <c r="B120" s="153">
        <f t="shared" ref="B120:P120" si="31">ROUND(-B8*B65,2)</f>
        <v>8148.27</v>
      </c>
      <c r="C120" s="153">
        <f t="shared" si="31"/>
        <v>0.08</v>
      </c>
      <c r="D120" s="153">
        <f t="shared" si="31"/>
        <v>363.66</v>
      </c>
      <c r="E120" s="153">
        <f t="shared" si="31"/>
        <v>77.569999999999993</v>
      </c>
      <c r="F120" s="153">
        <f t="shared" si="31"/>
        <v>6.69</v>
      </c>
      <c r="G120" s="153">
        <f t="shared" si="31"/>
        <v>4096.49</v>
      </c>
      <c r="H120" s="153">
        <f t="shared" si="31"/>
        <v>331.93</v>
      </c>
      <c r="I120" s="153">
        <f t="shared" si="31"/>
        <v>0</v>
      </c>
      <c r="J120" s="153">
        <f t="shared" si="31"/>
        <v>0</v>
      </c>
      <c r="K120" s="153">
        <f t="shared" si="31"/>
        <v>80.540000000000006</v>
      </c>
      <c r="L120" s="153">
        <f t="shared" si="31"/>
        <v>5708.72</v>
      </c>
      <c r="M120" s="153">
        <f t="shared" si="31"/>
        <v>16.89</v>
      </c>
      <c r="N120" s="153">
        <f t="shared" si="31"/>
        <v>6.21</v>
      </c>
      <c r="O120" s="153">
        <f t="shared" si="31"/>
        <v>7.46</v>
      </c>
      <c r="P120" s="153">
        <f t="shared" si="31"/>
        <v>0</v>
      </c>
      <c r="R120" s="2">
        <f t="shared" si="10"/>
        <v>18844.509999999998</v>
      </c>
      <c r="S120" s="2" t="s">
        <v>46</v>
      </c>
      <c r="T120" s="2">
        <f t="shared" si="12"/>
        <v>8148.27</v>
      </c>
      <c r="U120" s="2">
        <f t="shared" si="13"/>
        <v>441.31</v>
      </c>
      <c r="V120" s="2">
        <f t="shared" si="14"/>
        <v>4435.1099999999997</v>
      </c>
      <c r="W120" s="2">
        <f t="shared" si="15"/>
        <v>0</v>
      </c>
      <c r="X120" s="2">
        <f t="shared" si="16"/>
        <v>80.540000000000006</v>
      </c>
      <c r="Y120" s="2">
        <f t="shared" si="17"/>
        <v>13105.23</v>
      </c>
      <c r="Z120" s="2">
        <f t="shared" si="18"/>
        <v>5708.72</v>
      </c>
      <c r="AA120" s="2">
        <f t="shared" si="19"/>
        <v>30.560000000000002</v>
      </c>
      <c r="AB120" s="2">
        <f t="shared" si="20"/>
        <v>5739.2800000000007</v>
      </c>
      <c r="AC120" s="2">
        <f t="shared" si="21"/>
        <v>18844.510000000002</v>
      </c>
      <c r="AD120" s="2">
        <f t="shared" si="22"/>
        <v>0</v>
      </c>
    </row>
    <row r="121" spans="1:30" hidden="1" x14ac:dyDescent="0.2">
      <c r="A121" s="145">
        <f>'TAX Interest Rates'!A21</f>
        <v>43465</v>
      </c>
      <c r="B121" s="153">
        <f t="shared" ref="B121:P121" si="32">ROUND(-B9*B66,2)</f>
        <v>42918.63</v>
      </c>
      <c r="C121" s="153">
        <f t="shared" si="32"/>
        <v>-0.08</v>
      </c>
      <c r="D121" s="153">
        <f t="shared" si="32"/>
        <v>1799.86</v>
      </c>
      <c r="E121" s="153">
        <f t="shared" si="32"/>
        <v>305.29000000000002</v>
      </c>
      <c r="F121" s="153">
        <f t="shared" si="32"/>
        <v>9.49</v>
      </c>
      <c r="G121" s="153">
        <f t="shared" si="32"/>
        <v>22118.17</v>
      </c>
      <c r="H121" s="153">
        <f t="shared" si="32"/>
        <v>1383.65</v>
      </c>
      <c r="I121" s="153">
        <f t="shared" si="32"/>
        <v>0.17</v>
      </c>
      <c r="J121" s="153">
        <f t="shared" si="32"/>
        <v>0</v>
      </c>
      <c r="K121" s="153">
        <f t="shared" si="32"/>
        <v>96.38</v>
      </c>
      <c r="L121" s="153">
        <f t="shared" si="32"/>
        <v>6456.31</v>
      </c>
      <c r="M121" s="153">
        <f t="shared" si="32"/>
        <v>3164.17</v>
      </c>
      <c r="N121" s="153">
        <f t="shared" si="32"/>
        <v>979.14</v>
      </c>
      <c r="O121" s="153">
        <f t="shared" si="32"/>
        <v>12.65</v>
      </c>
      <c r="P121" s="153">
        <f t="shared" si="32"/>
        <v>0</v>
      </c>
      <c r="R121" s="2">
        <f t="shared" si="10"/>
        <v>79243.829999999973</v>
      </c>
      <c r="T121" s="2">
        <f t="shared" si="12"/>
        <v>42918.63</v>
      </c>
      <c r="U121" s="2">
        <f t="shared" si="13"/>
        <v>2105.0700000000002</v>
      </c>
      <c r="V121" s="2">
        <f t="shared" si="14"/>
        <v>23511.31</v>
      </c>
      <c r="W121" s="2">
        <f t="shared" si="15"/>
        <v>0.17</v>
      </c>
      <c r="X121" s="2">
        <f t="shared" si="16"/>
        <v>96.38</v>
      </c>
      <c r="Y121" s="2">
        <f t="shared" si="17"/>
        <v>68631.56</v>
      </c>
      <c r="Z121" s="2">
        <f t="shared" si="18"/>
        <v>6456.31</v>
      </c>
      <c r="AA121" s="2">
        <f t="shared" si="19"/>
        <v>4155.96</v>
      </c>
      <c r="AB121" s="2">
        <f t="shared" si="20"/>
        <v>10612.27</v>
      </c>
      <c r="AC121" s="2">
        <f t="shared" si="21"/>
        <v>79243.83</v>
      </c>
      <c r="AD121" s="2">
        <f t="shared" si="22"/>
        <v>-2.5465851649641991E-11</v>
      </c>
    </row>
    <row r="122" spans="1:30" hidden="1" x14ac:dyDescent="0.2">
      <c r="A122" s="145">
        <f>'TAX Interest Rates'!A22</f>
        <v>43496</v>
      </c>
      <c r="B122" s="153">
        <f t="shared" ref="B122:P122" si="33">ROUND(-B10*B67,2)</f>
        <v>48952.46</v>
      </c>
      <c r="C122" s="153">
        <f t="shared" si="33"/>
        <v>0</v>
      </c>
      <c r="D122" s="153">
        <f t="shared" si="33"/>
        <v>1749.13</v>
      </c>
      <c r="E122" s="153">
        <f t="shared" si="33"/>
        <v>330.96</v>
      </c>
      <c r="F122" s="153">
        <f t="shared" si="33"/>
        <v>8.93</v>
      </c>
      <c r="G122" s="153">
        <f t="shared" si="33"/>
        <v>25317.68</v>
      </c>
      <c r="H122" s="153">
        <f t="shared" si="33"/>
        <v>1477.64</v>
      </c>
      <c r="I122" s="153">
        <f t="shared" si="33"/>
        <v>0.01</v>
      </c>
      <c r="J122" s="153">
        <f t="shared" si="33"/>
        <v>0</v>
      </c>
      <c r="K122" s="153">
        <f t="shared" si="33"/>
        <v>95.76</v>
      </c>
      <c r="L122" s="153">
        <f t="shared" si="33"/>
        <v>6836.93</v>
      </c>
      <c r="M122" s="153">
        <f t="shared" si="33"/>
        <v>3287.79</v>
      </c>
      <c r="N122" s="153">
        <f t="shared" si="33"/>
        <v>899.38</v>
      </c>
      <c r="O122" s="153">
        <f t="shared" si="33"/>
        <v>23.34</v>
      </c>
      <c r="P122" s="153">
        <f t="shared" si="33"/>
        <v>0</v>
      </c>
      <c r="R122" s="2">
        <f t="shared" si="10"/>
        <v>88980.01</v>
      </c>
      <c r="T122" s="2">
        <f t="shared" si="12"/>
        <v>48952.46</v>
      </c>
      <c r="U122" s="2">
        <f t="shared" si="13"/>
        <v>2080.09</v>
      </c>
      <c r="V122" s="2">
        <f t="shared" si="14"/>
        <v>26804.25</v>
      </c>
      <c r="W122" s="2">
        <f t="shared" si="15"/>
        <v>0.01</v>
      </c>
      <c r="X122" s="2">
        <f t="shared" si="16"/>
        <v>95.76</v>
      </c>
      <c r="Y122" s="2">
        <f t="shared" si="17"/>
        <v>77932.569999999992</v>
      </c>
      <c r="Z122" s="2">
        <f t="shared" si="18"/>
        <v>6836.93</v>
      </c>
      <c r="AA122" s="2">
        <f t="shared" si="19"/>
        <v>4210.51</v>
      </c>
      <c r="AB122" s="2">
        <f t="shared" si="20"/>
        <v>11047.44</v>
      </c>
      <c r="AC122" s="2">
        <f t="shared" si="21"/>
        <v>88980.01</v>
      </c>
      <c r="AD122" s="2">
        <f t="shared" si="22"/>
        <v>0</v>
      </c>
    </row>
    <row r="123" spans="1:30" hidden="1" x14ac:dyDescent="0.2">
      <c r="A123" s="145">
        <f>'TAX Interest Rates'!A23</f>
        <v>43524</v>
      </c>
      <c r="B123" s="153">
        <f t="shared" ref="B123:P123" si="34">ROUND(-B11*B68,2)</f>
        <v>52482.76</v>
      </c>
      <c r="C123" s="153">
        <f t="shared" si="34"/>
        <v>0</v>
      </c>
      <c r="D123" s="153">
        <f t="shared" si="34"/>
        <v>1971.7</v>
      </c>
      <c r="E123" s="153">
        <f t="shared" si="34"/>
        <v>325.97000000000003</v>
      </c>
      <c r="F123" s="153">
        <f t="shared" si="34"/>
        <v>10.59</v>
      </c>
      <c r="G123" s="153">
        <f t="shared" si="34"/>
        <v>26997.279999999999</v>
      </c>
      <c r="H123" s="153">
        <f t="shared" si="34"/>
        <v>1527.5</v>
      </c>
      <c r="I123" s="153">
        <f t="shared" si="34"/>
        <v>0</v>
      </c>
      <c r="J123" s="153">
        <f t="shared" si="34"/>
        <v>0</v>
      </c>
      <c r="K123" s="153">
        <f t="shared" si="34"/>
        <v>99.97</v>
      </c>
      <c r="L123" s="153">
        <f t="shared" si="34"/>
        <v>6649.55</v>
      </c>
      <c r="M123" s="153">
        <f t="shared" si="34"/>
        <v>1629.95</v>
      </c>
      <c r="N123" s="153">
        <f t="shared" si="34"/>
        <v>1286.28</v>
      </c>
      <c r="O123" s="153">
        <f t="shared" si="34"/>
        <v>50.31</v>
      </c>
      <c r="P123" s="153">
        <f t="shared" si="34"/>
        <v>0</v>
      </c>
      <c r="R123" s="2">
        <f t="shared" si="10"/>
        <v>93031.859999999986</v>
      </c>
      <c r="T123" s="2">
        <f t="shared" si="12"/>
        <v>52482.76</v>
      </c>
      <c r="U123" s="2">
        <f t="shared" si="13"/>
        <v>2297.67</v>
      </c>
      <c r="V123" s="2">
        <f t="shared" si="14"/>
        <v>28535.37</v>
      </c>
      <c r="W123" s="2">
        <f t="shared" si="15"/>
        <v>0</v>
      </c>
      <c r="X123" s="2">
        <f t="shared" si="16"/>
        <v>99.97</v>
      </c>
      <c r="Y123" s="2">
        <f t="shared" si="17"/>
        <v>83415.77</v>
      </c>
      <c r="Z123" s="2">
        <f t="shared" si="18"/>
        <v>6649.55</v>
      </c>
      <c r="AA123" s="2">
        <f t="shared" si="19"/>
        <v>2966.54</v>
      </c>
      <c r="AB123" s="2">
        <f t="shared" si="20"/>
        <v>9616.09</v>
      </c>
      <c r="AC123" s="2">
        <f t="shared" si="21"/>
        <v>93031.86</v>
      </c>
      <c r="AD123" s="2">
        <f t="shared" si="22"/>
        <v>-1.8189894035458565E-11</v>
      </c>
    </row>
    <row r="124" spans="1:30" hidden="1" x14ac:dyDescent="0.2">
      <c r="A124" s="145">
        <f>'TAX Interest Rates'!A24</f>
        <v>43555</v>
      </c>
      <c r="B124" s="153">
        <f t="shared" ref="B124:P124" si="35">ROUND(-B12*B69,2)</f>
        <v>56464.82</v>
      </c>
      <c r="C124" s="153">
        <f t="shared" si="35"/>
        <v>0</v>
      </c>
      <c r="D124" s="153">
        <f t="shared" si="35"/>
        <v>2189.5700000000002</v>
      </c>
      <c r="E124" s="153">
        <f t="shared" si="35"/>
        <v>344.45</v>
      </c>
      <c r="F124" s="153">
        <f t="shared" si="35"/>
        <v>6.81</v>
      </c>
      <c r="G124" s="153">
        <f t="shared" si="35"/>
        <v>30767.72</v>
      </c>
      <c r="H124" s="153">
        <f t="shared" si="35"/>
        <v>1650.11</v>
      </c>
      <c r="I124" s="153">
        <f t="shared" si="35"/>
        <v>0</v>
      </c>
      <c r="J124" s="153">
        <f t="shared" si="35"/>
        <v>0</v>
      </c>
      <c r="K124" s="153">
        <f t="shared" si="35"/>
        <v>91.81</v>
      </c>
      <c r="L124" s="153">
        <f t="shared" si="35"/>
        <v>6477.06</v>
      </c>
      <c r="M124" s="153">
        <f t="shared" si="35"/>
        <v>2159.88</v>
      </c>
      <c r="N124" s="153">
        <f t="shared" si="35"/>
        <v>679.39</v>
      </c>
      <c r="O124" s="153">
        <f t="shared" si="35"/>
        <v>0</v>
      </c>
      <c r="P124" s="153">
        <f t="shared" si="35"/>
        <v>0</v>
      </c>
      <c r="R124" s="2">
        <f t="shared" si="10"/>
        <v>100831.62</v>
      </c>
      <c r="T124" s="2">
        <f t="shared" si="12"/>
        <v>56464.82</v>
      </c>
      <c r="U124" s="2">
        <f t="shared" si="13"/>
        <v>2534.02</v>
      </c>
      <c r="V124" s="2">
        <f t="shared" si="14"/>
        <v>32424.640000000003</v>
      </c>
      <c r="W124" s="2">
        <f t="shared" si="15"/>
        <v>0</v>
      </c>
      <c r="X124" s="2">
        <f t="shared" si="16"/>
        <v>91.81</v>
      </c>
      <c r="Y124" s="2">
        <f t="shared" si="17"/>
        <v>91515.29</v>
      </c>
      <c r="Z124" s="2">
        <f t="shared" si="18"/>
        <v>6477.06</v>
      </c>
      <c r="AA124" s="2">
        <f t="shared" si="19"/>
        <v>2839.27</v>
      </c>
      <c r="AB124" s="2">
        <f t="shared" si="20"/>
        <v>9316.33</v>
      </c>
      <c r="AC124" s="2">
        <f t="shared" si="21"/>
        <v>100831.62</v>
      </c>
      <c r="AD124" s="2">
        <f t="shared" si="22"/>
        <v>0</v>
      </c>
    </row>
    <row r="125" spans="1:30" hidden="1" x14ac:dyDescent="0.2">
      <c r="A125" s="145">
        <f>'TAX Interest Rates'!A25</f>
        <v>43585</v>
      </c>
      <c r="B125" s="153">
        <f t="shared" ref="B125:P125" si="36">ROUND(-B13*B70,2)</f>
        <v>30901.14</v>
      </c>
      <c r="C125" s="153">
        <f t="shared" si="36"/>
        <v>0</v>
      </c>
      <c r="D125" s="153">
        <f t="shared" si="36"/>
        <v>1624.2</v>
      </c>
      <c r="E125" s="153">
        <f t="shared" si="36"/>
        <v>339.05</v>
      </c>
      <c r="F125" s="153">
        <f t="shared" si="36"/>
        <v>4.3600000000000003</v>
      </c>
      <c r="G125" s="153">
        <f t="shared" si="36"/>
        <v>17556.34</v>
      </c>
      <c r="H125" s="153">
        <f t="shared" si="36"/>
        <v>1028.8399999999999</v>
      </c>
      <c r="I125" s="153">
        <f t="shared" si="36"/>
        <v>0.16</v>
      </c>
      <c r="J125" s="153">
        <f t="shared" si="36"/>
        <v>0</v>
      </c>
      <c r="K125" s="153">
        <f t="shared" si="36"/>
        <v>70.84</v>
      </c>
      <c r="L125" s="153">
        <f t="shared" si="36"/>
        <v>6117.96</v>
      </c>
      <c r="M125" s="153">
        <f t="shared" si="36"/>
        <v>1670.73</v>
      </c>
      <c r="N125" s="153">
        <f t="shared" si="36"/>
        <v>561.24</v>
      </c>
      <c r="O125" s="153">
        <f t="shared" si="36"/>
        <v>5.34</v>
      </c>
      <c r="P125" s="153">
        <f t="shared" si="36"/>
        <v>0</v>
      </c>
      <c r="R125" s="2">
        <f t="shared" si="10"/>
        <v>59880.19999999999</v>
      </c>
      <c r="T125" s="2">
        <f t="shared" si="12"/>
        <v>30901.14</v>
      </c>
      <c r="U125" s="2">
        <f t="shared" si="13"/>
        <v>1963.25</v>
      </c>
      <c r="V125" s="2">
        <f t="shared" si="14"/>
        <v>18589.54</v>
      </c>
      <c r="W125" s="2">
        <f t="shared" si="15"/>
        <v>0.16</v>
      </c>
      <c r="X125" s="2">
        <f t="shared" si="16"/>
        <v>70.84</v>
      </c>
      <c r="Y125" s="2">
        <f t="shared" si="17"/>
        <v>51524.93</v>
      </c>
      <c r="Z125" s="2">
        <f t="shared" si="18"/>
        <v>6117.96</v>
      </c>
      <c r="AA125" s="2">
        <f t="shared" si="19"/>
        <v>2237.3100000000004</v>
      </c>
      <c r="AB125" s="2">
        <f t="shared" si="20"/>
        <v>8355.27</v>
      </c>
      <c r="AC125" s="2">
        <f t="shared" si="21"/>
        <v>59880.2</v>
      </c>
      <c r="AD125" s="2">
        <f t="shared" si="22"/>
        <v>0</v>
      </c>
    </row>
    <row r="126" spans="1:30" hidden="1" x14ac:dyDescent="0.2">
      <c r="A126" s="145">
        <f>'TAX Interest Rates'!A26</f>
        <v>43616</v>
      </c>
      <c r="B126" s="153">
        <f t="shared" ref="B126:P126" si="37">ROUND(-B14*B71,2)</f>
        <v>18672.11</v>
      </c>
      <c r="C126" s="153">
        <f t="shared" si="37"/>
        <v>0</v>
      </c>
      <c r="D126" s="153">
        <f t="shared" si="37"/>
        <v>963.65</v>
      </c>
      <c r="E126" s="153">
        <f t="shared" si="37"/>
        <v>267.66000000000003</v>
      </c>
      <c r="F126" s="153">
        <f t="shared" si="37"/>
        <v>1.24</v>
      </c>
      <c r="G126" s="153">
        <f t="shared" si="37"/>
        <v>10365.120000000001</v>
      </c>
      <c r="H126" s="153">
        <f t="shared" si="37"/>
        <v>692.21</v>
      </c>
      <c r="I126" s="153">
        <f t="shared" si="37"/>
        <v>0.18</v>
      </c>
      <c r="J126" s="153">
        <f t="shared" si="37"/>
        <v>0</v>
      </c>
      <c r="K126" s="153">
        <f t="shared" si="37"/>
        <v>52.63</v>
      </c>
      <c r="L126" s="153">
        <f t="shared" si="37"/>
        <v>6566.54</v>
      </c>
      <c r="M126" s="153">
        <f t="shared" si="37"/>
        <v>1174.94</v>
      </c>
      <c r="N126" s="153">
        <f t="shared" si="37"/>
        <v>84.04</v>
      </c>
      <c r="O126" s="153">
        <f t="shared" si="37"/>
        <v>51.49</v>
      </c>
      <c r="P126" s="153">
        <f t="shared" si="37"/>
        <v>0</v>
      </c>
      <c r="R126" s="2">
        <f t="shared" si="10"/>
        <v>38891.810000000005</v>
      </c>
      <c r="T126" s="2">
        <f t="shared" si="12"/>
        <v>18672.11</v>
      </c>
      <c r="U126" s="2">
        <f t="shared" si="13"/>
        <v>1231.31</v>
      </c>
      <c r="V126" s="2">
        <f t="shared" si="14"/>
        <v>11058.57</v>
      </c>
      <c r="W126" s="2">
        <f t="shared" si="15"/>
        <v>0.18</v>
      </c>
      <c r="X126" s="2">
        <f t="shared" si="16"/>
        <v>52.63</v>
      </c>
      <c r="Y126" s="2">
        <f t="shared" si="17"/>
        <v>31014.800000000003</v>
      </c>
      <c r="Z126" s="2">
        <f t="shared" si="18"/>
        <v>6566.54</v>
      </c>
      <c r="AA126" s="2">
        <f t="shared" si="19"/>
        <v>1310.47</v>
      </c>
      <c r="AB126" s="2">
        <f t="shared" si="20"/>
        <v>7877.01</v>
      </c>
      <c r="AC126" s="2">
        <f t="shared" si="21"/>
        <v>38891.810000000005</v>
      </c>
      <c r="AD126" s="2">
        <f t="shared" si="22"/>
        <v>0</v>
      </c>
    </row>
    <row r="127" spans="1:30" hidden="1" x14ac:dyDescent="0.2">
      <c r="A127" s="145">
        <f>'TAX Interest Rates'!A27</f>
        <v>43646</v>
      </c>
      <c r="B127" s="153">
        <f t="shared" ref="B127:P127" si="38">ROUND(-B15*B72,2)</f>
        <v>10197.700000000001</v>
      </c>
      <c r="C127" s="153">
        <f t="shared" si="38"/>
        <v>0</v>
      </c>
      <c r="D127" s="153">
        <f t="shared" si="38"/>
        <v>706.43</v>
      </c>
      <c r="E127" s="153">
        <f t="shared" si="38"/>
        <v>275.04000000000002</v>
      </c>
      <c r="F127" s="153">
        <f t="shared" si="38"/>
        <v>0.71</v>
      </c>
      <c r="G127" s="153">
        <f t="shared" si="38"/>
        <v>6688.38</v>
      </c>
      <c r="H127" s="153">
        <f t="shared" si="38"/>
        <v>479.95</v>
      </c>
      <c r="I127" s="153">
        <f t="shared" si="38"/>
        <v>0</v>
      </c>
      <c r="J127" s="153">
        <f t="shared" si="38"/>
        <v>0</v>
      </c>
      <c r="K127" s="153">
        <f t="shared" si="38"/>
        <v>41.07</v>
      </c>
      <c r="L127" s="153">
        <f t="shared" si="38"/>
        <v>5953.24</v>
      </c>
      <c r="M127" s="153">
        <f t="shared" si="38"/>
        <v>1721.4</v>
      </c>
      <c r="N127" s="153">
        <f t="shared" si="38"/>
        <v>1490.9</v>
      </c>
      <c r="O127" s="153">
        <f t="shared" si="38"/>
        <v>244.84</v>
      </c>
      <c r="P127" s="153">
        <f t="shared" si="38"/>
        <v>0</v>
      </c>
      <c r="R127" s="2">
        <f t="shared" si="10"/>
        <v>27799.660000000007</v>
      </c>
      <c r="T127" s="2">
        <f t="shared" si="12"/>
        <v>10197.700000000001</v>
      </c>
      <c r="U127" s="2">
        <f t="shared" si="13"/>
        <v>981.47</v>
      </c>
      <c r="V127" s="2">
        <f t="shared" si="14"/>
        <v>7169.04</v>
      </c>
      <c r="W127" s="2">
        <f t="shared" si="15"/>
        <v>0</v>
      </c>
      <c r="X127" s="2">
        <f t="shared" si="16"/>
        <v>41.07</v>
      </c>
      <c r="Y127" s="2">
        <f t="shared" si="17"/>
        <v>18389.28</v>
      </c>
      <c r="Z127" s="2">
        <f t="shared" si="18"/>
        <v>5953.24</v>
      </c>
      <c r="AA127" s="2">
        <f t="shared" si="19"/>
        <v>3457.1400000000003</v>
      </c>
      <c r="AB127" s="2">
        <f t="shared" si="20"/>
        <v>9410.380000000001</v>
      </c>
      <c r="AC127" s="2">
        <f t="shared" si="21"/>
        <v>27799.66</v>
      </c>
      <c r="AD127" s="2">
        <f t="shared" si="22"/>
        <v>0</v>
      </c>
    </row>
    <row r="128" spans="1:30" hidden="1" x14ac:dyDescent="0.2">
      <c r="A128" s="145">
        <f>'TAX Interest Rates'!A28</f>
        <v>43677</v>
      </c>
      <c r="B128" s="153">
        <f t="shared" ref="B128:P128" si="39">ROUND(-B16*B73,2)</f>
        <v>8108.17</v>
      </c>
      <c r="C128" s="153">
        <f t="shared" si="39"/>
        <v>0</v>
      </c>
      <c r="D128" s="153">
        <f t="shared" si="39"/>
        <v>655.34</v>
      </c>
      <c r="E128" s="153">
        <f t="shared" si="39"/>
        <v>315.2</v>
      </c>
      <c r="F128" s="153">
        <f t="shared" si="39"/>
        <v>0.3</v>
      </c>
      <c r="G128" s="153">
        <f t="shared" si="39"/>
        <v>5895.24</v>
      </c>
      <c r="H128" s="153">
        <f t="shared" si="39"/>
        <v>406.09</v>
      </c>
      <c r="I128" s="153">
        <f t="shared" si="39"/>
        <v>0.2</v>
      </c>
      <c r="J128" s="153">
        <f t="shared" si="39"/>
        <v>0</v>
      </c>
      <c r="K128" s="153">
        <f t="shared" si="39"/>
        <v>44.41</v>
      </c>
      <c r="L128" s="153">
        <f t="shared" si="39"/>
        <v>5736.57</v>
      </c>
      <c r="M128" s="153">
        <f t="shared" si="39"/>
        <v>3190.26</v>
      </c>
      <c r="N128" s="153">
        <f t="shared" si="39"/>
        <v>3107.02</v>
      </c>
      <c r="O128" s="153">
        <f t="shared" si="39"/>
        <v>1111.1099999999999</v>
      </c>
      <c r="P128" s="153">
        <f t="shared" si="39"/>
        <v>0</v>
      </c>
      <c r="R128" s="2">
        <f t="shared" ref="R128:R134" si="40">SUM(B128:Q128)</f>
        <v>28569.91</v>
      </c>
      <c r="T128" s="2">
        <f t="shared" ref="T128:T134" si="41">+B128</f>
        <v>8108.17</v>
      </c>
      <c r="U128" s="2">
        <f t="shared" ref="U128:U134" si="42">+C128+D128+E128</f>
        <v>970.54</v>
      </c>
      <c r="V128" s="2">
        <f t="shared" ref="V128:V134" si="43">+F128+G128+H128</f>
        <v>6301.63</v>
      </c>
      <c r="W128" s="2">
        <f t="shared" ref="W128:W134" si="44">+I128+J128</f>
        <v>0.2</v>
      </c>
      <c r="X128" s="2">
        <f t="shared" ref="X128:X134" si="45">+K128</f>
        <v>44.41</v>
      </c>
      <c r="Y128" s="2">
        <f t="shared" ref="Y128:Y134" si="46">SUM(T128:X128)</f>
        <v>15424.95</v>
      </c>
      <c r="Z128" s="2">
        <f t="shared" ref="Z128:Z134" si="47">+L128</f>
        <v>5736.57</v>
      </c>
      <c r="AA128" s="2">
        <f t="shared" ref="AA128:AA134" si="48">+M128+N128+O128+P128</f>
        <v>7408.39</v>
      </c>
      <c r="AB128" s="2">
        <f t="shared" ref="AB128:AB134" si="49">SUM(Z128:AA128)</f>
        <v>13144.96</v>
      </c>
      <c r="AC128" s="2">
        <f t="shared" ref="AC128:AC134" si="50">+Y128+AB128</f>
        <v>28569.91</v>
      </c>
      <c r="AD128" s="2">
        <f t="shared" ref="AD128:AD134" si="51">+R128-Y128-AB128</f>
        <v>0</v>
      </c>
    </row>
    <row r="129" spans="1:30" hidden="1" x14ac:dyDescent="0.2">
      <c r="A129" s="145">
        <f>'TAX Interest Rates'!A29</f>
        <v>43708</v>
      </c>
      <c r="B129" s="153">
        <f t="shared" ref="B129:P129" si="52">ROUND(-B17*B74,2)</f>
        <v>6993.25</v>
      </c>
      <c r="C129" s="153">
        <f t="shared" si="52"/>
        <v>0</v>
      </c>
      <c r="D129" s="153">
        <f t="shared" si="52"/>
        <v>688.57</v>
      </c>
      <c r="E129" s="153">
        <f t="shared" si="52"/>
        <v>350.81</v>
      </c>
      <c r="F129" s="153">
        <f t="shared" si="52"/>
        <v>0.27</v>
      </c>
      <c r="G129" s="153">
        <f t="shared" si="52"/>
        <v>5388.12</v>
      </c>
      <c r="H129" s="153">
        <f t="shared" si="52"/>
        <v>400.93</v>
      </c>
      <c r="I129" s="153">
        <f t="shared" si="52"/>
        <v>0</v>
      </c>
      <c r="J129" s="153">
        <f t="shared" si="52"/>
        <v>0</v>
      </c>
      <c r="K129" s="153">
        <f t="shared" si="52"/>
        <v>34.64</v>
      </c>
      <c r="L129" s="153">
        <f t="shared" si="52"/>
        <v>6202.05</v>
      </c>
      <c r="M129" s="153">
        <f t="shared" si="52"/>
        <v>3556.23</v>
      </c>
      <c r="N129" s="153">
        <f t="shared" si="52"/>
        <v>3433.17</v>
      </c>
      <c r="O129" s="153">
        <f t="shared" si="52"/>
        <v>2090.21</v>
      </c>
      <c r="P129" s="153">
        <f t="shared" si="52"/>
        <v>0</v>
      </c>
      <c r="R129" s="2">
        <f t="shared" si="40"/>
        <v>29138.25</v>
      </c>
      <c r="T129" s="2">
        <f t="shared" si="41"/>
        <v>6993.25</v>
      </c>
      <c r="U129" s="2">
        <f t="shared" si="42"/>
        <v>1039.3800000000001</v>
      </c>
      <c r="V129" s="2">
        <f t="shared" si="43"/>
        <v>5789.3200000000006</v>
      </c>
      <c r="W129" s="2">
        <f t="shared" si="44"/>
        <v>0</v>
      </c>
      <c r="X129" s="2">
        <f t="shared" si="45"/>
        <v>34.64</v>
      </c>
      <c r="Y129" s="2">
        <f t="shared" si="46"/>
        <v>13856.59</v>
      </c>
      <c r="Z129" s="2">
        <f t="shared" si="47"/>
        <v>6202.05</v>
      </c>
      <c r="AA129" s="2">
        <f t="shared" si="48"/>
        <v>9079.61</v>
      </c>
      <c r="AB129" s="2">
        <f t="shared" si="49"/>
        <v>15281.66</v>
      </c>
      <c r="AC129" s="2">
        <f t="shared" si="50"/>
        <v>29138.25</v>
      </c>
      <c r="AD129" s="2">
        <f t="shared" si="51"/>
        <v>0</v>
      </c>
    </row>
    <row r="130" spans="1:30" hidden="1" x14ac:dyDescent="0.2">
      <c r="A130" s="145">
        <f>'TAX Interest Rates'!A30</f>
        <v>43738</v>
      </c>
      <c r="B130" s="153">
        <f t="shared" ref="B130:P130" si="53">ROUND(-B18*B75,2)</f>
        <v>6783.45</v>
      </c>
      <c r="C130" s="153">
        <f t="shared" si="53"/>
        <v>0</v>
      </c>
      <c r="D130" s="153">
        <f t="shared" si="53"/>
        <v>795.42</v>
      </c>
      <c r="E130" s="153">
        <f t="shared" si="53"/>
        <v>310.61</v>
      </c>
      <c r="F130" s="153">
        <f t="shared" si="53"/>
        <v>1.19</v>
      </c>
      <c r="G130" s="153">
        <f t="shared" si="53"/>
        <v>5158.29</v>
      </c>
      <c r="H130" s="153">
        <f t="shared" si="53"/>
        <v>346.84</v>
      </c>
      <c r="I130" s="153">
        <f t="shared" si="53"/>
        <v>0.5</v>
      </c>
      <c r="J130" s="153">
        <f t="shared" si="53"/>
        <v>0</v>
      </c>
      <c r="K130" s="153">
        <f t="shared" si="53"/>
        <v>41.23</v>
      </c>
      <c r="L130" s="153">
        <f t="shared" si="53"/>
        <v>6910.79</v>
      </c>
      <c r="M130" s="153">
        <f t="shared" si="53"/>
        <v>3443.87</v>
      </c>
      <c r="N130" s="153">
        <f t="shared" si="53"/>
        <v>3192.82</v>
      </c>
      <c r="O130" s="153">
        <f t="shared" si="53"/>
        <v>1067.56</v>
      </c>
      <c r="P130" s="153">
        <f t="shared" si="53"/>
        <v>0</v>
      </c>
      <c r="R130" s="2">
        <f t="shared" si="40"/>
        <v>28052.57</v>
      </c>
      <c r="T130" s="2">
        <f t="shared" si="41"/>
        <v>6783.45</v>
      </c>
      <c r="U130" s="2">
        <f t="shared" si="42"/>
        <v>1106.03</v>
      </c>
      <c r="V130" s="2">
        <f t="shared" si="43"/>
        <v>5506.32</v>
      </c>
      <c r="W130" s="2">
        <f t="shared" si="44"/>
        <v>0.5</v>
      </c>
      <c r="X130" s="2">
        <f t="shared" si="45"/>
        <v>41.23</v>
      </c>
      <c r="Y130" s="2">
        <f t="shared" si="46"/>
        <v>13437.529999999999</v>
      </c>
      <c r="Z130" s="2">
        <f t="shared" si="47"/>
        <v>6910.79</v>
      </c>
      <c r="AA130" s="2">
        <f t="shared" si="48"/>
        <v>7704.25</v>
      </c>
      <c r="AB130" s="2">
        <f t="shared" si="49"/>
        <v>14615.04</v>
      </c>
      <c r="AC130" s="2">
        <f t="shared" si="50"/>
        <v>28052.57</v>
      </c>
      <c r="AD130" s="2">
        <f t="shared" si="51"/>
        <v>0</v>
      </c>
    </row>
    <row r="131" spans="1:30" hidden="1" x14ac:dyDescent="0.2">
      <c r="A131" s="145">
        <f>'TAX Interest Rates'!A31</f>
        <v>43769</v>
      </c>
      <c r="B131" s="153">
        <f t="shared" ref="B131:P131" si="54">ROUND(-B19*B76,2)</f>
        <v>16043.5</v>
      </c>
      <c r="C131" s="153">
        <f t="shared" si="54"/>
        <v>0</v>
      </c>
      <c r="D131" s="153">
        <f t="shared" si="54"/>
        <v>1554.71</v>
      </c>
      <c r="E131" s="153">
        <f t="shared" si="54"/>
        <v>413.28</v>
      </c>
      <c r="F131" s="153">
        <f t="shared" si="54"/>
        <v>5.7</v>
      </c>
      <c r="G131" s="153">
        <f t="shared" si="54"/>
        <v>9367.16</v>
      </c>
      <c r="H131" s="153">
        <f t="shared" si="54"/>
        <v>2027.72</v>
      </c>
      <c r="I131" s="153">
        <f t="shared" si="54"/>
        <v>0.39</v>
      </c>
      <c r="J131" s="153">
        <f t="shared" si="54"/>
        <v>0</v>
      </c>
      <c r="K131" s="153">
        <f t="shared" si="54"/>
        <v>86.14</v>
      </c>
      <c r="L131" s="153">
        <f t="shared" si="54"/>
        <v>7570.1</v>
      </c>
      <c r="M131" s="153">
        <f t="shared" si="54"/>
        <v>2434.6</v>
      </c>
      <c r="N131" s="153">
        <f t="shared" si="54"/>
        <v>146.77000000000001</v>
      </c>
      <c r="O131" s="153">
        <f t="shared" si="54"/>
        <v>197.43</v>
      </c>
      <c r="P131" s="153">
        <f t="shared" si="54"/>
        <v>0</v>
      </c>
      <c r="R131" s="2">
        <f t="shared" si="40"/>
        <v>39847.499999999993</v>
      </c>
      <c r="T131" s="2">
        <f t="shared" si="41"/>
        <v>16043.5</v>
      </c>
      <c r="U131" s="2">
        <f t="shared" si="42"/>
        <v>1967.99</v>
      </c>
      <c r="V131" s="2">
        <f t="shared" si="43"/>
        <v>11400.58</v>
      </c>
      <c r="W131" s="2">
        <f t="shared" si="44"/>
        <v>0.39</v>
      </c>
      <c r="X131" s="2">
        <f t="shared" si="45"/>
        <v>86.14</v>
      </c>
      <c r="Y131" s="2">
        <f t="shared" si="46"/>
        <v>29498.6</v>
      </c>
      <c r="Z131" s="2">
        <f t="shared" si="47"/>
        <v>7570.1</v>
      </c>
      <c r="AA131" s="2">
        <f t="shared" si="48"/>
        <v>2778.7999999999997</v>
      </c>
      <c r="AB131" s="2">
        <f t="shared" si="49"/>
        <v>10348.9</v>
      </c>
      <c r="AC131" s="2">
        <f t="shared" si="50"/>
        <v>39847.5</v>
      </c>
      <c r="AD131" s="2">
        <f t="shared" si="51"/>
        <v>0</v>
      </c>
    </row>
    <row r="132" spans="1:30" hidden="1" x14ac:dyDescent="0.2">
      <c r="A132" s="145">
        <f>'TAX Interest Rates'!A32</f>
        <v>43799</v>
      </c>
      <c r="B132" s="153">
        <f>ROUND(-B20*B76,2)</f>
        <v>19207.78</v>
      </c>
      <c r="C132" s="153">
        <f t="shared" ref="C132:P132" si="55">ROUND(-C20*C76,2)</f>
        <v>0</v>
      </c>
      <c r="D132" s="153">
        <f t="shared" si="55"/>
        <v>983.87</v>
      </c>
      <c r="E132" s="153">
        <f t="shared" si="55"/>
        <v>292.27</v>
      </c>
      <c r="F132" s="153">
        <f t="shared" si="55"/>
        <v>0</v>
      </c>
      <c r="G132" s="153">
        <f t="shared" si="55"/>
        <v>10265.94</v>
      </c>
      <c r="H132" s="153">
        <f t="shared" si="55"/>
        <v>626.87</v>
      </c>
      <c r="I132" s="153">
        <f t="shared" si="55"/>
        <v>0</v>
      </c>
      <c r="J132" s="153">
        <f t="shared" si="55"/>
        <v>0</v>
      </c>
      <c r="K132" s="153">
        <f t="shared" si="55"/>
        <v>0</v>
      </c>
      <c r="L132" s="153">
        <f t="shared" si="55"/>
        <v>0.03</v>
      </c>
      <c r="M132" s="153">
        <f t="shared" si="55"/>
        <v>0</v>
      </c>
      <c r="N132" s="153">
        <f t="shared" si="55"/>
        <v>0</v>
      </c>
      <c r="O132" s="153">
        <f t="shared" si="55"/>
        <v>0</v>
      </c>
      <c r="P132" s="153">
        <f t="shared" si="55"/>
        <v>0</v>
      </c>
      <c r="R132" s="2">
        <f t="shared" si="40"/>
        <v>31376.76</v>
      </c>
      <c r="S132" s="2" t="s">
        <v>45</v>
      </c>
      <c r="T132" s="2">
        <f t="shared" si="41"/>
        <v>19207.78</v>
      </c>
      <c r="U132" s="2">
        <f t="shared" si="42"/>
        <v>1276.1399999999999</v>
      </c>
      <c r="V132" s="2">
        <f t="shared" si="43"/>
        <v>10892.810000000001</v>
      </c>
      <c r="W132" s="2">
        <f t="shared" si="44"/>
        <v>0</v>
      </c>
      <c r="X132" s="2">
        <f t="shared" si="45"/>
        <v>0</v>
      </c>
      <c r="Y132" s="2">
        <f t="shared" si="46"/>
        <v>31376.73</v>
      </c>
      <c r="Z132" s="2">
        <f t="shared" si="47"/>
        <v>0.03</v>
      </c>
      <c r="AA132" s="2">
        <f t="shared" si="48"/>
        <v>0</v>
      </c>
      <c r="AB132" s="2">
        <f t="shared" si="49"/>
        <v>0.03</v>
      </c>
      <c r="AC132" s="2">
        <f t="shared" si="50"/>
        <v>31376.76</v>
      </c>
      <c r="AD132" s="2">
        <f t="shared" si="51"/>
        <v>-1.1641521080463235E-12</v>
      </c>
    </row>
    <row r="133" spans="1:30" hidden="1" x14ac:dyDescent="0.2">
      <c r="A133" s="145">
        <f>'TAX Interest Rates'!A32</f>
        <v>43799</v>
      </c>
      <c r="B133" s="153">
        <f>ROUND(-B21*B77,2)</f>
        <v>9095.51</v>
      </c>
      <c r="C133" s="153">
        <f t="shared" ref="C133:P133" si="56">ROUND(-C21*C77,2)</f>
        <v>0</v>
      </c>
      <c r="D133" s="153">
        <f t="shared" si="56"/>
        <v>387.39</v>
      </c>
      <c r="E133" s="153">
        <f t="shared" si="56"/>
        <v>173.38</v>
      </c>
      <c r="F133" s="153">
        <f t="shared" si="56"/>
        <v>6.89</v>
      </c>
      <c r="G133" s="153">
        <f t="shared" si="56"/>
        <v>4505.79</v>
      </c>
      <c r="H133" s="153">
        <f t="shared" si="56"/>
        <v>1718.01</v>
      </c>
      <c r="I133" s="153">
        <f t="shared" si="56"/>
        <v>0.54</v>
      </c>
      <c r="J133" s="153">
        <f t="shared" si="56"/>
        <v>0</v>
      </c>
      <c r="K133" s="153">
        <f t="shared" si="56"/>
        <v>75.98</v>
      </c>
      <c r="L133" s="153">
        <f t="shared" si="56"/>
        <v>5958.1</v>
      </c>
      <c r="M133" s="153">
        <f t="shared" si="56"/>
        <v>2539.81</v>
      </c>
      <c r="N133" s="153">
        <f t="shared" si="56"/>
        <v>1191.2</v>
      </c>
      <c r="O133" s="153">
        <f t="shared" si="56"/>
        <v>42.25</v>
      </c>
      <c r="P133" s="153">
        <f t="shared" si="56"/>
        <v>0</v>
      </c>
      <c r="R133" s="2">
        <f t="shared" ref="R133" si="57">SUM(B133:Q133)</f>
        <v>25694.850000000002</v>
      </c>
      <c r="S133" s="2" t="s">
        <v>46</v>
      </c>
      <c r="T133" s="2">
        <f t="shared" ref="T133" si="58">+B133</f>
        <v>9095.51</v>
      </c>
      <c r="U133" s="2">
        <f t="shared" ref="U133" si="59">+C133+D133+E133</f>
        <v>560.77</v>
      </c>
      <c r="V133" s="2">
        <f t="shared" ref="V133" si="60">+F133+G133+H133</f>
        <v>6230.6900000000005</v>
      </c>
      <c r="W133" s="2">
        <f t="shared" ref="W133" si="61">+I133+J133</f>
        <v>0.54</v>
      </c>
      <c r="X133" s="2">
        <f t="shared" ref="X133" si="62">+K133</f>
        <v>75.98</v>
      </c>
      <c r="Y133" s="2">
        <f t="shared" ref="Y133" si="63">SUM(T133:X133)</f>
        <v>15963.490000000002</v>
      </c>
      <c r="Z133" s="2">
        <f t="shared" ref="Z133" si="64">+L133</f>
        <v>5958.1</v>
      </c>
      <c r="AA133" s="2">
        <f t="shared" ref="AA133" si="65">+M133+N133+O133+P133</f>
        <v>3773.26</v>
      </c>
      <c r="AB133" s="2">
        <f t="shared" ref="AB133" si="66">SUM(Z133:AA133)</f>
        <v>9731.36</v>
      </c>
      <c r="AC133" s="2">
        <f t="shared" ref="AC133" si="67">+Y133+AB133</f>
        <v>25694.850000000002</v>
      </c>
      <c r="AD133" s="2">
        <f t="shared" ref="AD133" si="68">+R133-Y133-AB133</f>
        <v>0</v>
      </c>
    </row>
    <row r="134" spans="1:30" hidden="1" x14ac:dyDescent="0.2">
      <c r="A134" s="145">
        <f>'TAX Interest Rates'!A33</f>
        <v>43830</v>
      </c>
      <c r="B134" s="153">
        <f>ROUND(-B22*B78,2)</f>
        <v>40066.68</v>
      </c>
      <c r="C134" s="153">
        <f t="shared" ref="C134:P134" si="69">ROUND(-C22*C78,2)</f>
        <v>0</v>
      </c>
      <c r="D134" s="153">
        <f t="shared" si="69"/>
        <v>1564.9</v>
      </c>
      <c r="E134" s="153">
        <f t="shared" si="69"/>
        <v>331.79</v>
      </c>
      <c r="F134" s="153">
        <f t="shared" si="69"/>
        <v>7.92</v>
      </c>
      <c r="G134" s="153">
        <f t="shared" si="69"/>
        <v>20839.47</v>
      </c>
      <c r="H134" s="153">
        <f t="shared" si="69"/>
        <v>2663.24</v>
      </c>
      <c r="I134" s="153">
        <f t="shared" si="69"/>
        <v>0.28999999999999998</v>
      </c>
      <c r="J134" s="153">
        <f t="shared" si="69"/>
        <v>0</v>
      </c>
      <c r="K134" s="153">
        <f t="shared" si="69"/>
        <v>83.82</v>
      </c>
      <c r="L134" s="153">
        <f t="shared" si="69"/>
        <v>6323.47</v>
      </c>
      <c r="M134" s="153">
        <f t="shared" si="69"/>
        <v>2834.79</v>
      </c>
      <c r="N134" s="153">
        <f t="shared" si="69"/>
        <v>2777.4</v>
      </c>
      <c r="O134" s="153">
        <f t="shared" si="69"/>
        <v>259.52</v>
      </c>
      <c r="P134" s="153">
        <f t="shared" si="69"/>
        <v>0</v>
      </c>
      <c r="R134" s="2">
        <f t="shared" si="40"/>
        <v>77753.289999999994</v>
      </c>
      <c r="T134" s="2">
        <f t="shared" si="41"/>
        <v>40066.68</v>
      </c>
      <c r="U134" s="2">
        <f t="shared" si="42"/>
        <v>1896.69</v>
      </c>
      <c r="V134" s="2">
        <f t="shared" si="43"/>
        <v>23510.629999999997</v>
      </c>
      <c r="W134" s="2">
        <f t="shared" si="44"/>
        <v>0.28999999999999998</v>
      </c>
      <c r="X134" s="2">
        <f t="shared" si="45"/>
        <v>83.82</v>
      </c>
      <c r="Y134" s="2">
        <f t="shared" si="46"/>
        <v>65558.11</v>
      </c>
      <c r="Z134" s="2">
        <f t="shared" si="47"/>
        <v>6323.47</v>
      </c>
      <c r="AA134" s="2">
        <f t="shared" si="48"/>
        <v>5871.7100000000009</v>
      </c>
      <c r="AB134" s="2">
        <f t="shared" si="49"/>
        <v>12195.18</v>
      </c>
      <c r="AC134" s="2">
        <f t="shared" si="50"/>
        <v>77753.290000000008</v>
      </c>
      <c r="AD134" s="2">
        <f t="shared" si="51"/>
        <v>0</v>
      </c>
    </row>
    <row r="135" spans="1:30" hidden="1" x14ac:dyDescent="0.2">
      <c r="A135" s="145">
        <f>'TAX Interest Rates'!A34</f>
        <v>43861</v>
      </c>
      <c r="B135" s="153">
        <f t="shared" ref="B135:P135" si="70">ROUND(-B23*B79,2)</f>
        <v>48676.99</v>
      </c>
      <c r="C135" s="153">
        <f t="shared" si="70"/>
        <v>0</v>
      </c>
      <c r="D135" s="153">
        <f t="shared" si="70"/>
        <v>1675.03</v>
      </c>
      <c r="E135" s="153">
        <f t="shared" si="70"/>
        <v>388.12</v>
      </c>
      <c r="F135" s="153">
        <f t="shared" si="70"/>
        <v>8.5</v>
      </c>
      <c r="G135" s="153">
        <f t="shared" si="70"/>
        <v>25192.95</v>
      </c>
      <c r="H135" s="153">
        <f t="shared" si="70"/>
        <v>2978.56</v>
      </c>
      <c r="I135" s="153">
        <f t="shared" si="70"/>
        <v>0.09</v>
      </c>
      <c r="J135" s="153">
        <f t="shared" si="70"/>
        <v>0</v>
      </c>
      <c r="K135" s="153">
        <f t="shared" si="70"/>
        <v>84.55</v>
      </c>
      <c r="L135" s="153">
        <f t="shared" si="70"/>
        <v>6493.54</v>
      </c>
      <c r="M135" s="153">
        <f t="shared" si="70"/>
        <v>2444.0700000000002</v>
      </c>
      <c r="N135" s="153">
        <f t="shared" si="70"/>
        <v>1938.67</v>
      </c>
      <c r="O135" s="153">
        <f t="shared" si="70"/>
        <v>72.47</v>
      </c>
      <c r="P135" s="153">
        <f t="shared" si="70"/>
        <v>0</v>
      </c>
      <c r="R135" s="2">
        <f t="shared" ref="R135:R146" si="71">SUM(B135:Q135)</f>
        <v>89953.54</v>
      </c>
      <c r="T135" s="2">
        <f t="shared" ref="T135:T146" si="72">+B135</f>
        <v>48676.99</v>
      </c>
      <c r="U135" s="2">
        <f t="shared" ref="U135:U146" si="73">+C135+D135+E135</f>
        <v>2063.15</v>
      </c>
      <c r="V135" s="2">
        <f t="shared" ref="V135:V146" si="74">+F135+G135+H135</f>
        <v>28180.010000000002</v>
      </c>
      <c r="W135" s="2">
        <f t="shared" ref="W135:W146" si="75">+I135+J135</f>
        <v>0.09</v>
      </c>
      <c r="X135" s="2">
        <f t="shared" ref="X135:X146" si="76">+K135</f>
        <v>84.55</v>
      </c>
      <c r="Y135" s="2">
        <f t="shared" ref="Y135:Y146" si="77">SUM(T135:X135)</f>
        <v>79004.789999999994</v>
      </c>
      <c r="Z135" s="2">
        <f t="shared" ref="Z135:Z146" si="78">+L135</f>
        <v>6493.54</v>
      </c>
      <c r="AA135" s="2">
        <f t="shared" ref="AA135:AA146" si="79">+M135+N135+O135+P135</f>
        <v>4455.21</v>
      </c>
      <c r="AB135" s="2">
        <f t="shared" ref="AB135:AB146" si="80">SUM(Z135:AA135)</f>
        <v>10948.75</v>
      </c>
      <c r="AC135" s="2">
        <f t="shared" ref="AC135:AC146" si="81">+Y135+AB135</f>
        <v>89953.54</v>
      </c>
      <c r="AD135" s="2">
        <f t="shared" ref="AD135:AD146" si="82">+R135-Y135-AB135</f>
        <v>0</v>
      </c>
    </row>
    <row r="136" spans="1:30" hidden="1" x14ac:dyDescent="0.2">
      <c r="A136" s="145">
        <f>'TAX Interest Rates'!A35</f>
        <v>43890</v>
      </c>
      <c r="B136" s="153">
        <f t="shared" ref="B136:P136" si="83">ROUND(-B24*B80,2)</f>
        <v>39740.379999999997</v>
      </c>
      <c r="C136" s="153">
        <f t="shared" si="83"/>
        <v>0</v>
      </c>
      <c r="D136" s="153">
        <f t="shared" si="83"/>
        <v>1454.74</v>
      </c>
      <c r="E136" s="153">
        <f t="shared" si="83"/>
        <v>354.03</v>
      </c>
      <c r="F136" s="153">
        <f t="shared" si="83"/>
        <v>8.09</v>
      </c>
      <c r="G136" s="153">
        <f t="shared" si="83"/>
        <v>20829.37</v>
      </c>
      <c r="H136" s="153">
        <f t="shared" si="83"/>
        <v>2600.5300000000002</v>
      </c>
      <c r="I136" s="153">
        <f t="shared" si="83"/>
        <v>0.38</v>
      </c>
      <c r="J136" s="153">
        <f t="shared" si="83"/>
        <v>0</v>
      </c>
      <c r="K136" s="153">
        <f t="shared" si="83"/>
        <v>75.569999999999993</v>
      </c>
      <c r="L136" s="153">
        <f t="shared" si="83"/>
        <v>6071.14</v>
      </c>
      <c r="M136" s="153">
        <f t="shared" si="83"/>
        <v>2379.4899999999998</v>
      </c>
      <c r="N136" s="153">
        <f t="shared" si="83"/>
        <v>1487.75</v>
      </c>
      <c r="O136" s="153">
        <f t="shared" si="83"/>
        <v>152.33000000000001</v>
      </c>
      <c r="P136" s="153">
        <f t="shared" si="83"/>
        <v>0</v>
      </c>
      <c r="R136" s="2">
        <f t="shared" si="71"/>
        <v>75153.799999999988</v>
      </c>
      <c r="T136" s="2">
        <f t="shared" si="72"/>
        <v>39740.379999999997</v>
      </c>
      <c r="U136" s="2">
        <f t="shared" si="73"/>
        <v>1808.77</v>
      </c>
      <c r="V136" s="2">
        <f t="shared" si="74"/>
        <v>23437.989999999998</v>
      </c>
      <c r="W136" s="2">
        <f t="shared" si="75"/>
        <v>0.38</v>
      </c>
      <c r="X136" s="2">
        <f t="shared" si="76"/>
        <v>75.569999999999993</v>
      </c>
      <c r="Y136" s="2">
        <f t="shared" si="77"/>
        <v>65063.089999999989</v>
      </c>
      <c r="Z136" s="2">
        <f t="shared" si="78"/>
        <v>6071.14</v>
      </c>
      <c r="AA136" s="2">
        <f t="shared" si="79"/>
        <v>4019.5699999999997</v>
      </c>
      <c r="AB136" s="2">
        <f t="shared" si="80"/>
        <v>10090.709999999999</v>
      </c>
      <c r="AC136" s="2">
        <f t="shared" si="81"/>
        <v>75153.799999999988</v>
      </c>
      <c r="AD136" s="2">
        <f t="shared" si="82"/>
        <v>0</v>
      </c>
    </row>
    <row r="137" spans="1:30" hidden="1" x14ac:dyDescent="0.2">
      <c r="A137" s="145">
        <f>'TAX Interest Rates'!A36</f>
        <v>43921</v>
      </c>
      <c r="B137" s="153">
        <f t="shared" ref="B137:P137" si="84">ROUND(-B25*B81,2)</f>
        <v>40033.29</v>
      </c>
      <c r="C137" s="153">
        <f t="shared" si="84"/>
        <v>0</v>
      </c>
      <c r="D137" s="153">
        <f t="shared" si="84"/>
        <v>1491.9</v>
      </c>
      <c r="E137" s="153">
        <f t="shared" si="84"/>
        <v>267.81</v>
      </c>
      <c r="F137" s="153">
        <f t="shared" si="84"/>
        <v>8.5299999999999994</v>
      </c>
      <c r="G137" s="153">
        <f t="shared" si="84"/>
        <v>20554.55</v>
      </c>
      <c r="H137" s="153">
        <f t="shared" si="84"/>
        <v>2730.33</v>
      </c>
      <c r="I137" s="153">
        <f t="shared" si="84"/>
        <v>0.2</v>
      </c>
      <c r="J137" s="153">
        <f t="shared" si="84"/>
        <v>0</v>
      </c>
      <c r="K137" s="153">
        <f t="shared" si="84"/>
        <v>75.66</v>
      </c>
      <c r="L137" s="153">
        <f t="shared" si="84"/>
        <v>6521.32</v>
      </c>
      <c r="M137" s="153">
        <f t="shared" si="84"/>
        <v>3134.17</v>
      </c>
      <c r="N137" s="153">
        <f t="shared" si="84"/>
        <v>2845.83</v>
      </c>
      <c r="O137" s="153">
        <f t="shared" si="84"/>
        <v>600.97</v>
      </c>
      <c r="P137" s="153">
        <f t="shared" si="84"/>
        <v>0</v>
      </c>
      <c r="R137" s="2">
        <f t="shared" si="71"/>
        <v>78264.56</v>
      </c>
      <c r="T137" s="2">
        <f t="shared" si="72"/>
        <v>40033.29</v>
      </c>
      <c r="U137" s="2">
        <f t="shared" si="73"/>
        <v>1759.71</v>
      </c>
      <c r="V137" s="2">
        <f t="shared" si="74"/>
        <v>23293.409999999996</v>
      </c>
      <c r="W137" s="2">
        <f t="shared" si="75"/>
        <v>0.2</v>
      </c>
      <c r="X137" s="2">
        <f t="shared" si="76"/>
        <v>75.66</v>
      </c>
      <c r="Y137" s="2">
        <f t="shared" si="77"/>
        <v>65162.27</v>
      </c>
      <c r="Z137" s="2">
        <f t="shared" si="78"/>
        <v>6521.32</v>
      </c>
      <c r="AA137" s="2">
        <f t="shared" si="79"/>
        <v>6580.97</v>
      </c>
      <c r="AB137" s="2">
        <f t="shared" si="80"/>
        <v>13102.29</v>
      </c>
      <c r="AC137" s="2">
        <f t="shared" si="81"/>
        <v>78264.56</v>
      </c>
      <c r="AD137" s="2">
        <f t="shared" si="82"/>
        <v>0</v>
      </c>
    </row>
    <row r="138" spans="1:30" hidden="1" x14ac:dyDescent="0.2">
      <c r="A138" s="145">
        <f>'TAX Interest Rates'!A37</f>
        <v>43951</v>
      </c>
      <c r="B138" s="153">
        <f t="shared" ref="B138:P138" si="85">ROUND(-B26*B82,2)</f>
        <v>31621.78</v>
      </c>
      <c r="C138" s="153">
        <f t="shared" si="85"/>
        <v>0</v>
      </c>
      <c r="D138" s="153">
        <f t="shared" si="85"/>
        <v>1241.26</v>
      </c>
      <c r="E138" s="153">
        <f t="shared" si="85"/>
        <v>483.99</v>
      </c>
      <c r="F138" s="153">
        <f t="shared" si="85"/>
        <v>6.77</v>
      </c>
      <c r="G138" s="153">
        <f t="shared" si="85"/>
        <v>14884.94</v>
      </c>
      <c r="H138" s="153">
        <f t="shared" si="85"/>
        <v>2140.17</v>
      </c>
      <c r="I138" s="153">
        <f t="shared" si="85"/>
        <v>0.21</v>
      </c>
      <c r="J138" s="153">
        <f t="shared" si="85"/>
        <v>0</v>
      </c>
      <c r="K138" s="153">
        <f t="shared" si="85"/>
        <v>62.54</v>
      </c>
      <c r="L138" s="153">
        <f t="shared" si="85"/>
        <v>5430.72</v>
      </c>
      <c r="M138" s="153">
        <f t="shared" si="85"/>
        <v>2713.95</v>
      </c>
      <c r="N138" s="153">
        <f t="shared" si="85"/>
        <v>2200.39</v>
      </c>
      <c r="O138" s="153">
        <f t="shared" si="85"/>
        <v>686.17</v>
      </c>
      <c r="P138" s="153">
        <f t="shared" si="85"/>
        <v>0</v>
      </c>
      <c r="R138" s="2">
        <f t="shared" si="71"/>
        <v>61472.889999999992</v>
      </c>
      <c r="T138" s="2">
        <f t="shared" si="72"/>
        <v>31621.78</v>
      </c>
      <c r="U138" s="2">
        <f t="shared" si="73"/>
        <v>1725.25</v>
      </c>
      <c r="V138" s="2">
        <f t="shared" si="74"/>
        <v>17031.88</v>
      </c>
      <c r="W138" s="2">
        <f t="shared" si="75"/>
        <v>0.21</v>
      </c>
      <c r="X138" s="2">
        <f t="shared" si="76"/>
        <v>62.54</v>
      </c>
      <c r="Y138" s="2">
        <f t="shared" si="77"/>
        <v>50441.66</v>
      </c>
      <c r="Z138" s="2">
        <f t="shared" si="78"/>
        <v>5430.72</v>
      </c>
      <c r="AA138" s="2">
        <f t="shared" si="79"/>
        <v>5600.51</v>
      </c>
      <c r="AB138" s="2">
        <f t="shared" si="80"/>
        <v>11031.23</v>
      </c>
      <c r="AC138" s="2">
        <f t="shared" si="81"/>
        <v>61472.89</v>
      </c>
      <c r="AD138" s="2">
        <f t="shared" si="82"/>
        <v>0</v>
      </c>
    </row>
    <row r="139" spans="1:30" hidden="1" x14ac:dyDescent="0.2">
      <c r="A139" s="145">
        <f>'TAX Interest Rates'!A38</f>
        <v>43982</v>
      </c>
      <c r="B139" s="153">
        <f t="shared" ref="B139:P139" si="86">ROUND(-B27*B83,2)</f>
        <v>15457.57</v>
      </c>
      <c r="C139" s="153">
        <f t="shared" si="86"/>
        <v>0</v>
      </c>
      <c r="D139" s="153">
        <f t="shared" si="86"/>
        <v>784.53</v>
      </c>
      <c r="E139" s="153">
        <f t="shared" si="86"/>
        <v>200.66</v>
      </c>
      <c r="F139" s="153">
        <f t="shared" si="86"/>
        <v>3.86</v>
      </c>
      <c r="G139" s="153">
        <f t="shared" si="86"/>
        <v>7182.58</v>
      </c>
      <c r="H139" s="153">
        <f t="shared" si="86"/>
        <v>1340.71</v>
      </c>
      <c r="I139" s="153">
        <f t="shared" si="86"/>
        <v>0</v>
      </c>
      <c r="J139" s="153">
        <f t="shared" si="86"/>
        <v>0</v>
      </c>
      <c r="K139" s="153">
        <f t="shared" si="86"/>
        <v>46.03</v>
      </c>
      <c r="L139" s="153">
        <f t="shared" si="86"/>
        <v>5844.17</v>
      </c>
      <c r="M139" s="153">
        <f t="shared" si="86"/>
        <v>439.78</v>
      </c>
      <c r="N139" s="153">
        <f t="shared" si="86"/>
        <v>158.32</v>
      </c>
      <c r="O139" s="153">
        <f t="shared" si="86"/>
        <v>89.56</v>
      </c>
      <c r="P139" s="153">
        <f t="shared" si="86"/>
        <v>0</v>
      </c>
      <c r="R139" s="2">
        <f t="shared" si="71"/>
        <v>31547.77</v>
      </c>
      <c r="T139" s="2">
        <f t="shared" si="72"/>
        <v>15457.57</v>
      </c>
      <c r="U139" s="2">
        <f t="shared" si="73"/>
        <v>985.18999999999994</v>
      </c>
      <c r="V139" s="2">
        <f t="shared" si="74"/>
        <v>8527.15</v>
      </c>
      <c r="W139" s="2">
        <f t="shared" si="75"/>
        <v>0</v>
      </c>
      <c r="X139" s="2">
        <f t="shared" si="76"/>
        <v>46.03</v>
      </c>
      <c r="Y139" s="2">
        <f t="shared" si="77"/>
        <v>25015.939999999995</v>
      </c>
      <c r="Z139" s="2">
        <f t="shared" si="78"/>
        <v>5844.17</v>
      </c>
      <c r="AA139" s="2">
        <f t="shared" si="79"/>
        <v>687.65999999999985</v>
      </c>
      <c r="AB139" s="2">
        <f t="shared" si="80"/>
        <v>6531.83</v>
      </c>
      <c r="AC139" s="2">
        <f t="shared" si="81"/>
        <v>31547.769999999997</v>
      </c>
      <c r="AD139" s="2">
        <f t="shared" si="82"/>
        <v>0</v>
      </c>
    </row>
    <row r="140" spans="1:30" hidden="1" x14ac:dyDescent="0.2">
      <c r="A140" s="145">
        <f>'TAX Interest Rates'!A39</f>
        <v>44012</v>
      </c>
      <c r="B140" s="153">
        <f t="shared" ref="B140:P140" si="87">ROUND(-B28*B84,2)</f>
        <v>11362.44</v>
      </c>
      <c r="C140" s="153">
        <f t="shared" si="87"/>
        <v>0</v>
      </c>
      <c r="D140" s="153">
        <f t="shared" si="87"/>
        <v>700.95</v>
      </c>
      <c r="E140" s="153">
        <f t="shared" si="87"/>
        <v>390.2</v>
      </c>
      <c r="F140" s="153">
        <f t="shared" si="87"/>
        <v>3.65</v>
      </c>
      <c r="G140" s="153">
        <f t="shared" si="87"/>
        <v>5496.46</v>
      </c>
      <c r="H140" s="153">
        <f t="shared" si="87"/>
        <v>1094.6099999999999</v>
      </c>
      <c r="I140" s="153">
        <f t="shared" si="87"/>
        <v>0</v>
      </c>
      <c r="J140" s="153">
        <f t="shared" si="87"/>
        <v>0</v>
      </c>
      <c r="K140" s="153">
        <f t="shared" si="87"/>
        <v>36.14</v>
      </c>
      <c r="L140" s="153">
        <f t="shared" si="87"/>
        <v>5532.39</v>
      </c>
      <c r="M140" s="153">
        <f t="shared" si="87"/>
        <v>603.17999999999995</v>
      </c>
      <c r="N140" s="153">
        <f t="shared" si="87"/>
        <v>261.39</v>
      </c>
      <c r="O140" s="153">
        <f t="shared" si="87"/>
        <v>147.28</v>
      </c>
      <c r="P140" s="153">
        <f t="shared" si="87"/>
        <v>0</v>
      </c>
      <c r="R140" s="2">
        <f t="shared" si="71"/>
        <v>25628.69</v>
      </c>
      <c r="T140" s="2">
        <f t="shared" si="72"/>
        <v>11362.44</v>
      </c>
      <c r="U140" s="2">
        <f t="shared" si="73"/>
        <v>1091.1500000000001</v>
      </c>
      <c r="V140" s="2">
        <f t="shared" si="74"/>
        <v>6594.7199999999993</v>
      </c>
      <c r="W140" s="2">
        <f t="shared" si="75"/>
        <v>0</v>
      </c>
      <c r="X140" s="2">
        <f t="shared" si="76"/>
        <v>36.14</v>
      </c>
      <c r="Y140" s="2">
        <f t="shared" si="77"/>
        <v>19084.449999999997</v>
      </c>
      <c r="Z140" s="2">
        <f t="shared" si="78"/>
        <v>5532.39</v>
      </c>
      <c r="AA140" s="2">
        <f t="shared" si="79"/>
        <v>1011.8499999999999</v>
      </c>
      <c r="AB140" s="2">
        <f t="shared" si="80"/>
        <v>6544.24</v>
      </c>
      <c r="AC140" s="2">
        <f t="shared" si="81"/>
        <v>25628.689999999995</v>
      </c>
      <c r="AD140" s="2">
        <f t="shared" si="82"/>
        <v>0</v>
      </c>
    </row>
    <row r="141" spans="1:30" hidden="1" x14ac:dyDescent="0.2">
      <c r="A141" s="145">
        <f>'TAX Interest Rates'!A40</f>
        <v>44043</v>
      </c>
      <c r="B141" s="153">
        <f t="shared" ref="B141:P141" si="88">ROUND(-B29*B85,2)</f>
        <v>9136.44</v>
      </c>
      <c r="C141" s="153">
        <f t="shared" si="88"/>
        <v>0</v>
      </c>
      <c r="D141" s="153">
        <f t="shared" si="88"/>
        <v>618.71</v>
      </c>
      <c r="E141" s="153">
        <f t="shared" si="88"/>
        <v>301.75</v>
      </c>
      <c r="F141" s="153">
        <f t="shared" si="88"/>
        <v>1.64</v>
      </c>
      <c r="G141" s="153">
        <f t="shared" si="88"/>
        <v>4935.46</v>
      </c>
      <c r="H141" s="153">
        <f t="shared" si="88"/>
        <v>1095.6600000000001</v>
      </c>
      <c r="I141" s="153">
        <f t="shared" si="88"/>
        <v>0</v>
      </c>
      <c r="J141" s="153">
        <f t="shared" si="88"/>
        <v>0</v>
      </c>
      <c r="K141" s="153">
        <f t="shared" si="88"/>
        <v>35.11</v>
      </c>
      <c r="L141" s="153">
        <f t="shared" si="88"/>
        <v>5793.38</v>
      </c>
      <c r="M141" s="153">
        <f t="shared" si="88"/>
        <v>1974.82</v>
      </c>
      <c r="N141" s="153">
        <f t="shared" si="88"/>
        <v>1036.05</v>
      </c>
      <c r="O141" s="153">
        <f t="shared" si="88"/>
        <v>396.86</v>
      </c>
      <c r="P141" s="153">
        <f t="shared" si="88"/>
        <v>0</v>
      </c>
      <c r="R141" s="2">
        <f t="shared" si="71"/>
        <v>25325.88</v>
      </c>
      <c r="T141" s="2">
        <f t="shared" si="72"/>
        <v>9136.44</v>
      </c>
      <c r="U141" s="2">
        <f t="shared" si="73"/>
        <v>920.46</v>
      </c>
      <c r="V141" s="2">
        <f t="shared" si="74"/>
        <v>6032.76</v>
      </c>
      <c r="W141" s="2">
        <f t="shared" si="75"/>
        <v>0</v>
      </c>
      <c r="X141" s="2">
        <f t="shared" si="76"/>
        <v>35.11</v>
      </c>
      <c r="Y141" s="2">
        <f t="shared" si="77"/>
        <v>16124.770000000002</v>
      </c>
      <c r="Z141" s="2">
        <f t="shared" si="78"/>
        <v>5793.38</v>
      </c>
      <c r="AA141" s="2">
        <f t="shared" si="79"/>
        <v>3407.73</v>
      </c>
      <c r="AB141" s="2">
        <f t="shared" si="80"/>
        <v>9201.11</v>
      </c>
      <c r="AC141" s="2">
        <f t="shared" si="81"/>
        <v>25325.880000000005</v>
      </c>
      <c r="AD141" s="2">
        <f t="shared" si="82"/>
        <v>0</v>
      </c>
    </row>
    <row r="142" spans="1:30" hidden="1" x14ac:dyDescent="0.2">
      <c r="A142" s="145">
        <f>'TAX Interest Rates'!A41</f>
        <v>44074</v>
      </c>
      <c r="B142" s="153">
        <f t="shared" ref="B142:P142" si="89">ROUND(-B30*B86,2)</f>
        <v>6202.46</v>
      </c>
      <c r="C142" s="153">
        <f t="shared" si="89"/>
        <v>0</v>
      </c>
      <c r="D142" s="153">
        <f t="shared" si="89"/>
        <v>547.08000000000004</v>
      </c>
      <c r="E142" s="153">
        <f t="shared" si="89"/>
        <v>268.87</v>
      </c>
      <c r="F142" s="153">
        <f t="shared" si="89"/>
        <v>1.42</v>
      </c>
      <c r="G142" s="153">
        <f t="shared" si="89"/>
        <v>3768.48</v>
      </c>
      <c r="H142" s="153">
        <f t="shared" si="89"/>
        <v>861.25</v>
      </c>
      <c r="I142" s="153">
        <f t="shared" si="89"/>
        <v>0</v>
      </c>
      <c r="J142" s="153">
        <f t="shared" si="89"/>
        <v>0</v>
      </c>
      <c r="K142" s="153">
        <f t="shared" si="89"/>
        <v>33.17</v>
      </c>
      <c r="L142" s="153">
        <f t="shared" si="89"/>
        <v>6468.14</v>
      </c>
      <c r="M142" s="153">
        <f t="shared" si="89"/>
        <v>2631.43</v>
      </c>
      <c r="N142" s="153">
        <f t="shared" si="89"/>
        <v>2055.63</v>
      </c>
      <c r="O142" s="153">
        <f t="shared" si="89"/>
        <v>866.99</v>
      </c>
      <c r="P142" s="153">
        <f t="shared" si="89"/>
        <v>0</v>
      </c>
      <c r="R142" s="2">
        <f t="shared" si="71"/>
        <v>23704.920000000002</v>
      </c>
      <c r="T142" s="2">
        <f t="shared" si="72"/>
        <v>6202.46</v>
      </c>
      <c r="U142" s="2">
        <f t="shared" si="73"/>
        <v>815.95</v>
      </c>
      <c r="V142" s="2">
        <f t="shared" si="74"/>
        <v>4631.1499999999996</v>
      </c>
      <c r="W142" s="2">
        <f t="shared" si="75"/>
        <v>0</v>
      </c>
      <c r="X142" s="2">
        <f t="shared" si="76"/>
        <v>33.17</v>
      </c>
      <c r="Y142" s="2">
        <f t="shared" si="77"/>
        <v>11682.73</v>
      </c>
      <c r="Z142" s="2">
        <f t="shared" si="78"/>
        <v>6468.14</v>
      </c>
      <c r="AA142" s="2">
        <f t="shared" si="79"/>
        <v>5554.0499999999993</v>
      </c>
      <c r="AB142" s="2">
        <f t="shared" si="80"/>
        <v>12022.189999999999</v>
      </c>
      <c r="AC142" s="2">
        <f t="shared" si="81"/>
        <v>23704.92</v>
      </c>
      <c r="AD142" s="2">
        <f t="shared" si="82"/>
        <v>0</v>
      </c>
    </row>
    <row r="143" spans="1:30" hidden="1" x14ac:dyDescent="0.2">
      <c r="A143" s="145">
        <f>'TAX Interest Rates'!A42</f>
        <v>44104</v>
      </c>
      <c r="B143" s="153">
        <f t="shared" ref="B143:P143" si="90">ROUND(-B31*B87,2)</f>
        <v>6693.05</v>
      </c>
      <c r="C143" s="153">
        <f t="shared" si="90"/>
        <v>0</v>
      </c>
      <c r="D143" s="153">
        <f t="shared" si="90"/>
        <v>682.88</v>
      </c>
      <c r="E143" s="153">
        <f t="shared" si="90"/>
        <v>307.58999999999997</v>
      </c>
      <c r="F143" s="153">
        <f t="shared" si="90"/>
        <v>1.1200000000000001</v>
      </c>
      <c r="G143" s="153">
        <f t="shared" si="90"/>
        <v>4263.67</v>
      </c>
      <c r="H143" s="153">
        <f t="shared" si="90"/>
        <v>840.2</v>
      </c>
      <c r="I143" s="153">
        <f t="shared" si="90"/>
        <v>0</v>
      </c>
      <c r="J143" s="153">
        <f t="shared" si="90"/>
        <v>0</v>
      </c>
      <c r="K143" s="153">
        <f t="shared" si="90"/>
        <v>31.2</v>
      </c>
      <c r="L143" s="153">
        <f t="shared" si="90"/>
        <v>6848.13</v>
      </c>
      <c r="M143" s="153">
        <f t="shared" si="90"/>
        <v>2812.34</v>
      </c>
      <c r="N143" s="153">
        <f t="shared" si="90"/>
        <v>2515.02</v>
      </c>
      <c r="O143" s="153">
        <f t="shared" si="90"/>
        <v>1087.18</v>
      </c>
      <c r="P143" s="153">
        <f t="shared" si="90"/>
        <v>0</v>
      </c>
      <c r="R143" s="2">
        <f t="shared" si="71"/>
        <v>26082.380000000005</v>
      </c>
      <c r="T143" s="2">
        <f t="shared" si="72"/>
        <v>6693.05</v>
      </c>
      <c r="U143" s="2">
        <f t="shared" si="73"/>
        <v>990.47</v>
      </c>
      <c r="V143" s="2">
        <f t="shared" si="74"/>
        <v>5104.99</v>
      </c>
      <c r="W143" s="2">
        <f t="shared" si="75"/>
        <v>0</v>
      </c>
      <c r="X143" s="2">
        <f t="shared" si="76"/>
        <v>31.2</v>
      </c>
      <c r="Y143" s="2">
        <f t="shared" si="77"/>
        <v>12819.710000000001</v>
      </c>
      <c r="Z143" s="2">
        <f t="shared" si="78"/>
        <v>6848.13</v>
      </c>
      <c r="AA143" s="2">
        <f t="shared" si="79"/>
        <v>6414.5400000000009</v>
      </c>
      <c r="AB143" s="2">
        <f t="shared" si="80"/>
        <v>13262.670000000002</v>
      </c>
      <c r="AC143" s="2">
        <f t="shared" si="81"/>
        <v>26082.380000000005</v>
      </c>
      <c r="AD143" s="2">
        <f t="shared" si="82"/>
        <v>0</v>
      </c>
    </row>
    <row r="144" spans="1:30" hidden="1" x14ac:dyDescent="0.2">
      <c r="A144" s="145">
        <f>'TAX Interest Rates'!A43</f>
        <v>44135</v>
      </c>
      <c r="B144" s="153">
        <f t="shared" ref="B144:P144" si="91">ROUND(-B32*B88,2)</f>
        <v>9607.69</v>
      </c>
      <c r="C144" s="153">
        <f t="shared" si="91"/>
        <v>0</v>
      </c>
      <c r="D144" s="153">
        <f t="shared" si="91"/>
        <v>1100.81</v>
      </c>
      <c r="E144" s="153">
        <f t="shared" si="91"/>
        <v>336.61</v>
      </c>
      <c r="F144" s="153">
        <f t="shared" si="91"/>
        <v>5.72</v>
      </c>
      <c r="G144" s="153">
        <f t="shared" si="91"/>
        <v>5539.46</v>
      </c>
      <c r="H144" s="153">
        <f t="shared" si="91"/>
        <v>455.81</v>
      </c>
      <c r="I144" s="153">
        <f t="shared" si="91"/>
        <v>0</v>
      </c>
      <c r="J144" s="153">
        <f t="shared" si="91"/>
        <v>0</v>
      </c>
      <c r="K144" s="153">
        <f t="shared" si="91"/>
        <v>59.02</v>
      </c>
      <c r="L144" s="153">
        <f t="shared" si="91"/>
        <v>7378.03</v>
      </c>
      <c r="M144" s="153">
        <f t="shared" si="91"/>
        <v>1891.81</v>
      </c>
      <c r="N144" s="153">
        <f t="shared" si="91"/>
        <v>1653.66</v>
      </c>
      <c r="O144" s="153">
        <f t="shared" si="91"/>
        <v>318.12</v>
      </c>
      <c r="P144" s="153">
        <f t="shared" si="91"/>
        <v>0</v>
      </c>
      <c r="R144" s="2">
        <f t="shared" si="71"/>
        <v>28346.74</v>
      </c>
      <c r="T144" s="2">
        <f t="shared" si="72"/>
        <v>9607.69</v>
      </c>
      <c r="U144" s="2">
        <f t="shared" si="73"/>
        <v>1437.42</v>
      </c>
      <c r="V144" s="2">
        <f t="shared" si="74"/>
        <v>6000.9900000000007</v>
      </c>
      <c r="W144" s="2">
        <f t="shared" si="75"/>
        <v>0</v>
      </c>
      <c r="X144" s="2">
        <f t="shared" si="76"/>
        <v>59.02</v>
      </c>
      <c r="Y144" s="2">
        <f t="shared" si="77"/>
        <v>17105.120000000003</v>
      </c>
      <c r="Z144" s="2">
        <f t="shared" si="78"/>
        <v>7378.03</v>
      </c>
      <c r="AA144" s="2">
        <f t="shared" si="79"/>
        <v>3863.59</v>
      </c>
      <c r="AB144" s="2">
        <f t="shared" si="80"/>
        <v>11241.619999999999</v>
      </c>
      <c r="AC144" s="2">
        <f t="shared" si="81"/>
        <v>28346.74</v>
      </c>
      <c r="AD144" s="2">
        <f t="shared" si="82"/>
        <v>0</v>
      </c>
    </row>
    <row r="145" spans="1:30" hidden="1" x14ac:dyDescent="0.2">
      <c r="A145" s="145">
        <f>'TAX Interest Rates'!A44</f>
        <v>44165</v>
      </c>
      <c r="B145" s="153">
        <f>ROUND(-B33*B88,2)</f>
        <v>15633.38</v>
      </c>
      <c r="C145" s="153">
        <f t="shared" ref="C145:P145" si="92">ROUND(-C33*C88,2)</f>
        <v>0</v>
      </c>
      <c r="D145" s="153">
        <f t="shared" si="92"/>
        <v>676.76</v>
      </c>
      <c r="E145" s="153">
        <f t="shared" si="92"/>
        <v>201.66</v>
      </c>
      <c r="F145" s="153">
        <f t="shared" si="92"/>
        <v>0</v>
      </c>
      <c r="G145" s="153">
        <f t="shared" si="92"/>
        <v>7705.39</v>
      </c>
      <c r="H145" s="153">
        <f t="shared" si="92"/>
        <v>513.61</v>
      </c>
      <c r="I145" s="153">
        <f t="shared" si="92"/>
        <v>0</v>
      </c>
      <c r="J145" s="153">
        <f t="shared" si="92"/>
        <v>0</v>
      </c>
      <c r="K145" s="153">
        <f t="shared" si="92"/>
        <v>0</v>
      </c>
      <c r="L145" s="153">
        <f t="shared" si="92"/>
        <v>-8.61</v>
      </c>
      <c r="M145" s="153">
        <f t="shared" si="92"/>
        <v>0</v>
      </c>
      <c r="N145" s="153">
        <f t="shared" si="92"/>
        <v>0</v>
      </c>
      <c r="O145" s="153">
        <f t="shared" si="92"/>
        <v>0</v>
      </c>
      <c r="P145" s="153">
        <f t="shared" si="92"/>
        <v>0</v>
      </c>
      <c r="R145" s="2">
        <f t="shared" si="71"/>
        <v>24722.19</v>
      </c>
      <c r="S145" s="2" t="s">
        <v>45</v>
      </c>
      <c r="T145" s="2">
        <f t="shared" si="72"/>
        <v>15633.38</v>
      </c>
      <c r="U145" s="2">
        <f t="shared" si="73"/>
        <v>878.42</v>
      </c>
      <c r="V145" s="2">
        <f t="shared" si="74"/>
        <v>8219</v>
      </c>
      <c r="W145" s="2">
        <f t="shared" si="75"/>
        <v>0</v>
      </c>
      <c r="X145" s="2">
        <f t="shared" si="76"/>
        <v>0</v>
      </c>
      <c r="Y145" s="2">
        <f t="shared" si="77"/>
        <v>24730.799999999999</v>
      </c>
      <c r="Z145" s="2">
        <f t="shared" si="78"/>
        <v>-8.61</v>
      </c>
      <c r="AA145" s="2">
        <f t="shared" si="79"/>
        <v>0</v>
      </c>
      <c r="AB145" s="2">
        <f t="shared" si="80"/>
        <v>-8.61</v>
      </c>
      <c r="AC145" s="2">
        <f t="shared" si="81"/>
        <v>24722.19</v>
      </c>
      <c r="AD145" s="2">
        <f t="shared" si="82"/>
        <v>-5.8264504332328215E-13</v>
      </c>
    </row>
    <row r="146" spans="1:30" hidden="1" x14ac:dyDescent="0.2">
      <c r="A146" s="145">
        <f>'TAX Interest Rates'!A44</f>
        <v>44165</v>
      </c>
      <c r="B146" s="153">
        <f>ROUND(-B34*B89,2)</f>
        <v>10124.49</v>
      </c>
      <c r="C146" s="153">
        <f t="shared" ref="C146:P146" si="93">ROUND(-C34*C89,2)</f>
        <v>0</v>
      </c>
      <c r="D146" s="153">
        <f t="shared" si="93"/>
        <v>349.42</v>
      </c>
      <c r="E146" s="153">
        <f t="shared" si="93"/>
        <v>122.51</v>
      </c>
      <c r="F146" s="153">
        <f t="shared" si="93"/>
        <v>12.28</v>
      </c>
      <c r="G146" s="153">
        <f t="shared" si="93"/>
        <v>4469.8599999999997</v>
      </c>
      <c r="H146" s="153">
        <f t="shared" si="93"/>
        <v>385.71</v>
      </c>
      <c r="I146" s="153">
        <f t="shared" si="93"/>
        <v>0</v>
      </c>
      <c r="J146" s="153">
        <f t="shared" si="93"/>
        <v>0</v>
      </c>
      <c r="K146" s="153">
        <f t="shared" si="93"/>
        <v>92.53</v>
      </c>
      <c r="L146" s="153">
        <f t="shared" si="93"/>
        <v>9168.91</v>
      </c>
      <c r="M146" s="153">
        <f t="shared" si="93"/>
        <v>1803.95</v>
      </c>
      <c r="N146" s="153">
        <f t="shared" si="93"/>
        <v>580.62</v>
      </c>
      <c r="O146" s="153">
        <f t="shared" si="93"/>
        <v>219.94</v>
      </c>
      <c r="P146" s="153">
        <f t="shared" si="93"/>
        <v>0</v>
      </c>
      <c r="R146" s="2">
        <f t="shared" si="71"/>
        <v>27330.219999999998</v>
      </c>
      <c r="S146" s="2" t="s">
        <v>46</v>
      </c>
      <c r="T146" s="2">
        <f t="shared" si="72"/>
        <v>10124.49</v>
      </c>
      <c r="U146" s="2">
        <f t="shared" si="73"/>
        <v>471.93</v>
      </c>
      <c r="V146" s="2">
        <f t="shared" si="74"/>
        <v>4867.8499999999995</v>
      </c>
      <c r="W146" s="2">
        <f t="shared" si="75"/>
        <v>0</v>
      </c>
      <c r="X146" s="2">
        <f t="shared" si="76"/>
        <v>92.53</v>
      </c>
      <c r="Y146" s="2">
        <f t="shared" si="77"/>
        <v>15556.800000000001</v>
      </c>
      <c r="Z146" s="2">
        <f t="shared" si="78"/>
        <v>9168.91</v>
      </c>
      <c r="AA146" s="2">
        <f t="shared" si="79"/>
        <v>2604.5100000000002</v>
      </c>
      <c r="AB146" s="2">
        <f t="shared" si="80"/>
        <v>11773.42</v>
      </c>
      <c r="AC146" s="2">
        <f t="shared" si="81"/>
        <v>27330.22</v>
      </c>
      <c r="AD146" s="2">
        <f t="shared" si="82"/>
        <v>0</v>
      </c>
    </row>
    <row r="147" spans="1:30" hidden="1" x14ac:dyDescent="0.2">
      <c r="A147" s="145">
        <f>'TAX Interest Rates'!A45</f>
        <v>44196</v>
      </c>
      <c r="B147" s="153">
        <f>ROUND(-B35*B90,2)</f>
        <v>52470.01</v>
      </c>
      <c r="C147" s="153">
        <f t="shared" ref="C147:P147" si="94">ROUND(-C35*C90,2)</f>
        <v>0</v>
      </c>
      <c r="D147" s="153">
        <f t="shared" si="94"/>
        <v>1858.16</v>
      </c>
      <c r="E147" s="153">
        <f t="shared" si="94"/>
        <v>474.57</v>
      </c>
      <c r="F147" s="153">
        <f t="shared" si="94"/>
        <v>16.350000000000001</v>
      </c>
      <c r="G147" s="153">
        <f t="shared" si="94"/>
        <v>26151.97</v>
      </c>
      <c r="H147" s="153">
        <f t="shared" si="94"/>
        <v>1697.52</v>
      </c>
      <c r="I147" s="153">
        <f t="shared" si="94"/>
        <v>0</v>
      </c>
      <c r="J147" s="153">
        <f t="shared" si="94"/>
        <v>0</v>
      </c>
      <c r="K147" s="153">
        <f t="shared" si="94"/>
        <v>102.68</v>
      </c>
      <c r="L147" s="153">
        <f t="shared" si="94"/>
        <v>8938.5499999999993</v>
      </c>
      <c r="M147" s="153">
        <f t="shared" si="94"/>
        <v>3204.77</v>
      </c>
      <c r="N147" s="153">
        <f t="shared" si="94"/>
        <v>2202.39</v>
      </c>
      <c r="O147" s="153">
        <f t="shared" si="94"/>
        <v>183.47</v>
      </c>
      <c r="P147" s="153">
        <f t="shared" si="94"/>
        <v>0</v>
      </c>
      <c r="R147" s="2">
        <f t="shared" ref="R147:R157" si="95">SUM(B147:Q147)</f>
        <v>97300.44</v>
      </c>
      <c r="T147" s="2">
        <f t="shared" ref="T147:T157" si="96">+B147</f>
        <v>52470.01</v>
      </c>
      <c r="U147" s="2">
        <f t="shared" ref="U147:U157" si="97">+C147+D147+E147</f>
        <v>2332.73</v>
      </c>
      <c r="V147" s="2">
        <f t="shared" ref="V147:V157" si="98">+F147+G147+H147</f>
        <v>27865.84</v>
      </c>
      <c r="W147" s="2">
        <f t="shared" ref="W147:W157" si="99">+I147+J147</f>
        <v>0</v>
      </c>
      <c r="X147" s="2">
        <f t="shared" ref="X147:X157" si="100">+K147</f>
        <v>102.68</v>
      </c>
      <c r="Y147" s="2">
        <f t="shared" ref="Y147:Y157" si="101">SUM(T147:X147)</f>
        <v>82771.259999999995</v>
      </c>
      <c r="Z147" s="2">
        <f t="shared" ref="Z147:Z157" si="102">+L147</f>
        <v>8938.5499999999993</v>
      </c>
      <c r="AA147" s="2">
        <f t="shared" ref="AA147:AA157" si="103">+M147+N147+O147+P147</f>
        <v>5590.63</v>
      </c>
      <c r="AB147" s="2">
        <f t="shared" ref="AB147:AB157" si="104">SUM(Z147:AA147)</f>
        <v>14529.18</v>
      </c>
      <c r="AC147" s="2">
        <f t="shared" ref="AC147:AC157" si="105">+Y147+AB147</f>
        <v>97300.44</v>
      </c>
      <c r="AD147" s="2">
        <f t="shared" ref="AD147:AD157" si="106">+R147-Y147-AB147</f>
        <v>0</v>
      </c>
    </row>
    <row r="148" spans="1:30" hidden="1" x14ac:dyDescent="0.2">
      <c r="A148" s="145">
        <f>'TAX Interest Rates'!A46</f>
        <v>44227</v>
      </c>
      <c r="B148" s="153">
        <f t="shared" ref="B148:P148" si="107">ROUND(-B36*B91,2)</f>
        <v>55906.25</v>
      </c>
      <c r="C148" s="153">
        <f t="shared" si="107"/>
        <v>0</v>
      </c>
      <c r="D148" s="153">
        <f t="shared" si="107"/>
        <v>1732.34</v>
      </c>
      <c r="E148" s="153">
        <f t="shared" si="107"/>
        <v>487.45</v>
      </c>
      <c r="F148" s="153">
        <f t="shared" si="107"/>
        <v>27.55</v>
      </c>
      <c r="G148" s="153">
        <f t="shared" si="107"/>
        <v>27884.47</v>
      </c>
      <c r="H148" s="153">
        <f t="shared" si="107"/>
        <v>1649.83</v>
      </c>
      <c r="I148" s="153">
        <f t="shared" si="107"/>
        <v>0</v>
      </c>
      <c r="J148" s="153">
        <f t="shared" si="107"/>
        <v>0</v>
      </c>
      <c r="K148" s="153">
        <f t="shared" si="107"/>
        <v>104.43</v>
      </c>
      <c r="L148" s="153">
        <f t="shared" si="107"/>
        <v>9488.27</v>
      </c>
      <c r="M148" s="153">
        <f t="shared" si="107"/>
        <v>2959.97</v>
      </c>
      <c r="N148" s="153">
        <f t="shared" si="107"/>
        <v>1245.79</v>
      </c>
      <c r="O148" s="153">
        <f t="shared" si="107"/>
        <v>60.63</v>
      </c>
      <c r="P148" s="153">
        <f t="shared" si="107"/>
        <v>0</v>
      </c>
      <c r="R148" s="2">
        <f t="shared" si="95"/>
        <v>101546.98</v>
      </c>
      <c r="T148" s="2">
        <f t="shared" si="96"/>
        <v>55906.25</v>
      </c>
      <c r="U148" s="2">
        <f t="shared" si="97"/>
        <v>2219.79</v>
      </c>
      <c r="V148" s="2">
        <f t="shared" si="98"/>
        <v>29561.85</v>
      </c>
      <c r="W148" s="2">
        <f t="shared" si="99"/>
        <v>0</v>
      </c>
      <c r="X148" s="2">
        <f t="shared" si="100"/>
        <v>104.43</v>
      </c>
      <c r="Y148" s="2">
        <f t="shared" si="101"/>
        <v>87792.319999999992</v>
      </c>
      <c r="Z148" s="2">
        <f t="shared" si="102"/>
        <v>9488.27</v>
      </c>
      <c r="AA148" s="2">
        <f t="shared" si="103"/>
        <v>4266.3900000000003</v>
      </c>
      <c r="AB148" s="2">
        <f t="shared" si="104"/>
        <v>13754.66</v>
      </c>
      <c r="AC148" s="2">
        <f t="shared" si="105"/>
        <v>101546.98</v>
      </c>
      <c r="AD148" s="2">
        <f t="shared" si="106"/>
        <v>0</v>
      </c>
    </row>
    <row r="149" spans="1:30" hidden="1" x14ac:dyDescent="0.2">
      <c r="A149" s="145">
        <f>'TAX Interest Rates'!A47</f>
        <v>44255</v>
      </c>
      <c r="B149" s="153">
        <f t="shared" ref="B149:P149" si="108">ROUND(-B37*B92,2)</f>
        <v>52822.68</v>
      </c>
      <c r="C149" s="153">
        <f t="shared" si="108"/>
        <v>0</v>
      </c>
      <c r="D149" s="153">
        <f t="shared" si="108"/>
        <v>1679.8</v>
      </c>
      <c r="E149" s="153">
        <f t="shared" si="108"/>
        <v>420.93</v>
      </c>
      <c r="F149" s="153">
        <f t="shared" si="108"/>
        <v>16.39</v>
      </c>
      <c r="G149" s="153">
        <f t="shared" si="108"/>
        <v>26149.09</v>
      </c>
      <c r="H149" s="153">
        <f t="shared" si="108"/>
        <v>1597.46</v>
      </c>
      <c r="I149" s="153">
        <f t="shared" si="108"/>
        <v>0</v>
      </c>
      <c r="J149" s="153">
        <f t="shared" si="108"/>
        <v>0</v>
      </c>
      <c r="K149" s="153">
        <f t="shared" si="108"/>
        <v>100.74</v>
      </c>
      <c r="L149" s="153">
        <f t="shared" si="108"/>
        <v>8699.8799999999992</v>
      </c>
      <c r="M149" s="153">
        <f t="shared" si="108"/>
        <v>2513.2600000000002</v>
      </c>
      <c r="N149" s="153">
        <f t="shared" si="108"/>
        <v>1291.73</v>
      </c>
      <c r="O149" s="153">
        <f t="shared" si="108"/>
        <v>235.75</v>
      </c>
      <c r="P149" s="153">
        <f t="shared" si="108"/>
        <v>0</v>
      </c>
      <c r="R149" s="2">
        <f t="shared" si="95"/>
        <v>95527.71</v>
      </c>
      <c r="T149" s="2">
        <f t="shared" si="96"/>
        <v>52822.68</v>
      </c>
      <c r="U149" s="2">
        <f t="shared" si="97"/>
        <v>2100.73</v>
      </c>
      <c r="V149" s="2">
        <f t="shared" si="98"/>
        <v>27762.94</v>
      </c>
      <c r="W149" s="2">
        <f t="shared" si="99"/>
        <v>0</v>
      </c>
      <c r="X149" s="2">
        <f t="shared" si="100"/>
        <v>100.74</v>
      </c>
      <c r="Y149" s="2">
        <f t="shared" si="101"/>
        <v>82787.090000000011</v>
      </c>
      <c r="Z149" s="2">
        <f t="shared" si="102"/>
        <v>8699.8799999999992</v>
      </c>
      <c r="AA149" s="2">
        <f t="shared" si="103"/>
        <v>4040.7400000000002</v>
      </c>
      <c r="AB149" s="2">
        <f t="shared" si="104"/>
        <v>12740.619999999999</v>
      </c>
      <c r="AC149" s="2">
        <f t="shared" si="105"/>
        <v>95527.71</v>
      </c>
      <c r="AD149" s="2">
        <f t="shared" si="106"/>
        <v>0</v>
      </c>
    </row>
    <row r="150" spans="1:30" hidden="1" x14ac:dyDescent="0.2">
      <c r="A150" s="145">
        <f>'TAX Interest Rates'!A48</f>
        <v>44286</v>
      </c>
      <c r="B150" s="153">
        <f t="shared" ref="B150:P150" si="109">ROUND(-B38*B93,2)</f>
        <v>55881.99</v>
      </c>
      <c r="C150" s="153">
        <f t="shared" si="109"/>
        <v>0</v>
      </c>
      <c r="D150" s="153">
        <f t="shared" si="109"/>
        <v>1866.97</v>
      </c>
      <c r="E150" s="153">
        <f t="shared" si="109"/>
        <v>515.39</v>
      </c>
      <c r="F150" s="153">
        <f t="shared" si="109"/>
        <v>8.68</v>
      </c>
      <c r="G150" s="153">
        <f t="shared" si="109"/>
        <v>28555.01</v>
      </c>
      <c r="H150" s="153">
        <f t="shared" si="109"/>
        <v>1677.41</v>
      </c>
      <c r="I150" s="153">
        <f t="shared" si="109"/>
        <v>0</v>
      </c>
      <c r="J150" s="153">
        <f t="shared" si="109"/>
        <v>0</v>
      </c>
      <c r="K150" s="153">
        <f t="shared" si="109"/>
        <v>98.52</v>
      </c>
      <c r="L150" s="153">
        <f t="shared" si="109"/>
        <v>9297.1200000000008</v>
      </c>
      <c r="M150" s="153">
        <f t="shared" si="109"/>
        <v>3612.12</v>
      </c>
      <c r="N150" s="153">
        <f t="shared" si="109"/>
        <v>2633.73</v>
      </c>
      <c r="O150" s="153">
        <f t="shared" si="109"/>
        <v>496.57</v>
      </c>
      <c r="P150" s="153">
        <f t="shared" si="109"/>
        <v>0</v>
      </c>
      <c r="R150" s="2">
        <f t="shared" si="95"/>
        <v>104643.51</v>
      </c>
      <c r="T150" s="2">
        <f t="shared" si="96"/>
        <v>55881.99</v>
      </c>
      <c r="U150" s="2">
        <f t="shared" si="97"/>
        <v>2382.36</v>
      </c>
      <c r="V150" s="2">
        <f t="shared" si="98"/>
        <v>30241.1</v>
      </c>
      <c r="W150" s="2">
        <f t="shared" si="99"/>
        <v>0</v>
      </c>
      <c r="X150" s="2">
        <f t="shared" si="100"/>
        <v>98.52</v>
      </c>
      <c r="Y150" s="2">
        <f t="shared" si="101"/>
        <v>88603.97</v>
      </c>
      <c r="Z150" s="2">
        <f t="shared" si="102"/>
        <v>9297.1200000000008</v>
      </c>
      <c r="AA150" s="2">
        <f t="shared" si="103"/>
        <v>6742.42</v>
      </c>
      <c r="AB150" s="2">
        <f t="shared" si="104"/>
        <v>16039.54</v>
      </c>
      <c r="AC150" s="2">
        <f t="shared" si="105"/>
        <v>104643.51000000001</v>
      </c>
      <c r="AD150" s="2">
        <f t="shared" si="106"/>
        <v>0</v>
      </c>
    </row>
    <row r="151" spans="1:30" hidden="1" x14ac:dyDescent="0.2">
      <c r="A151" s="145">
        <f>'TAX Interest Rates'!A49</f>
        <v>44316</v>
      </c>
      <c r="B151" s="153">
        <f t="shared" ref="B151:P151" si="110">ROUND(-B39*B94,2)</f>
        <v>38532.5</v>
      </c>
      <c r="C151" s="153">
        <f t="shared" si="110"/>
        <v>0</v>
      </c>
      <c r="D151" s="153">
        <f t="shared" si="110"/>
        <v>1461.72</v>
      </c>
      <c r="E151" s="153">
        <f t="shared" si="110"/>
        <v>481.63</v>
      </c>
      <c r="F151" s="153">
        <f t="shared" si="110"/>
        <v>4.7699999999999996</v>
      </c>
      <c r="G151" s="153">
        <f t="shared" si="110"/>
        <v>19864.330000000002</v>
      </c>
      <c r="H151" s="153">
        <f t="shared" si="110"/>
        <v>1282.1400000000001</v>
      </c>
      <c r="I151" s="153">
        <f t="shared" si="110"/>
        <v>0</v>
      </c>
      <c r="J151" s="153">
        <f t="shared" si="110"/>
        <v>0</v>
      </c>
      <c r="K151" s="153">
        <f t="shared" si="110"/>
        <v>75.84</v>
      </c>
      <c r="L151" s="153">
        <f t="shared" si="110"/>
        <v>8690.6200000000008</v>
      </c>
      <c r="M151" s="153">
        <f t="shared" si="110"/>
        <v>1575.05</v>
      </c>
      <c r="N151" s="153">
        <f t="shared" si="110"/>
        <v>3095.25</v>
      </c>
      <c r="O151" s="153">
        <f t="shared" si="110"/>
        <v>2010.77</v>
      </c>
      <c r="P151" s="153">
        <f t="shared" si="110"/>
        <v>0</v>
      </c>
      <c r="R151" s="2">
        <f t="shared" si="95"/>
        <v>77074.62</v>
      </c>
      <c r="T151" s="2">
        <f t="shared" si="96"/>
        <v>38532.5</v>
      </c>
      <c r="U151" s="2">
        <f t="shared" si="97"/>
        <v>1943.35</v>
      </c>
      <c r="V151" s="2">
        <f t="shared" si="98"/>
        <v>21151.24</v>
      </c>
      <c r="W151" s="2">
        <f t="shared" si="99"/>
        <v>0</v>
      </c>
      <c r="X151" s="2">
        <f t="shared" si="100"/>
        <v>75.84</v>
      </c>
      <c r="Y151" s="2">
        <f t="shared" si="101"/>
        <v>61702.929999999993</v>
      </c>
      <c r="Z151" s="2">
        <f t="shared" si="102"/>
        <v>8690.6200000000008</v>
      </c>
      <c r="AA151" s="2">
        <f t="shared" si="103"/>
        <v>6681.07</v>
      </c>
      <c r="AB151" s="2">
        <f t="shared" si="104"/>
        <v>15371.69</v>
      </c>
      <c r="AC151" s="2">
        <f t="shared" si="105"/>
        <v>77074.62</v>
      </c>
      <c r="AD151" s="2">
        <f t="shared" si="106"/>
        <v>0</v>
      </c>
    </row>
    <row r="152" spans="1:30" hidden="1" x14ac:dyDescent="0.2">
      <c r="A152" s="145">
        <f>'TAX Interest Rates'!A50</f>
        <v>44347</v>
      </c>
      <c r="B152" s="153">
        <f t="shared" ref="B152:P152" si="111">ROUND(-B40*B95,2)</f>
        <v>18810.349999999999</v>
      </c>
      <c r="C152" s="153">
        <f t="shared" si="111"/>
        <v>0</v>
      </c>
      <c r="D152" s="153">
        <f t="shared" si="111"/>
        <v>931.72</v>
      </c>
      <c r="E152" s="153">
        <f t="shared" si="111"/>
        <v>323.43</v>
      </c>
      <c r="F152" s="153">
        <f t="shared" si="111"/>
        <v>7.82</v>
      </c>
      <c r="G152" s="153">
        <f t="shared" si="111"/>
        <v>10700.17</v>
      </c>
      <c r="H152" s="153">
        <f t="shared" si="111"/>
        <v>724.75</v>
      </c>
      <c r="I152" s="153">
        <f t="shared" si="111"/>
        <v>0</v>
      </c>
      <c r="J152" s="153">
        <f t="shared" si="111"/>
        <v>0</v>
      </c>
      <c r="K152" s="153">
        <f t="shared" si="111"/>
        <v>60.39</v>
      </c>
      <c r="L152" s="153">
        <f t="shared" si="111"/>
        <v>8194.39</v>
      </c>
      <c r="M152" s="153">
        <f t="shared" si="111"/>
        <v>0.09</v>
      </c>
      <c r="N152" s="153">
        <f t="shared" si="111"/>
        <v>1409.12</v>
      </c>
      <c r="O152" s="153">
        <f t="shared" si="111"/>
        <v>696.9</v>
      </c>
      <c r="P152" s="153">
        <f t="shared" si="111"/>
        <v>0</v>
      </c>
      <c r="R152" s="2">
        <f t="shared" si="95"/>
        <v>41859.129999999997</v>
      </c>
      <c r="T152" s="2">
        <f t="shared" si="96"/>
        <v>18810.349999999999</v>
      </c>
      <c r="U152" s="2">
        <f t="shared" si="97"/>
        <v>1255.1500000000001</v>
      </c>
      <c r="V152" s="2">
        <f t="shared" si="98"/>
        <v>11432.74</v>
      </c>
      <c r="W152" s="2">
        <f t="shared" si="99"/>
        <v>0</v>
      </c>
      <c r="X152" s="2">
        <f t="shared" si="100"/>
        <v>60.39</v>
      </c>
      <c r="Y152" s="2">
        <f t="shared" si="101"/>
        <v>31558.629999999997</v>
      </c>
      <c r="Z152" s="2">
        <f t="shared" si="102"/>
        <v>8194.39</v>
      </c>
      <c r="AA152" s="2">
        <f t="shared" si="103"/>
        <v>2106.1099999999997</v>
      </c>
      <c r="AB152" s="2">
        <f t="shared" si="104"/>
        <v>10300.5</v>
      </c>
      <c r="AC152" s="2">
        <f t="shared" si="105"/>
        <v>41859.129999999997</v>
      </c>
      <c r="AD152" s="2">
        <f t="shared" si="106"/>
        <v>0</v>
      </c>
    </row>
    <row r="153" spans="1:30" hidden="1" x14ac:dyDescent="0.2">
      <c r="A153" s="145">
        <f>'TAX Interest Rates'!A51</f>
        <v>44377</v>
      </c>
      <c r="B153" s="153">
        <f t="shared" ref="B153:P153" si="112">ROUND(-B41*B96,2)</f>
        <v>14669.96</v>
      </c>
      <c r="C153" s="153">
        <f t="shared" si="112"/>
        <v>0</v>
      </c>
      <c r="D153" s="153">
        <f t="shared" si="112"/>
        <v>801.58</v>
      </c>
      <c r="E153" s="153">
        <f t="shared" si="112"/>
        <v>506.4</v>
      </c>
      <c r="F153" s="153">
        <f t="shared" si="112"/>
        <v>3.28</v>
      </c>
      <c r="G153" s="153">
        <f t="shared" si="112"/>
        <v>8717.93</v>
      </c>
      <c r="H153" s="153">
        <f t="shared" si="112"/>
        <v>576.53</v>
      </c>
      <c r="I153" s="153">
        <f t="shared" si="112"/>
        <v>0</v>
      </c>
      <c r="J153" s="153">
        <f t="shared" si="112"/>
        <v>0</v>
      </c>
      <c r="K153" s="153">
        <f t="shared" si="112"/>
        <v>43.89</v>
      </c>
      <c r="L153" s="153">
        <f t="shared" si="112"/>
        <v>7847.81</v>
      </c>
      <c r="M153" s="153">
        <f t="shared" si="112"/>
        <v>2539.4</v>
      </c>
      <c r="N153" s="153">
        <f t="shared" si="112"/>
        <v>2231.5</v>
      </c>
      <c r="O153" s="153">
        <f t="shared" si="112"/>
        <v>1288.47</v>
      </c>
      <c r="P153" s="153">
        <f t="shared" si="112"/>
        <v>0</v>
      </c>
      <c r="R153" s="2">
        <f t="shared" si="95"/>
        <v>39226.75</v>
      </c>
      <c r="T153" s="2">
        <f t="shared" si="96"/>
        <v>14669.96</v>
      </c>
      <c r="U153" s="2">
        <f t="shared" si="97"/>
        <v>1307.98</v>
      </c>
      <c r="V153" s="2">
        <f t="shared" si="98"/>
        <v>9297.7400000000016</v>
      </c>
      <c r="W153" s="2">
        <f t="shared" si="99"/>
        <v>0</v>
      </c>
      <c r="X153" s="2">
        <f t="shared" si="100"/>
        <v>43.89</v>
      </c>
      <c r="Y153" s="2">
        <f t="shared" si="101"/>
        <v>25319.57</v>
      </c>
      <c r="Z153" s="2">
        <f t="shared" si="102"/>
        <v>7847.81</v>
      </c>
      <c r="AA153" s="2">
        <f t="shared" si="103"/>
        <v>6059.37</v>
      </c>
      <c r="AB153" s="2">
        <f t="shared" si="104"/>
        <v>13907.18</v>
      </c>
      <c r="AC153" s="2">
        <f t="shared" si="105"/>
        <v>39226.75</v>
      </c>
      <c r="AD153" s="2">
        <f t="shared" si="106"/>
        <v>0</v>
      </c>
    </row>
    <row r="154" spans="1:30" hidden="1" x14ac:dyDescent="0.2">
      <c r="A154" s="145">
        <f>'TAX Interest Rates'!A52</f>
        <v>44408</v>
      </c>
      <c r="B154" s="153">
        <f t="shared" ref="B154:P154" si="113">ROUND(-B42*B97,2)</f>
        <v>8644.2199999999993</v>
      </c>
      <c r="C154" s="153">
        <f t="shared" si="113"/>
        <v>0</v>
      </c>
      <c r="D154" s="153">
        <f t="shared" si="113"/>
        <v>680.04</v>
      </c>
      <c r="E154" s="153">
        <f t="shared" si="113"/>
        <v>293.83999999999997</v>
      </c>
      <c r="F154" s="153">
        <f t="shared" si="113"/>
        <v>2.61</v>
      </c>
      <c r="G154" s="153">
        <f t="shared" si="113"/>
        <v>5927.41</v>
      </c>
      <c r="H154" s="153">
        <f t="shared" si="113"/>
        <v>376.66</v>
      </c>
      <c r="I154" s="153">
        <f t="shared" si="113"/>
        <v>0</v>
      </c>
      <c r="J154" s="153">
        <f t="shared" si="113"/>
        <v>0</v>
      </c>
      <c r="K154" s="153">
        <f t="shared" si="113"/>
        <v>37.299999999999997</v>
      </c>
      <c r="L154" s="153">
        <f t="shared" si="113"/>
        <v>7113.89</v>
      </c>
      <c r="M154" s="153">
        <f t="shared" si="113"/>
        <v>3528.42</v>
      </c>
      <c r="N154" s="153">
        <f t="shared" si="113"/>
        <v>2932.09</v>
      </c>
      <c r="O154" s="153">
        <f t="shared" si="113"/>
        <v>2068.86</v>
      </c>
      <c r="P154" s="153">
        <f t="shared" si="113"/>
        <v>0</v>
      </c>
      <c r="R154" s="2">
        <f t="shared" si="95"/>
        <v>31605.34</v>
      </c>
      <c r="T154" s="2">
        <f t="shared" si="96"/>
        <v>8644.2199999999993</v>
      </c>
      <c r="U154" s="2">
        <f t="shared" si="97"/>
        <v>973.87999999999988</v>
      </c>
      <c r="V154" s="2">
        <f t="shared" si="98"/>
        <v>6306.6799999999994</v>
      </c>
      <c r="W154" s="2">
        <f t="shared" si="99"/>
        <v>0</v>
      </c>
      <c r="X154" s="2">
        <f t="shared" si="100"/>
        <v>37.299999999999997</v>
      </c>
      <c r="Y154" s="2">
        <f t="shared" si="101"/>
        <v>15962.079999999998</v>
      </c>
      <c r="Z154" s="2">
        <f t="shared" si="102"/>
        <v>7113.89</v>
      </c>
      <c r="AA154" s="2">
        <f t="shared" si="103"/>
        <v>8529.3700000000008</v>
      </c>
      <c r="AB154" s="2">
        <f t="shared" si="104"/>
        <v>15643.260000000002</v>
      </c>
      <c r="AC154" s="2">
        <f t="shared" si="105"/>
        <v>31605.34</v>
      </c>
      <c r="AD154" s="2">
        <f t="shared" si="106"/>
        <v>0</v>
      </c>
    </row>
    <row r="155" spans="1:30" hidden="1" x14ac:dyDescent="0.2">
      <c r="A155" s="145">
        <f>'TAX Interest Rates'!A53</f>
        <v>44439</v>
      </c>
      <c r="B155" s="153">
        <f t="shared" ref="B155:P155" si="114">ROUND(-B43*B98,2)</f>
        <v>7550.61</v>
      </c>
      <c r="C155" s="153">
        <f t="shared" si="114"/>
        <v>0</v>
      </c>
      <c r="D155" s="153">
        <f t="shared" si="114"/>
        <v>637.85</v>
      </c>
      <c r="E155" s="153">
        <f t="shared" si="114"/>
        <v>356.55</v>
      </c>
      <c r="F155" s="153">
        <f t="shared" si="114"/>
        <v>3.98</v>
      </c>
      <c r="G155" s="153">
        <f t="shared" si="114"/>
        <v>5583.22</v>
      </c>
      <c r="H155" s="153">
        <f t="shared" si="114"/>
        <v>343.75</v>
      </c>
      <c r="I155" s="153">
        <f t="shared" si="114"/>
        <v>0</v>
      </c>
      <c r="J155" s="153">
        <f t="shared" si="114"/>
        <v>0</v>
      </c>
      <c r="K155" s="153">
        <f t="shared" si="114"/>
        <v>43.27</v>
      </c>
      <c r="L155" s="153">
        <f t="shared" si="114"/>
        <v>7284.5</v>
      </c>
      <c r="M155" s="153">
        <f t="shared" si="114"/>
        <v>3563.86</v>
      </c>
      <c r="N155" s="153">
        <f t="shared" si="114"/>
        <v>2969.17</v>
      </c>
      <c r="O155" s="153">
        <f t="shared" si="114"/>
        <v>1624.65</v>
      </c>
      <c r="P155" s="153">
        <f t="shared" si="114"/>
        <v>0</v>
      </c>
      <c r="R155" s="2">
        <f t="shared" si="95"/>
        <v>29961.410000000003</v>
      </c>
      <c r="T155" s="2">
        <f t="shared" si="96"/>
        <v>7550.61</v>
      </c>
      <c r="U155" s="2">
        <f t="shared" si="97"/>
        <v>994.40000000000009</v>
      </c>
      <c r="V155" s="2">
        <f t="shared" si="98"/>
        <v>5930.95</v>
      </c>
      <c r="W155" s="2">
        <f t="shared" si="99"/>
        <v>0</v>
      </c>
      <c r="X155" s="2">
        <f t="shared" si="100"/>
        <v>43.27</v>
      </c>
      <c r="Y155" s="2">
        <f t="shared" si="101"/>
        <v>14519.23</v>
      </c>
      <c r="Z155" s="2">
        <f t="shared" si="102"/>
        <v>7284.5</v>
      </c>
      <c r="AA155" s="2">
        <f t="shared" si="103"/>
        <v>8157.68</v>
      </c>
      <c r="AB155" s="2">
        <f t="shared" si="104"/>
        <v>15442.18</v>
      </c>
      <c r="AC155" s="2">
        <f t="shared" si="105"/>
        <v>29961.41</v>
      </c>
      <c r="AD155" s="2">
        <f t="shared" si="106"/>
        <v>0</v>
      </c>
    </row>
    <row r="156" spans="1:30" hidden="1" x14ac:dyDescent="0.2">
      <c r="A156" s="145">
        <f>'TAX Interest Rates'!A54</f>
        <v>44469</v>
      </c>
      <c r="B156" s="153">
        <f t="shared" ref="B156:P156" si="115">ROUND(-B44*B99,2)</f>
        <v>8589.82</v>
      </c>
      <c r="C156" s="153">
        <f t="shared" si="115"/>
        <v>0</v>
      </c>
      <c r="D156" s="153">
        <f t="shared" si="115"/>
        <v>801.8</v>
      </c>
      <c r="E156" s="153">
        <f t="shared" si="115"/>
        <v>330.76</v>
      </c>
      <c r="F156" s="153">
        <f t="shared" si="115"/>
        <v>4.8099999999999996</v>
      </c>
      <c r="G156" s="153">
        <f t="shared" si="115"/>
        <v>6042.2</v>
      </c>
      <c r="H156" s="153">
        <f t="shared" si="115"/>
        <v>365.3</v>
      </c>
      <c r="I156" s="153">
        <f t="shared" si="115"/>
        <v>0</v>
      </c>
      <c r="J156" s="153">
        <f t="shared" si="115"/>
        <v>0</v>
      </c>
      <c r="K156" s="153">
        <f t="shared" si="115"/>
        <v>53.55</v>
      </c>
      <c r="L156" s="153">
        <f t="shared" si="115"/>
        <v>7737.97</v>
      </c>
      <c r="M156" s="153">
        <f t="shared" si="115"/>
        <v>3357.2</v>
      </c>
      <c r="N156" s="153">
        <f t="shared" si="115"/>
        <v>3341.6</v>
      </c>
      <c r="O156" s="153">
        <f t="shared" si="115"/>
        <v>1097.01</v>
      </c>
      <c r="P156" s="153">
        <f t="shared" si="115"/>
        <v>0</v>
      </c>
      <c r="R156" s="2">
        <f t="shared" si="95"/>
        <v>31722.019999999997</v>
      </c>
      <c r="T156" s="2">
        <f t="shared" si="96"/>
        <v>8589.82</v>
      </c>
      <c r="U156" s="2">
        <f t="shared" si="97"/>
        <v>1132.56</v>
      </c>
      <c r="V156" s="2">
        <f t="shared" si="98"/>
        <v>6412.31</v>
      </c>
      <c r="W156" s="2">
        <f t="shared" si="99"/>
        <v>0</v>
      </c>
      <c r="X156" s="2">
        <f t="shared" si="100"/>
        <v>53.55</v>
      </c>
      <c r="Y156" s="2">
        <f t="shared" si="101"/>
        <v>16188.239999999998</v>
      </c>
      <c r="Z156" s="2">
        <f t="shared" si="102"/>
        <v>7737.97</v>
      </c>
      <c r="AA156" s="2">
        <f t="shared" si="103"/>
        <v>7795.8099999999995</v>
      </c>
      <c r="AB156" s="2">
        <f t="shared" si="104"/>
        <v>15533.779999999999</v>
      </c>
      <c r="AC156" s="2">
        <f t="shared" si="105"/>
        <v>31722.019999999997</v>
      </c>
      <c r="AD156" s="2">
        <f t="shared" si="106"/>
        <v>0</v>
      </c>
    </row>
    <row r="157" spans="1:30" hidden="1" x14ac:dyDescent="0.2">
      <c r="A157" s="145">
        <f>'TAX Interest Rates'!A55</f>
        <v>44500</v>
      </c>
      <c r="B157" s="153">
        <f t="shared" ref="B157:P157" si="116">ROUND(-B45*B100,2)</f>
        <v>15059.73</v>
      </c>
      <c r="C157" s="153">
        <f t="shared" si="116"/>
        <v>0</v>
      </c>
      <c r="D157" s="153">
        <f t="shared" si="116"/>
        <v>1670.61</v>
      </c>
      <c r="E157" s="153">
        <f t="shared" si="116"/>
        <v>378.24</v>
      </c>
      <c r="F157" s="153">
        <f t="shared" si="116"/>
        <v>6.65</v>
      </c>
      <c r="G157" s="153">
        <f t="shared" si="116"/>
        <v>8612.44</v>
      </c>
      <c r="H157" s="153">
        <f t="shared" si="116"/>
        <v>598.22</v>
      </c>
      <c r="I157" s="153">
        <f t="shared" si="116"/>
        <v>0</v>
      </c>
      <c r="J157" s="153">
        <f t="shared" si="116"/>
        <v>0</v>
      </c>
      <c r="K157" s="153">
        <f t="shared" si="116"/>
        <v>79.08</v>
      </c>
      <c r="L157" s="153">
        <f t="shared" si="116"/>
        <v>8675.48</v>
      </c>
      <c r="M157" s="153">
        <f t="shared" si="116"/>
        <v>2440.3000000000002</v>
      </c>
      <c r="N157" s="153">
        <f t="shared" si="116"/>
        <v>2470.88</v>
      </c>
      <c r="O157" s="153">
        <f t="shared" si="116"/>
        <v>1003.47</v>
      </c>
      <c r="P157" s="153">
        <f t="shared" si="116"/>
        <v>0</v>
      </c>
      <c r="R157" s="2">
        <f t="shared" si="95"/>
        <v>40995.100000000013</v>
      </c>
      <c r="T157" s="2">
        <f t="shared" si="96"/>
        <v>15059.73</v>
      </c>
      <c r="U157" s="2">
        <f t="shared" si="97"/>
        <v>2048.85</v>
      </c>
      <c r="V157" s="2">
        <f t="shared" si="98"/>
        <v>9217.31</v>
      </c>
      <c r="W157" s="2">
        <f t="shared" si="99"/>
        <v>0</v>
      </c>
      <c r="X157" s="2">
        <f t="shared" si="100"/>
        <v>79.08</v>
      </c>
      <c r="Y157" s="2">
        <f t="shared" si="101"/>
        <v>26404.97</v>
      </c>
      <c r="Z157" s="2">
        <f t="shared" si="102"/>
        <v>8675.48</v>
      </c>
      <c r="AA157" s="2">
        <f t="shared" si="103"/>
        <v>5914.6500000000005</v>
      </c>
      <c r="AB157" s="2">
        <f t="shared" si="104"/>
        <v>14590.130000000001</v>
      </c>
      <c r="AC157" s="2">
        <f t="shared" si="105"/>
        <v>40995.100000000006</v>
      </c>
      <c r="AD157" s="2">
        <f t="shared" si="106"/>
        <v>0</v>
      </c>
    </row>
    <row r="158" spans="1:30" x14ac:dyDescent="0.2">
      <c r="A158" s="145">
        <f>'TAX Interest Rates'!A56</f>
        <v>44530</v>
      </c>
      <c r="B158" s="153">
        <f>ROUND(-B46*B100,2)</f>
        <v>19525.43</v>
      </c>
      <c r="C158" s="153">
        <f t="shared" ref="C158:P159" si="117">ROUND(-C46*C100,2)</f>
        <v>0</v>
      </c>
      <c r="D158" s="153">
        <f t="shared" si="117"/>
        <v>941.25</v>
      </c>
      <c r="E158" s="153">
        <f t="shared" si="117"/>
        <v>309.83999999999997</v>
      </c>
      <c r="F158" s="153">
        <f t="shared" si="117"/>
        <v>0</v>
      </c>
      <c r="G158" s="153">
        <f t="shared" si="117"/>
        <v>10087.61</v>
      </c>
      <c r="H158" s="153">
        <f t="shared" si="117"/>
        <v>626.27</v>
      </c>
      <c r="I158" s="153">
        <f t="shared" si="117"/>
        <v>0</v>
      </c>
      <c r="J158" s="153">
        <f t="shared" si="117"/>
        <v>0</v>
      </c>
      <c r="K158" s="153">
        <f t="shared" si="117"/>
        <v>0</v>
      </c>
      <c r="L158" s="153">
        <f t="shared" si="117"/>
        <v>0</v>
      </c>
      <c r="M158" s="153">
        <f t="shared" si="117"/>
        <v>0</v>
      </c>
      <c r="N158" s="153">
        <f t="shared" si="117"/>
        <v>0</v>
      </c>
      <c r="O158" s="153">
        <f t="shared" si="117"/>
        <v>73.42</v>
      </c>
      <c r="P158" s="153">
        <f t="shared" si="117"/>
        <v>0</v>
      </c>
      <c r="R158" s="2">
        <f t="shared" ref="R158" si="118">SUM(B158:Q158)</f>
        <v>31563.82</v>
      </c>
      <c r="S158" s="2" t="s">
        <v>45</v>
      </c>
      <c r="T158" s="2">
        <f t="shared" ref="T158" si="119">+B158</f>
        <v>19525.43</v>
      </c>
      <c r="U158" s="2">
        <f t="shared" ref="U158" si="120">+C158+D158+E158</f>
        <v>1251.0899999999999</v>
      </c>
      <c r="V158" s="2">
        <f t="shared" ref="V158" si="121">+F158+G158+H158</f>
        <v>10713.880000000001</v>
      </c>
      <c r="W158" s="2">
        <f t="shared" ref="W158" si="122">+I158+J158</f>
        <v>0</v>
      </c>
      <c r="X158" s="2">
        <f t="shared" ref="X158" si="123">+K158</f>
        <v>0</v>
      </c>
      <c r="Y158" s="2">
        <f t="shared" ref="Y158" si="124">SUM(T158:X158)</f>
        <v>31490.400000000001</v>
      </c>
      <c r="Z158" s="2">
        <f t="shared" ref="Z158" si="125">+L158</f>
        <v>0</v>
      </c>
      <c r="AA158" s="2">
        <f t="shared" ref="AA158" si="126">+M158+N158+O158+P158</f>
        <v>73.42</v>
      </c>
      <c r="AB158" s="2">
        <f t="shared" ref="AB158" si="127">SUM(Z158:AA158)</f>
        <v>73.42</v>
      </c>
      <c r="AC158" s="2">
        <f t="shared" ref="AC158" si="128">+Y158+AB158</f>
        <v>31563.82</v>
      </c>
      <c r="AD158" s="2">
        <f t="shared" ref="AD158" si="129">+R158-Y158-AB158</f>
        <v>-1.7479351299698465E-12</v>
      </c>
    </row>
    <row r="159" spans="1:30" x14ac:dyDescent="0.2">
      <c r="A159" s="145">
        <f>'TAX Interest Rates'!A56</f>
        <v>44530</v>
      </c>
      <c r="B159" s="153">
        <f>ROUND(-B47*B101,2)</f>
        <v>6324.71</v>
      </c>
      <c r="C159" s="153">
        <f t="shared" si="117"/>
        <v>0</v>
      </c>
      <c r="D159" s="153">
        <f t="shared" si="117"/>
        <v>241.79</v>
      </c>
      <c r="E159" s="153">
        <f t="shared" si="117"/>
        <v>80.400000000000006</v>
      </c>
      <c r="F159" s="153">
        <f t="shared" si="117"/>
        <v>7.98</v>
      </c>
      <c r="G159" s="153">
        <f t="shared" si="117"/>
        <v>2899.22</v>
      </c>
      <c r="H159" s="153">
        <f t="shared" si="117"/>
        <v>257.60000000000002</v>
      </c>
      <c r="I159" s="153">
        <f t="shared" si="117"/>
        <v>0</v>
      </c>
      <c r="J159" s="153">
        <f t="shared" si="117"/>
        <v>0</v>
      </c>
      <c r="K159" s="153">
        <f t="shared" si="117"/>
        <v>64.61</v>
      </c>
      <c r="L159" s="153">
        <f t="shared" si="117"/>
        <v>5895.47</v>
      </c>
      <c r="M159" s="153">
        <f t="shared" si="117"/>
        <v>2298.8000000000002</v>
      </c>
      <c r="N159" s="153">
        <f t="shared" si="117"/>
        <v>1353.24</v>
      </c>
      <c r="O159" s="153">
        <f t="shared" si="117"/>
        <v>76.41</v>
      </c>
      <c r="P159" s="153">
        <f t="shared" si="117"/>
        <v>0</v>
      </c>
      <c r="R159" s="2">
        <f t="shared" ref="R159" si="130">SUM(B159:Q159)</f>
        <v>19500.23</v>
      </c>
      <c r="S159" s="2" t="s">
        <v>46</v>
      </c>
      <c r="T159" s="2">
        <f t="shared" ref="T159" si="131">+B159</f>
        <v>6324.71</v>
      </c>
      <c r="U159" s="2">
        <f t="shared" ref="U159" si="132">+C159+D159+E159</f>
        <v>322.19</v>
      </c>
      <c r="V159" s="2">
        <f t="shared" ref="V159" si="133">+F159+G159+H159</f>
        <v>3164.7999999999997</v>
      </c>
      <c r="W159" s="2">
        <f t="shared" ref="W159" si="134">+I159+J159</f>
        <v>0</v>
      </c>
      <c r="X159" s="2">
        <f t="shared" ref="X159" si="135">+K159</f>
        <v>64.61</v>
      </c>
      <c r="Y159" s="2">
        <f t="shared" ref="Y159" si="136">SUM(T159:X159)</f>
        <v>9876.31</v>
      </c>
      <c r="Z159" s="2">
        <f t="shared" ref="Z159" si="137">+L159</f>
        <v>5895.47</v>
      </c>
      <c r="AA159" s="2">
        <f t="shared" ref="AA159" si="138">+M159+N159+O159+P159</f>
        <v>3728.45</v>
      </c>
      <c r="AB159" s="2">
        <f t="shared" ref="AB159" si="139">SUM(Z159:AA159)</f>
        <v>9623.92</v>
      </c>
      <c r="AC159" s="2">
        <f t="shared" ref="AC159" si="140">+Y159+AB159</f>
        <v>19500.23</v>
      </c>
      <c r="AD159" s="2">
        <f t="shared" ref="AD159" si="141">+R159-Y159-AB159</f>
        <v>0</v>
      </c>
    </row>
    <row r="160" spans="1:30" x14ac:dyDescent="0.2">
      <c r="A160" s="145">
        <f>'TAX Interest Rates'!A57</f>
        <v>44561</v>
      </c>
      <c r="B160" s="153">
        <f t="shared" ref="B160:P160" si="142">ROUND(-B48*B102,2)</f>
        <v>33947.550000000003</v>
      </c>
      <c r="C160" s="153">
        <f t="shared" si="142"/>
        <v>0</v>
      </c>
      <c r="D160" s="153">
        <f t="shared" si="142"/>
        <v>1371.97</v>
      </c>
      <c r="E160" s="153">
        <f t="shared" si="142"/>
        <v>374.61</v>
      </c>
      <c r="F160" s="153">
        <f t="shared" si="142"/>
        <v>22.17</v>
      </c>
      <c r="G160" s="153">
        <f t="shared" si="142"/>
        <v>17016</v>
      </c>
      <c r="H160" s="153">
        <f t="shared" si="142"/>
        <v>1023.91</v>
      </c>
      <c r="I160" s="153">
        <f t="shared" si="142"/>
        <v>0</v>
      </c>
      <c r="J160" s="153">
        <f t="shared" si="142"/>
        <v>0</v>
      </c>
      <c r="K160" s="153">
        <f t="shared" si="142"/>
        <v>81.36</v>
      </c>
      <c r="L160" s="153">
        <f t="shared" si="142"/>
        <v>5775.16</v>
      </c>
      <c r="M160" s="153">
        <f t="shared" si="142"/>
        <v>1763.4</v>
      </c>
      <c r="N160" s="153">
        <f t="shared" si="142"/>
        <v>1455.1</v>
      </c>
      <c r="O160" s="153">
        <f t="shared" si="142"/>
        <v>83.43</v>
      </c>
      <c r="P160" s="153">
        <f t="shared" si="142"/>
        <v>0</v>
      </c>
      <c r="R160" s="2">
        <f t="shared" ref="R160:R170" si="143">SUM(B160:Q160)</f>
        <v>62914.660000000011</v>
      </c>
      <c r="T160" s="2">
        <f t="shared" ref="T160:T170" si="144">+B160</f>
        <v>33947.550000000003</v>
      </c>
      <c r="U160" s="2">
        <f t="shared" ref="U160:U170" si="145">+C160+D160+E160</f>
        <v>1746.58</v>
      </c>
      <c r="V160" s="2">
        <f t="shared" ref="V160:V170" si="146">+F160+G160+H160</f>
        <v>18062.079999999998</v>
      </c>
      <c r="W160" s="2">
        <f t="shared" ref="W160:W170" si="147">+I160+J160</f>
        <v>0</v>
      </c>
      <c r="X160" s="2">
        <f t="shared" ref="X160:X170" si="148">+K160</f>
        <v>81.36</v>
      </c>
      <c r="Y160" s="2">
        <f t="shared" ref="Y160:Y170" si="149">SUM(T160:X160)</f>
        <v>53837.570000000007</v>
      </c>
      <c r="Z160" s="2">
        <f t="shared" ref="Z160:Z170" si="150">+L160</f>
        <v>5775.16</v>
      </c>
      <c r="AA160" s="2">
        <f t="shared" ref="AA160:AA170" si="151">+M160+N160+O160+P160</f>
        <v>3301.93</v>
      </c>
      <c r="AB160" s="2">
        <f t="shared" ref="AB160:AB170" si="152">SUM(Z160:AA160)</f>
        <v>9077.09</v>
      </c>
      <c r="AC160" s="2">
        <f t="shared" ref="AC160:AC170" si="153">+Y160+AB160</f>
        <v>62914.66</v>
      </c>
      <c r="AD160" s="2">
        <f t="shared" ref="AD160:AD170" si="154">+R160-Y160-AB160</f>
        <v>0</v>
      </c>
    </row>
    <row r="161" spans="1:30" x14ac:dyDescent="0.2">
      <c r="A161" s="145">
        <f>'TAX Interest Rates'!A58</f>
        <v>44592</v>
      </c>
      <c r="B161" s="153">
        <f t="shared" ref="B161:P161" si="155">ROUND(-B49*B103,2)</f>
        <v>53278.16</v>
      </c>
      <c r="C161" s="153">
        <f t="shared" si="155"/>
        <v>0</v>
      </c>
      <c r="D161" s="153">
        <f t="shared" si="155"/>
        <v>1704.25</v>
      </c>
      <c r="E161" s="153">
        <f t="shared" si="155"/>
        <v>413.1</v>
      </c>
      <c r="F161" s="153">
        <f t="shared" si="155"/>
        <v>20.09</v>
      </c>
      <c r="G161" s="153">
        <f t="shared" si="155"/>
        <v>27538.720000000001</v>
      </c>
      <c r="H161" s="153">
        <f t="shared" si="155"/>
        <v>1585.64</v>
      </c>
      <c r="I161" s="153">
        <f t="shared" si="155"/>
        <v>0</v>
      </c>
      <c r="J161" s="153">
        <f t="shared" si="155"/>
        <v>0</v>
      </c>
      <c r="K161" s="153">
        <f t="shared" si="155"/>
        <v>77.180000000000007</v>
      </c>
      <c r="L161" s="153">
        <f t="shared" si="155"/>
        <v>6655.97</v>
      </c>
      <c r="M161" s="153">
        <f t="shared" si="155"/>
        <v>473.12</v>
      </c>
      <c r="N161" s="153">
        <f t="shared" si="155"/>
        <v>921.12</v>
      </c>
      <c r="O161" s="153">
        <f t="shared" si="155"/>
        <v>81.489999999999995</v>
      </c>
      <c r="P161" s="153">
        <f t="shared" si="155"/>
        <v>0</v>
      </c>
      <c r="R161" s="2">
        <f t="shared" si="143"/>
        <v>92748.84</v>
      </c>
      <c r="T161" s="2">
        <f t="shared" si="144"/>
        <v>53278.16</v>
      </c>
      <c r="U161" s="2">
        <f t="shared" si="145"/>
        <v>2117.35</v>
      </c>
      <c r="V161" s="2">
        <f t="shared" si="146"/>
        <v>29144.45</v>
      </c>
      <c r="W161" s="2">
        <f t="shared" si="147"/>
        <v>0</v>
      </c>
      <c r="X161" s="2">
        <f t="shared" si="148"/>
        <v>77.180000000000007</v>
      </c>
      <c r="Y161" s="2">
        <f t="shared" si="149"/>
        <v>84617.14</v>
      </c>
      <c r="Z161" s="2">
        <f t="shared" si="150"/>
        <v>6655.97</v>
      </c>
      <c r="AA161" s="2">
        <f t="shared" si="151"/>
        <v>1475.73</v>
      </c>
      <c r="AB161" s="2">
        <f t="shared" si="152"/>
        <v>8131.7000000000007</v>
      </c>
      <c r="AC161" s="2">
        <f t="shared" si="153"/>
        <v>92748.84</v>
      </c>
      <c r="AD161" s="2">
        <f t="shared" si="154"/>
        <v>0</v>
      </c>
    </row>
    <row r="162" spans="1:30" x14ac:dyDescent="0.2">
      <c r="A162" s="145">
        <f>'TAX Interest Rates'!A59</f>
        <v>44620</v>
      </c>
      <c r="B162" s="153">
        <f t="shared" ref="B162:P162" si="156">ROUND(-B50*B104,2)</f>
        <v>40427.67</v>
      </c>
      <c r="C162" s="153">
        <f t="shared" si="156"/>
        <v>0</v>
      </c>
      <c r="D162" s="153">
        <f t="shared" si="156"/>
        <v>1365.18</v>
      </c>
      <c r="E162" s="153">
        <f t="shared" si="156"/>
        <v>359.55</v>
      </c>
      <c r="F162" s="153">
        <f t="shared" si="156"/>
        <v>10.5</v>
      </c>
      <c r="G162" s="153">
        <f t="shared" si="156"/>
        <v>21893.67</v>
      </c>
      <c r="H162" s="153">
        <f t="shared" si="156"/>
        <v>1134.43</v>
      </c>
      <c r="I162" s="153">
        <f t="shared" si="156"/>
        <v>0</v>
      </c>
      <c r="J162" s="153">
        <f t="shared" si="156"/>
        <v>0</v>
      </c>
      <c r="K162" s="153">
        <f t="shared" si="156"/>
        <v>68.260000000000005</v>
      </c>
      <c r="L162" s="153">
        <f t="shared" si="156"/>
        <v>5978.52</v>
      </c>
      <c r="M162" s="153">
        <f t="shared" si="156"/>
        <v>1526.71</v>
      </c>
      <c r="N162" s="153">
        <f t="shared" si="156"/>
        <v>613.79</v>
      </c>
      <c r="O162" s="153">
        <f t="shared" si="156"/>
        <v>76.5</v>
      </c>
      <c r="P162" s="153">
        <f t="shared" si="156"/>
        <v>0</v>
      </c>
      <c r="R162" s="2">
        <f t="shared" si="143"/>
        <v>73454.78</v>
      </c>
      <c r="T162" s="2">
        <f t="shared" si="144"/>
        <v>40427.67</v>
      </c>
      <c r="U162" s="2">
        <f t="shared" si="145"/>
        <v>1724.73</v>
      </c>
      <c r="V162" s="2">
        <f t="shared" si="146"/>
        <v>23038.6</v>
      </c>
      <c r="W162" s="2">
        <f t="shared" si="147"/>
        <v>0</v>
      </c>
      <c r="X162" s="2">
        <f t="shared" si="148"/>
        <v>68.260000000000005</v>
      </c>
      <c r="Y162" s="2">
        <f t="shared" si="149"/>
        <v>65259.26</v>
      </c>
      <c r="Z162" s="2">
        <f t="shared" si="150"/>
        <v>5978.52</v>
      </c>
      <c r="AA162" s="2">
        <f t="shared" si="151"/>
        <v>2217</v>
      </c>
      <c r="AB162" s="2">
        <f t="shared" si="152"/>
        <v>8195.52</v>
      </c>
      <c r="AC162" s="2">
        <f t="shared" si="153"/>
        <v>73454.78</v>
      </c>
      <c r="AD162" s="2">
        <f t="shared" si="154"/>
        <v>0</v>
      </c>
    </row>
    <row r="163" spans="1:30" x14ac:dyDescent="0.2">
      <c r="A163" s="145">
        <f>'TAX Interest Rates'!A60</f>
        <v>44651</v>
      </c>
      <c r="B163" s="153">
        <f t="shared" ref="B163:P163" si="157">ROUND(-B51*B105,2)</f>
        <v>39046.629999999997</v>
      </c>
      <c r="C163" s="153">
        <f t="shared" si="157"/>
        <v>0</v>
      </c>
      <c r="D163" s="153">
        <f t="shared" si="157"/>
        <v>1544.89</v>
      </c>
      <c r="E163" s="153">
        <f t="shared" si="157"/>
        <v>416.25</v>
      </c>
      <c r="F163" s="153">
        <f t="shared" si="157"/>
        <v>8.9600000000000009</v>
      </c>
      <c r="G163" s="153">
        <f t="shared" si="157"/>
        <v>21099.21</v>
      </c>
      <c r="H163" s="153">
        <f t="shared" si="157"/>
        <v>1137.67</v>
      </c>
      <c r="I163" s="153">
        <f t="shared" si="157"/>
        <v>0</v>
      </c>
      <c r="J163" s="153">
        <f t="shared" si="157"/>
        <v>0</v>
      </c>
      <c r="K163" s="153">
        <f t="shared" si="157"/>
        <v>66.28</v>
      </c>
      <c r="L163" s="153">
        <f t="shared" si="157"/>
        <v>6382.76</v>
      </c>
      <c r="M163" s="153">
        <f t="shared" si="157"/>
        <v>1824.5</v>
      </c>
      <c r="N163" s="153">
        <f t="shared" si="157"/>
        <v>67.94</v>
      </c>
      <c r="O163" s="153">
        <f t="shared" si="157"/>
        <v>27.57</v>
      </c>
      <c r="P163" s="153">
        <f t="shared" si="157"/>
        <v>0</v>
      </c>
      <c r="R163" s="2">
        <f t="shared" si="143"/>
        <v>71622.66</v>
      </c>
      <c r="T163" s="2">
        <f t="shared" si="144"/>
        <v>39046.629999999997</v>
      </c>
      <c r="U163" s="2">
        <f t="shared" si="145"/>
        <v>1961.14</v>
      </c>
      <c r="V163" s="2">
        <f t="shared" si="146"/>
        <v>22245.839999999997</v>
      </c>
      <c r="W163" s="2">
        <f t="shared" si="147"/>
        <v>0</v>
      </c>
      <c r="X163" s="2">
        <f t="shared" si="148"/>
        <v>66.28</v>
      </c>
      <c r="Y163" s="2">
        <f t="shared" si="149"/>
        <v>63319.889999999992</v>
      </c>
      <c r="Z163" s="2">
        <f t="shared" si="150"/>
        <v>6382.76</v>
      </c>
      <c r="AA163" s="2">
        <f t="shared" si="151"/>
        <v>1920.01</v>
      </c>
      <c r="AB163" s="2">
        <f t="shared" si="152"/>
        <v>8302.77</v>
      </c>
      <c r="AC163" s="2">
        <f t="shared" si="153"/>
        <v>71622.659999999989</v>
      </c>
      <c r="AD163" s="2">
        <f t="shared" si="154"/>
        <v>0</v>
      </c>
    </row>
    <row r="164" spans="1:30" x14ac:dyDescent="0.2">
      <c r="A164" s="145">
        <f>'TAX Interest Rates'!A61</f>
        <v>44681</v>
      </c>
      <c r="B164" s="153">
        <f t="shared" ref="B164:P164" si="158">ROUND(-B52*B106,2)</f>
        <v>25740.240000000002</v>
      </c>
      <c r="C164" s="153">
        <f t="shared" si="158"/>
        <v>0</v>
      </c>
      <c r="D164" s="153">
        <f t="shared" si="158"/>
        <v>1036.1600000000001</v>
      </c>
      <c r="E164" s="153">
        <f t="shared" si="158"/>
        <v>309.76</v>
      </c>
      <c r="F164" s="153">
        <f t="shared" si="158"/>
        <v>17.32</v>
      </c>
      <c r="G164" s="153">
        <f t="shared" si="158"/>
        <v>13658.61</v>
      </c>
      <c r="H164" s="153">
        <f t="shared" si="158"/>
        <v>805.66</v>
      </c>
      <c r="I164" s="153">
        <f t="shared" si="158"/>
        <v>0</v>
      </c>
      <c r="J164" s="153">
        <f t="shared" si="158"/>
        <v>0</v>
      </c>
      <c r="K164" s="153">
        <f t="shared" si="158"/>
        <v>63.5</v>
      </c>
      <c r="L164" s="153">
        <f t="shared" si="158"/>
        <v>6330.8</v>
      </c>
      <c r="M164" s="153">
        <f t="shared" si="158"/>
        <v>1475.86</v>
      </c>
      <c r="N164" s="153">
        <f t="shared" si="158"/>
        <v>0</v>
      </c>
      <c r="O164" s="153">
        <f t="shared" si="158"/>
        <v>750.01</v>
      </c>
      <c r="P164" s="153">
        <f t="shared" si="158"/>
        <v>0</v>
      </c>
      <c r="R164" s="2">
        <f t="shared" si="143"/>
        <v>50187.920000000006</v>
      </c>
      <c r="T164" s="2">
        <f t="shared" si="144"/>
        <v>25740.240000000002</v>
      </c>
      <c r="U164" s="2">
        <f t="shared" si="145"/>
        <v>1345.92</v>
      </c>
      <c r="V164" s="2">
        <f t="shared" si="146"/>
        <v>14481.59</v>
      </c>
      <c r="W164" s="2">
        <f t="shared" si="147"/>
        <v>0</v>
      </c>
      <c r="X164" s="2">
        <f t="shared" si="148"/>
        <v>63.5</v>
      </c>
      <c r="Y164" s="2">
        <f t="shared" si="149"/>
        <v>41631.25</v>
      </c>
      <c r="Z164" s="2">
        <f t="shared" si="150"/>
        <v>6330.8</v>
      </c>
      <c r="AA164" s="2">
        <f t="shared" si="151"/>
        <v>2225.87</v>
      </c>
      <c r="AB164" s="2">
        <f t="shared" si="152"/>
        <v>8556.67</v>
      </c>
      <c r="AC164" s="2">
        <f t="shared" si="153"/>
        <v>50187.92</v>
      </c>
      <c r="AD164" s="2">
        <f t="shared" si="154"/>
        <v>0</v>
      </c>
    </row>
    <row r="165" spans="1:30" x14ac:dyDescent="0.2">
      <c r="A165" s="145">
        <f>'TAX Interest Rates'!A62</f>
        <v>44712</v>
      </c>
      <c r="B165" s="153">
        <f t="shared" ref="B165:P165" si="159">ROUND(-B53*B107,2)</f>
        <v>21726.93</v>
      </c>
      <c r="C165" s="153">
        <f t="shared" si="159"/>
        <v>0</v>
      </c>
      <c r="D165" s="153">
        <f t="shared" si="159"/>
        <v>1008.96</v>
      </c>
      <c r="E165" s="153">
        <f t="shared" si="159"/>
        <v>268.97000000000003</v>
      </c>
      <c r="F165" s="153">
        <f t="shared" si="159"/>
        <v>9.3000000000000007</v>
      </c>
      <c r="G165" s="153">
        <f t="shared" si="159"/>
        <v>11965.04</v>
      </c>
      <c r="H165" s="153">
        <f t="shared" si="159"/>
        <v>705.68</v>
      </c>
      <c r="I165" s="153">
        <f t="shared" si="159"/>
        <v>0</v>
      </c>
      <c r="J165" s="153">
        <f t="shared" si="159"/>
        <v>0</v>
      </c>
      <c r="K165" s="153">
        <f t="shared" si="159"/>
        <v>53.95</v>
      </c>
      <c r="L165" s="153">
        <f t="shared" si="159"/>
        <v>5993.24</v>
      </c>
      <c r="M165" s="153">
        <f t="shared" si="159"/>
        <v>1186.8</v>
      </c>
      <c r="N165" s="153">
        <f t="shared" si="159"/>
        <v>0</v>
      </c>
      <c r="O165" s="153">
        <f t="shared" si="159"/>
        <v>133.07</v>
      </c>
      <c r="P165" s="153">
        <f t="shared" si="159"/>
        <v>0</v>
      </c>
      <c r="R165" s="2">
        <f t="shared" si="143"/>
        <v>43051.939999999995</v>
      </c>
      <c r="T165" s="2">
        <f t="shared" si="144"/>
        <v>21726.93</v>
      </c>
      <c r="U165" s="2">
        <f t="shared" si="145"/>
        <v>1277.93</v>
      </c>
      <c r="V165" s="2">
        <f t="shared" si="146"/>
        <v>12680.02</v>
      </c>
      <c r="W165" s="2">
        <f t="shared" si="147"/>
        <v>0</v>
      </c>
      <c r="X165" s="2">
        <f t="shared" si="148"/>
        <v>53.95</v>
      </c>
      <c r="Y165" s="2">
        <f t="shared" si="149"/>
        <v>35738.83</v>
      </c>
      <c r="Z165" s="2">
        <f t="shared" si="150"/>
        <v>5993.24</v>
      </c>
      <c r="AA165" s="2">
        <f t="shared" si="151"/>
        <v>1319.87</v>
      </c>
      <c r="AB165" s="2">
        <f t="shared" si="152"/>
        <v>7313.11</v>
      </c>
      <c r="AC165" s="2">
        <f t="shared" si="153"/>
        <v>43051.94</v>
      </c>
      <c r="AD165" s="2">
        <f t="shared" si="154"/>
        <v>0</v>
      </c>
    </row>
    <row r="166" spans="1:30" x14ac:dyDescent="0.2">
      <c r="A166" s="145">
        <f>'TAX Interest Rates'!A63</f>
        <v>44742</v>
      </c>
      <c r="B166" s="153">
        <f t="shared" ref="B166:P166" si="160">ROUND(-B54*B108,2)</f>
        <v>13102.02</v>
      </c>
      <c r="C166" s="153">
        <f t="shared" si="160"/>
        <v>0</v>
      </c>
      <c r="D166" s="153">
        <f t="shared" si="160"/>
        <v>757.11</v>
      </c>
      <c r="E166" s="153">
        <f t="shared" si="160"/>
        <v>317.69</v>
      </c>
      <c r="F166" s="153">
        <f t="shared" si="160"/>
        <v>4.12</v>
      </c>
      <c r="G166" s="153">
        <f t="shared" si="160"/>
        <v>7831.38</v>
      </c>
      <c r="H166" s="153">
        <f t="shared" si="160"/>
        <v>484.01</v>
      </c>
      <c r="I166" s="153">
        <f t="shared" si="160"/>
        <v>0</v>
      </c>
      <c r="J166" s="153">
        <f t="shared" si="160"/>
        <v>0</v>
      </c>
      <c r="K166" s="153">
        <f t="shared" si="160"/>
        <v>34.53</v>
      </c>
      <c r="L166" s="153">
        <f t="shared" si="160"/>
        <v>5320.32</v>
      </c>
      <c r="M166" s="153">
        <f t="shared" si="160"/>
        <v>231.45</v>
      </c>
      <c r="N166" s="153">
        <f t="shared" si="160"/>
        <v>206.97</v>
      </c>
      <c r="O166" s="153">
        <f t="shared" si="160"/>
        <v>105.62</v>
      </c>
      <c r="P166" s="153">
        <f t="shared" si="160"/>
        <v>0</v>
      </c>
      <c r="R166" s="2">
        <f t="shared" si="143"/>
        <v>28395.22</v>
      </c>
      <c r="T166" s="2">
        <f t="shared" si="144"/>
        <v>13102.02</v>
      </c>
      <c r="U166" s="2">
        <f t="shared" si="145"/>
        <v>1074.8</v>
      </c>
      <c r="V166" s="2">
        <f t="shared" si="146"/>
        <v>8319.51</v>
      </c>
      <c r="W166" s="2">
        <f t="shared" si="147"/>
        <v>0</v>
      </c>
      <c r="X166" s="2">
        <f t="shared" si="148"/>
        <v>34.53</v>
      </c>
      <c r="Y166" s="2">
        <f t="shared" si="149"/>
        <v>22530.86</v>
      </c>
      <c r="Z166" s="2">
        <f t="shared" si="150"/>
        <v>5320.32</v>
      </c>
      <c r="AA166" s="2">
        <f t="shared" si="151"/>
        <v>544.04</v>
      </c>
      <c r="AB166" s="2">
        <f t="shared" si="152"/>
        <v>5864.36</v>
      </c>
      <c r="AC166" s="2">
        <f t="shared" si="153"/>
        <v>28395.22</v>
      </c>
      <c r="AD166" s="2">
        <f t="shared" si="154"/>
        <v>0</v>
      </c>
    </row>
    <row r="167" spans="1:30" x14ac:dyDescent="0.2">
      <c r="A167" s="145">
        <f>'TAX Interest Rates'!A64</f>
        <v>44773</v>
      </c>
      <c r="B167" s="153">
        <f t="shared" ref="B167:P167" si="161">ROUND(-B55*B109,2)</f>
        <v>9781.16</v>
      </c>
      <c r="C167" s="153">
        <f t="shared" si="161"/>
        <v>0</v>
      </c>
      <c r="D167" s="153">
        <f t="shared" si="161"/>
        <v>510.63</v>
      </c>
      <c r="E167" s="153">
        <f t="shared" si="161"/>
        <v>312</v>
      </c>
      <c r="F167" s="153">
        <f t="shared" si="161"/>
        <v>2.2200000000000002</v>
      </c>
      <c r="G167" s="153">
        <f t="shared" si="161"/>
        <v>6731.27</v>
      </c>
      <c r="H167" s="153">
        <f t="shared" si="161"/>
        <v>297.61</v>
      </c>
      <c r="I167" s="153">
        <f t="shared" si="161"/>
        <v>0</v>
      </c>
      <c r="J167" s="153">
        <f t="shared" si="161"/>
        <v>0</v>
      </c>
      <c r="K167" s="153">
        <f t="shared" si="161"/>
        <v>26.66</v>
      </c>
      <c r="L167" s="153">
        <f t="shared" si="161"/>
        <v>5052.46</v>
      </c>
      <c r="M167" s="153">
        <f t="shared" si="161"/>
        <v>2239.69</v>
      </c>
      <c r="N167" s="153">
        <f t="shared" si="161"/>
        <v>1250.6199999999999</v>
      </c>
      <c r="O167" s="153">
        <f t="shared" si="161"/>
        <v>0</v>
      </c>
      <c r="P167" s="153">
        <f t="shared" si="161"/>
        <v>0</v>
      </c>
      <c r="R167" s="167">
        <f>SUM(B167:Q167)+0.01</f>
        <v>26204.329999999994</v>
      </c>
      <c r="T167" s="2">
        <f t="shared" si="144"/>
        <v>9781.16</v>
      </c>
      <c r="U167" s="2">
        <f t="shared" si="145"/>
        <v>822.63</v>
      </c>
      <c r="V167" s="2">
        <f t="shared" si="146"/>
        <v>7031.1</v>
      </c>
      <c r="W167" s="2">
        <f t="shared" si="147"/>
        <v>0</v>
      </c>
      <c r="X167" s="2">
        <f t="shared" si="148"/>
        <v>26.66</v>
      </c>
      <c r="Y167" s="2">
        <f t="shared" si="149"/>
        <v>17661.55</v>
      </c>
      <c r="Z167" s="2">
        <f t="shared" si="150"/>
        <v>5052.46</v>
      </c>
      <c r="AA167" s="2">
        <f t="shared" si="151"/>
        <v>3490.31</v>
      </c>
      <c r="AB167" s="2">
        <f t="shared" si="152"/>
        <v>8542.77</v>
      </c>
      <c r="AC167" s="2">
        <f t="shared" si="153"/>
        <v>26204.32</v>
      </c>
      <c r="AD167" s="2">
        <f t="shared" si="154"/>
        <v>9.9999999947613105E-3</v>
      </c>
    </row>
    <row r="168" spans="1:30" x14ac:dyDescent="0.2">
      <c r="A168" s="145">
        <f>'TAX Interest Rates'!A65</f>
        <v>44804</v>
      </c>
      <c r="B168" s="153">
        <f t="shared" ref="B168:P168" si="162">ROUND(-B56*B110,2)</f>
        <v>6065.53</v>
      </c>
      <c r="C168" s="153">
        <f t="shared" si="162"/>
        <v>0</v>
      </c>
      <c r="D168" s="153">
        <f t="shared" si="162"/>
        <v>477.55</v>
      </c>
      <c r="E168" s="153">
        <f t="shared" si="162"/>
        <v>289.72000000000003</v>
      </c>
      <c r="F168" s="153">
        <f t="shared" si="162"/>
        <v>2.42</v>
      </c>
      <c r="G168" s="153">
        <f>ROUND(-G56*G110,2)</f>
        <v>4682.32</v>
      </c>
      <c r="H168" s="171">
        <f>ROUND(-H56*H110,2)-0.01</f>
        <v>273.40000000000003</v>
      </c>
      <c r="I168" s="153">
        <f t="shared" si="162"/>
        <v>0</v>
      </c>
      <c r="J168" s="153">
        <f t="shared" si="162"/>
        <v>0</v>
      </c>
      <c r="K168" s="171">
        <f>ROUND(-K56*K110,2)-0.01</f>
        <v>30.47</v>
      </c>
      <c r="L168" s="153">
        <f t="shared" si="162"/>
        <v>5641.62</v>
      </c>
      <c r="M168" s="153">
        <f t="shared" si="162"/>
        <v>3098.47</v>
      </c>
      <c r="N168" s="153">
        <f t="shared" si="162"/>
        <v>1811.49</v>
      </c>
      <c r="O168" s="153">
        <f t="shared" si="162"/>
        <v>0</v>
      </c>
      <c r="P168" s="153">
        <f t="shared" si="162"/>
        <v>0</v>
      </c>
      <c r="R168" s="2">
        <f t="shared" si="143"/>
        <v>22372.99</v>
      </c>
      <c r="T168" s="2">
        <f t="shared" si="144"/>
        <v>6065.53</v>
      </c>
      <c r="U168" s="2">
        <f t="shared" si="145"/>
        <v>767.27</v>
      </c>
      <c r="V168" s="2">
        <f t="shared" si="146"/>
        <v>4958.1399999999994</v>
      </c>
      <c r="W168" s="2">
        <f t="shared" si="147"/>
        <v>0</v>
      </c>
      <c r="X168" s="2">
        <f t="shared" si="148"/>
        <v>30.47</v>
      </c>
      <c r="Y168" s="2">
        <f t="shared" si="149"/>
        <v>11821.409999999998</v>
      </c>
      <c r="Z168" s="2">
        <f t="shared" si="150"/>
        <v>5641.62</v>
      </c>
      <c r="AA168" s="2">
        <f t="shared" si="151"/>
        <v>4909.96</v>
      </c>
      <c r="AB168" s="2">
        <f t="shared" si="152"/>
        <v>10551.58</v>
      </c>
      <c r="AC168" s="2">
        <f t="shared" si="153"/>
        <v>22372.989999999998</v>
      </c>
      <c r="AD168" s="2">
        <f t="shared" si="154"/>
        <v>0</v>
      </c>
    </row>
    <row r="169" spans="1:30" x14ac:dyDescent="0.2">
      <c r="A169" s="145">
        <f>'TAX Interest Rates'!A66</f>
        <v>44834</v>
      </c>
      <c r="B169" s="153">
        <f t="shared" ref="B169:P169" si="163">ROUND(-B57*B111,2)</f>
        <v>-2627.54</v>
      </c>
      <c r="C169" s="153">
        <f t="shared" si="163"/>
        <v>0</v>
      </c>
      <c r="D169" s="153">
        <f t="shared" si="163"/>
        <v>0</v>
      </c>
      <c r="E169" s="153">
        <f t="shared" si="163"/>
        <v>0</v>
      </c>
      <c r="F169" s="153">
        <f t="shared" si="163"/>
        <v>-2.42</v>
      </c>
      <c r="G169" s="153">
        <f t="shared" si="163"/>
        <v>-2152.16</v>
      </c>
      <c r="H169" s="153">
        <f t="shared" si="163"/>
        <v>-6.03</v>
      </c>
      <c r="I169" s="153">
        <f t="shared" si="163"/>
        <v>0</v>
      </c>
      <c r="J169" s="153">
        <f t="shared" si="163"/>
        <v>0</v>
      </c>
      <c r="K169" s="153">
        <f t="shared" si="163"/>
        <v>-30.48</v>
      </c>
      <c r="L169" s="153">
        <f t="shared" si="163"/>
        <v>-5641.62</v>
      </c>
      <c r="M169" s="153">
        <f t="shared" si="163"/>
        <v>-3098.47</v>
      </c>
      <c r="N169" s="153">
        <f t="shared" si="163"/>
        <v>-1811.49</v>
      </c>
      <c r="O169" s="153">
        <f t="shared" si="163"/>
        <v>0</v>
      </c>
      <c r="P169" s="153">
        <f t="shared" si="163"/>
        <v>0</v>
      </c>
      <c r="R169" s="2">
        <f t="shared" si="143"/>
        <v>-15370.21</v>
      </c>
      <c r="T169" s="2">
        <f t="shared" si="144"/>
        <v>-2627.54</v>
      </c>
      <c r="U169" s="2">
        <f t="shared" si="145"/>
        <v>0</v>
      </c>
      <c r="V169" s="2">
        <f t="shared" si="146"/>
        <v>-2160.61</v>
      </c>
      <c r="W169" s="2">
        <f t="shared" si="147"/>
        <v>0</v>
      </c>
      <c r="X169" s="2">
        <f t="shared" si="148"/>
        <v>-30.48</v>
      </c>
      <c r="Y169" s="2">
        <f t="shared" si="149"/>
        <v>-4818.6299999999992</v>
      </c>
      <c r="Z169" s="2">
        <f t="shared" si="150"/>
        <v>-5641.62</v>
      </c>
      <c r="AA169" s="2">
        <f t="shared" si="151"/>
        <v>-4909.96</v>
      </c>
      <c r="AB169" s="2">
        <f t="shared" si="152"/>
        <v>-10551.58</v>
      </c>
      <c r="AC169" s="2">
        <f t="shared" si="153"/>
        <v>-15370.21</v>
      </c>
      <c r="AD169" s="2">
        <f t="shared" si="154"/>
        <v>0</v>
      </c>
    </row>
    <row r="170" spans="1:30" x14ac:dyDescent="0.2">
      <c r="A170" s="145">
        <f>'TAX Interest Rates'!A67</f>
        <v>44865</v>
      </c>
      <c r="B170" s="153">
        <f t="shared" ref="B170:P170" si="164">ROUND(-B58*B112,2)</f>
        <v>0</v>
      </c>
      <c r="C170" s="153">
        <f t="shared" si="164"/>
        <v>0</v>
      </c>
      <c r="D170" s="153">
        <f t="shared" si="164"/>
        <v>0</v>
      </c>
      <c r="E170" s="153">
        <f t="shared" si="164"/>
        <v>0</v>
      </c>
      <c r="F170" s="153">
        <f t="shared" si="164"/>
        <v>0</v>
      </c>
      <c r="G170" s="153">
        <f t="shared" si="164"/>
        <v>0</v>
      </c>
      <c r="H170" s="153">
        <f t="shared" si="164"/>
        <v>0</v>
      </c>
      <c r="I170" s="153">
        <f t="shared" si="164"/>
        <v>0</v>
      </c>
      <c r="J170" s="153">
        <f t="shared" si="164"/>
        <v>0</v>
      </c>
      <c r="K170" s="153">
        <f t="shared" si="164"/>
        <v>0</v>
      </c>
      <c r="L170" s="153">
        <f t="shared" si="164"/>
        <v>0</v>
      </c>
      <c r="M170" s="153">
        <f t="shared" si="164"/>
        <v>0</v>
      </c>
      <c r="N170" s="153">
        <f t="shared" si="164"/>
        <v>0</v>
      </c>
      <c r="O170" s="153">
        <f t="shared" si="164"/>
        <v>0</v>
      </c>
      <c r="P170" s="153">
        <f t="shared" si="164"/>
        <v>0</v>
      </c>
      <c r="R170" s="2">
        <f t="shared" si="143"/>
        <v>0</v>
      </c>
      <c r="T170" s="2">
        <f t="shared" si="144"/>
        <v>0</v>
      </c>
      <c r="U170" s="2">
        <f t="shared" si="145"/>
        <v>0</v>
      </c>
      <c r="V170" s="2">
        <f t="shared" si="146"/>
        <v>0</v>
      </c>
      <c r="W170" s="2">
        <f t="shared" si="147"/>
        <v>0</v>
      </c>
      <c r="X170" s="2">
        <f t="shared" si="148"/>
        <v>0</v>
      </c>
      <c r="Y170" s="2">
        <f t="shared" si="149"/>
        <v>0</v>
      </c>
      <c r="Z170" s="2">
        <f t="shared" si="150"/>
        <v>0</v>
      </c>
      <c r="AA170" s="2">
        <f t="shared" si="151"/>
        <v>0</v>
      </c>
      <c r="AB170" s="2">
        <f t="shared" si="152"/>
        <v>0</v>
      </c>
      <c r="AC170" s="2">
        <f t="shared" si="153"/>
        <v>0</v>
      </c>
      <c r="AD170" s="2">
        <f t="shared" si="154"/>
        <v>0</v>
      </c>
    </row>
  </sheetData>
  <mergeCells count="4">
    <mergeCell ref="C2:E2"/>
    <mergeCell ref="F2:H2"/>
    <mergeCell ref="I2:J2"/>
    <mergeCell ref="M2:P2"/>
  </mergeCells>
  <printOptions horizontalCentered="1"/>
  <pageMargins left="0.25" right="0.25" top="0.75" bottom="0.75" header="0.3" footer="0.3"/>
  <pageSetup scale="91" orientation="landscape" r:id="rId1"/>
  <headerFooter>
    <oddFooter xml:space="preserve">&amp;L&amp;10WA Tax Deferral Accounts&amp;C&amp;10&amp;A&amp;R&amp;10 47WA.2540.20483&amp;12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64"/>
  <sheetViews>
    <sheetView view="pageBreakPreview" topLeftCell="A2" zoomScaleNormal="100" zoomScaleSheetLayoutView="100" workbookViewId="0">
      <selection activeCell="M63" sqref="M63"/>
    </sheetView>
  </sheetViews>
  <sheetFormatPr defaultColWidth="8.88671875" defaultRowHeight="12.75" x14ac:dyDescent="0.2"/>
  <cols>
    <col min="1" max="2" width="8.88671875" style="2"/>
    <col min="3" max="3" width="10.109375" style="2" customWidth="1"/>
    <col min="4" max="4" width="8.88671875" style="2"/>
    <col min="5" max="5" width="10.21875" style="2" customWidth="1"/>
    <col min="6" max="6" width="8.88671875" style="2"/>
    <col min="7" max="7" width="13.109375" style="2" customWidth="1"/>
    <col min="8" max="8" width="11.6640625" style="2" customWidth="1"/>
    <col min="9" max="9" width="1.21875" style="2" customWidth="1"/>
    <col min="10" max="10" width="11.6640625" style="2" customWidth="1"/>
    <col min="11" max="11" width="9.77734375" style="2" customWidth="1"/>
    <col min="12" max="12" width="9" style="25" bestFit="1" customWidth="1"/>
    <col min="13" max="13" width="10.33203125" style="25" bestFit="1" customWidth="1"/>
    <col min="14" max="14" width="29.33203125" style="2" customWidth="1"/>
    <col min="15" max="16384" width="8.88671875" style="2"/>
  </cols>
  <sheetData>
    <row r="1" spans="1:13" x14ac:dyDescent="0.2">
      <c r="A1" s="209" t="s">
        <v>65</v>
      </c>
      <c r="B1" s="210"/>
      <c r="C1" s="211" t="s">
        <v>66</v>
      </c>
      <c r="D1" s="211"/>
      <c r="E1" s="211"/>
      <c r="F1" s="211"/>
      <c r="G1" s="211"/>
      <c r="H1" s="212"/>
      <c r="I1" s="131"/>
      <c r="J1" s="27"/>
    </row>
    <row r="2" spans="1:13" x14ac:dyDescent="0.2">
      <c r="A2" s="206" t="s">
        <v>67</v>
      </c>
      <c r="B2" s="186"/>
      <c r="C2" s="207" t="s">
        <v>113</v>
      </c>
      <c r="D2" s="207"/>
      <c r="E2" s="207"/>
      <c r="F2" s="207"/>
      <c r="G2" s="207"/>
      <c r="H2" s="208"/>
      <c r="I2" s="131"/>
      <c r="J2" s="27"/>
    </row>
    <row r="3" spans="1:13" x14ac:dyDescent="0.2">
      <c r="A3" s="206" t="s">
        <v>69</v>
      </c>
      <c r="B3" s="186"/>
      <c r="C3" s="207" t="s">
        <v>10</v>
      </c>
      <c r="D3" s="207"/>
      <c r="E3" s="207"/>
      <c r="F3" s="207"/>
      <c r="G3" s="207"/>
      <c r="H3" s="208"/>
      <c r="I3" s="131"/>
      <c r="J3" s="27"/>
    </row>
    <row r="4" spans="1:13" ht="12.75" customHeight="1" x14ac:dyDescent="0.2">
      <c r="A4" s="206" t="s">
        <v>71</v>
      </c>
      <c r="B4" s="186"/>
      <c r="C4" s="207"/>
      <c r="D4" s="207"/>
      <c r="E4" s="207"/>
      <c r="F4" s="207"/>
      <c r="G4" s="207"/>
      <c r="H4" s="208"/>
      <c r="I4" s="131"/>
      <c r="J4" s="216" t="s">
        <v>107</v>
      </c>
      <c r="K4" s="216"/>
      <c r="L4" s="216"/>
      <c r="M4" s="216"/>
    </row>
    <row r="5" spans="1:13" x14ac:dyDescent="0.2">
      <c r="A5" s="206" t="s">
        <v>72</v>
      </c>
      <c r="B5" s="186"/>
      <c r="C5" s="207" t="s">
        <v>75</v>
      </c>
      <c r="D5" s="207"/>
      <c r="E5" s="207"/>
      <c r="F5" s="207"/>
      <c r="G5" s="207"/>
      <c r="H5" s="208"/>
      <c r="I5" s="131"/>
      <c r="J5" s="216"/>
      <c r="K5" s="216"/>
      <c r="L5" s="216"/>
      <c r="M5" s="216"/>
    </row>
    <row r="6" spans="1:13" x14ac:dyDescent="0.2">
      <c r="A6" s="206" t="s">
        <v>74</v>
      </c>
      <c r="B6" s="186"/>
      <c r="C6" s="207" t="s">
        <v>111</v>
      </c>
      <c r="D6" s="207"/>
      <c r="E6" s="207"/>
      <c r="F6" s="207"/>
      <c r="G6" s="207"/>
      <c r="H6" s="208"/>
      <c r="I6" s="131"/>
      <c r="J6" s="216"/>
      <c r="K6" s="216"/>
      <c r="L6" s="216"/>
      <c r="M6" s="216"/>
    </row>
    <row r="7" spans="1:13" ht="13.5" thickBot="1" x14ac:dyDescent="0.25">
      <c r="A7" s="201" t="s">
        <v>76</v>
      </c>
      <c r="B7" s="202"/>
      <c r="C7" s="203" t="s">
        <v>114</v>
      </c>
      <c r="D7" s="203"/>
      <c r="E7" s="203"/>
      <c r="F7" s="203"/>
      <c r="G7" s="203"/>
      <c r="H7" s="204"/>
      <c r="I7" s="132"/>
      <c r="J7" s="30"/>
    </row>
    <row r="8" spans="1:13" x14ac:dyDescent="0.2">
      <c r="A8" s="34"/>
      <c r="B8" s="34"/>
      <c r="C8" s="35"/>
      <c r="D8" s="35"/>
      <c r="E8" s="35"/>
      <c r="F8" s="35"/>
      <c r="G8" s="35"/>
      <c r="H8" s="35"/>
      <c r="I8" s="35"/>
      <c r="K8" s="36"/>
    </row>
    <row r="9" spans="1:13" x14ac:dyDescent="0.2">
      <c r="A9" s="7"/>
      <c r="D9" s="194" t="s">
        <v>78</v>
      </c>
      <c r="E9" s="194"/>
      <c r="F9" s="194"/>
    </row>
    <row r="10" spans="1:13" s="99" customFormat="1" ht="30.75" customHeight="1" x14ac:dyDescent="0.2">
      <c r="A10" s="8" t="s">
        <v>24</v>
      </c>
      <c r="B10" s="8" t="s">
        <v>79</v>
      </c>
      <c r="C10" s="8" t="s">
        <v>62</v>
      </c>
      <c r="D10" s="8" t="s">
        <v>80</v>
      </c>
      <c r="E10" s="8" t="s">
        <v>58</v>
      </c>
      <c r="F10" s="8" t="s">
        <v>81</v>
      </c>
      <c r="G10" s="8" t="s">
        <v>82</v>
      </c>
      <c r="H10" s="8" t="s">
        <v>83</v>
      </c>
      <c r="I10" s="133"/>
      <c r="J10" s="8" t="s">
        <v>84</v>
      </c>
      <c r="K10" s="8" t="s">
        <v>85</v>
      </c>
      <c r="L10" s="19" t="s">
        <v>86</v>
      </c>
      <c r="M10" s="19" t="s">
        <v>87</v>
      </c>
    </row>
    <row r="11" spans="1:13" x14ac:dyDescent="0.2">
      <c r="A11" s="31"/>
      <c r="B11" s="31"/>
      <c r="C11" s="31"/>
      <c r="D11" s="31"/>
      <c r="E11" s="31"/>
      <c r="F11" s="31"/>
      <c r="G11" s="31"/>
      <c r="H11" s="29"/>
      <c r="I11" s="134"/>
      <c r="J11" s="30"/>
    </row>
    <row r="12" spans="1:13" hidden="1" x14ac:dyDescent="0.2">
      <c r="A12" s="205" t="s">
        <v>102</v>
      </c>
      <c r="B12" s="205"/>
      <c r="C12" s="205"/>
      <c r="D12" s="205"/>
      <c r="E12" s="205"/>
      <c r="F12" s="205"/>
      <c r="G12" s="29">
        <v>-115275.12</v>
      </c>
      <c r="H12" s="29"/>
      <c r="I12" s="134"/>
      <c r="J12" s="37"/>
      <c r="K12" s="24"/>
    </row>
    <row r="13" spans="1:13" hidden="1" x14ac:dyDescent="0.2">
      <c r="A13" s="205"/>
      <c r="B13" s="205"/>
      <c r="C13" s="205"/>
      <c r="D13" s="205"/>
      <c r="E13" s="205"/>
      <c r="F13" s="205"/>
      <c r="G13" s="29"/>
      <c r="H13" s="29">
        <f>SUM(G12:G12)</f>
        <v>-115275.12</v>
      </c>
      <c r="I13" s="134"/>
      <c r="J13" s="30"/>
    </row>
    <row r="14" spans="1:13" hidden="1" x14ac:dyDescent="0.2">
      <c r="A14" s="28">
        <f>'TAX Interest Rates'!A17</f>
        <v>43343</v>
      </c>
      <c r="B14" s="47" t="s">
        <v>103</v>
      </c>
      <c r="C14" s="46">
        <f>+'Unprotected EDIT Gross up'!R4</f>
        <v>61836631</v>
      </c>
      <c r="D14" s="24">
        <f>15625.1-14235.75</f>
        <v>1389.3500000000004</v>
      </c>
      <c r="E14" s="29">
        <f>+'Unprotected EDIT Gross up'!R116</f>
        <v>5623.18</v>
      </c>
      <c r="F14" s="29">
        <f t="shared" ref="F14:F18" si="0">ROUND(H13*VLOOKUP(A14,TAXINT18,2)/365*VLOOKUP(A14,TAXINT18,3),2)</f>
        <v>0</v>
      </c>
      <c r="G14" s="29"/>
      <c r="H14" s="29">
        <f>SUM(D14:G14)+H13</f>
        <v>-108262.59</v>
      </c>
      <c r="I14" s="134"/>
      <c r="J14" s="37">
        <v>-108262.59</v>
      </c>
      <c r="K14" s="2">
        <f>J14-H14</f>
        <v>0</v>
      </c>
      <c r="L14" s="25" t="s">
        <v>98</v>
      </c>
      <c r="M14" s="128">
        <v>43364</v>
      </c>
    </row>
    <row r="15" spans="1:13" hidden="1" x14ac:dyDescent="0.2">
      <c r="A15" s="28">
        <f>'TAX Interest Rates'!A18</f>
        <v>43373</v>
      </c>
      <c r="B15" s="47" t="s">
        <v>103</v>
      </c>
      <c r="C15" s="46">
        <f>+'Unprotected EDIT Gross up'!R5</f>
        <v>69221884</v>
      </c>
      <c r="D15" s="24">
        <v>-14235.72</v>
      </c>
      <c r="E15" s="29">
        <f>+'Unprotected EDIT Gross up'!R117</f>
        <v>8547.06</v>
      </c>
      <c r="F15" s="29">
        <f t="shared" si="0"/>
        <v>0</v>
      </c>
      <c r="G15" s="29"/>
      <c r="H15" s="29">
        <f t="shared" ref="H15:H24" si="1">SUM(D15:G15)+H14</f>
        <v>-113951.25</v>
      </c>
      <c r="I15" s="134"/>
      <c r="J15" s="37">
        <v>-113951.25</v>
      </c>
      <c r="K15" s="24">
        <f>J15-H15</f>
        <v>0</v>
      </c>
      <c r="L15" s="25" t="s">
        <v>98</v>
      </c>
      <c r="M15" s="128">
        <v>43381</v>
      </c>
    </row>
    <row r="16" spans="1:13" hidden="1" x14ac:dyDescent="0.2">
      <c r="A16" s="28">
        <f>'TAX Interest Rates'!A19</f>
        <v>43404</v>
      </c>
      <c r="B16" s="47" t="s">
        <v>103</v>
      </c>
      <c r="C16" s="46">
        <f>+'Unprotected EDIT Gross up'!R6</f>
        <v>58118580</v>
      </c>
      <c r="D16" s="37">
        <v>-14235.72</v>
      </c>
      <c r="E16" s="29">
        <f>+'Unprotected EDIT Gross up'!R118</f>
        <v>10479.16</v>
      </c>
      <c r="F16" s="29">
        <f t="shared" si="0"/>
        <v>0</v>
      </c>
      <c r="G16" s="30"/>
      <c r="H16" s="32">
        <f t="shared" si="1"/>
        <v>-117707.81</v>
      </c>
      <c r="I16" s="135"/>
      <c r="J16" s="37">
        <v>-117707.81</v>
      </c>
      <c r="K16" s="24">
        <f t="shared" ref="K16:K30" si="2">J16-H16</f>
        <v>0</v>
      </c>
      <c r="L16" s="25" t="s">
        <v>98</v>
      </c>
      <c r="M16" s="128">
        <v>43411</v>
      </c>
    </row>
    <row r="17" spans="1:13" hidden="1" x14ac:dyDescent="0.2">
      <c r="A17" s="28">
        <f>'TAX Interest Rates'!A20</f>
        <v>43434</v>
      </c>
      <c r="B17" s="47" t="s">
        <v>104</v>
      </c>
      <c r="C17" s="46">
        <f>+'Unprotected EDIT Gross up'!R8+'Unprotected EDIT Gross up'!R7</f>
        <v>43389765</v>
      </c>
      <c r="D17" s="37">
        <v>-14235.72</v>
      </c>
      <c r="E17" s="29">
        <f>+'Unprotected EDIT Gross up'!R120+'Unprotected EDIT Gross up'!R119</f>
        <v>13214.47</v>
      </c>
      <c r="F17" s="29">
        <f t="shared" si="0"/>
        <v>0</v>
      </c>
      <c r="G17" s="30"/>
      <c r="H17" s="32">
        <f t="shared" si="1"/>
        <v>-118729.06</v>
      </c>
      <c r="I17" s="135"/>
      <c r="J17" s="2">
        <v>-118729.06</v>
      </c>
      <c r="K17" s="24">
        <f t="shared" si="2"/>
        <v>0</v>
      </c>
      <c r="L17" s="25" t="s">
        <v>98</v>
      </c>
      <c r="M17" s="128">
        <v>43444</v>
      </c>
    </row>
    <row r="18" spans="1:13" hidden="1" x14ac:dyDescent="0.2">
      <c r="A18" s="28">
        <f>'TAX Interest Rates'!A21</f>
        <v>43465</v>
      </c>
      <c r="B18" s="47" t="s">
        <v>103</v>
      </c>
      <c r="C18" s="46">
        <f>+'Unprotected EDIT Gross up'!R9</f>
        <v>80158637</v>
      </c>
      <c r="D18" s="37">
        <v>-33351.71</v>
      </c>
      <c r="E18" s="29">
        <f>+'Unprotected EDIT Gross up'!R121</f>
        <v>25743.989999999998</v>
      </c>
      <c r="F18" s="29">
        <f t="shared" si="0"/>
        <v>0</v>
      </c>
      <c r="G18" s="30"/>
      <c r="H18" s="32">
        <f t="shared" si="1"/>
        <v>-126336.78</v>
      </c>
      <c r="I18" s="135"/>
      <c r="J18" s="2">
        <v>-126336.78</v>
      </c>
      <c r="K18" s="24">
        <f t="shared" si="2"/>
        <v>0</v>
      </c>
      <c r="L18" s="25" t="s">
        <v>98</v>
      </c>
      <c r="M18" s="128">
        <v>43482</v>
      </c>
    </row>
    <row r="19" spans="1:13" hidden="1" x14ac:dyDescent="0.2">
      <c r="A19" s="28">
        <f>'TAX Interest Rates'!A22</f>
        <v>43496</v>
      </c>
      <c r="B19" s="47" t="s">
        <v>103</v>
      </c>
      <c r="C19" s="46">
        <f>+'Unprotected EDIT Gross up'!R10</f>
        <v>86264908</v>
      </c>
      <c r="D19" s="37">
        <v>-15828.72</v>
      </c>
      <c r="E19" s="29">
        <f>+'Unprotected EDIT Gross up'!R122</f>
        <v>28912.69</v>
      </c>
      <c r="F19" s="29">
        <f t="shared" ref="F19:F24" si="3">ROUND(H18*VLOOKUP(A19,TAXINT19,2)/365*VLOOKUP(A19,TAXINT19,3),2)</f>
        <v>0</v>
      </c>
      <c r="G19" s="30"/>
      <c r="H19" s="32">
        <f t="shared" si="1"/>
        <v>-113252.81</v>
      </c>
      <c r="I19" s="135"/>
      <c r="J19" s="2">
        <v>-113252.81</v>
      </c>
      <c r="K19" s="24">
        <f t="shared" si="2"/>
        <v>0</v>
      </c>
      <c r="L19" s="25" t="s">
        <v>98</v>
      </c>
      <c r="M19" s="128">
        <v>43531</v>
      </c>
    </row>
    <row r="20" spans="1:13" hidden="1" x14ac:dyDescent="0.2">
      <c r="A20" s="28">
        <f>'TAX Interest Rates'!A23</f>
        <v>43524</v>
      </c>
      <c r="B20" s="47" t="s">
        <v>103</v>
      </c>
      <c r="C20" s="46">
        <f>+'Unprotected EDIT Gross up'!R11</f>
        <v>82269503</v>
      </c>
      <c r="D20" s="37">
        <v>-15828.72</v>
      </c>
      <c r="E20" s="29">
        <f>+'Unprotected EDIT Gross up'!R123</f>
        <v>30243.949999999997</v>
      </c>
      <c r="F20" s="29">
        <f t="shared" si="3"/>
        <v>0</v>
      </c>
      <c r="G20" s="30"/>
      <c r="H20" s="32">
        <f t="shared" si="1"/>
        <v>-98837.58</v>
      </c>
      <c r="I20" s="135"/>
      <c r="J20" s="2">
        <v>-98837.58</v>
      </c>
      <c r="K20" s="24">
        <f t="shared" si="2"/>
        <v>0</v>
      </c>
      <c r="L20" s="25" t="s">
        <v>98</v>
      </c>
      <c r="M20" s="128">
        <v>43531</v>
      </c>
    </row>
    <row r="21" spans="1:13" hidden="1" x14ac:dyDescent="0.2">
      <c r="A21" s="28">
        <f>'TAX Interest Rates'!A24</f>
        <v>43555</v>
      </c>
      <c r="B21" s="47" t="s">
        <v>103</v>
      </c>
      <c r="C21" s="46">
        <f>+'Unprotected EDIT Gross up'!R12</f>
        <v>84736435</v>
      </c>
      <c r="D21" s="37">
        <v>-15828.72</v>
      </c>
      <c r="E21" s="29">
        <f>+'Unprotected EDIT Gross up'!R124</f>
        <v>32789.21</v>
      </c>
      <c r="F21" s="29">
        <f t="shared" si="3"/>
        <v>0</v>
      </c>
      <c r="G21" s="30"/>
      <c r="H21" s="32">
        <f t="shared" si="1"/>
        <v>-81877.09</v>
      </c>
      <c r="I21" s="135"/>
      <c r="J21" s="2">
        <v>-81877.09</v>
      </c>
      <c r="K21" s="24">
        <f t="shared" si="2"/>
        <v>0</v>
      </c>
      <c r="L21" s="25" t="s">
        <v>98</v>
      </c>
      <c r="M21" s="128">
        <v>43560</v>
      </c>
    </row>
    <row r="22" spans="1:13" hidden="1" x14ac:dyDescent="0.2">
      <c r="A22" s="28">
        <f>'TAX Interest Rates'!A25</f>
        <v>43585</v>
      </c>
      <c r="B22" s="47" t="s">
        <v>103</v>
      </c>
      <c r="C22" s="46">
        <f>+'Unprotected EDIT Gross up'!R13</f>
        <v>62230455</v>
      </c>
      <c r="D22" s="24">
        <v>-15828.72</v>
      </c>
      <c r="E22" s="29">
        <f>+'Unprotected EDIT Gross up'!R125</f>
        <v>19452.82</v>
      </c>
      <c r="F22" s="29">
        <f t="shared" si="3"/>
        <v>0</v>
      </c>
      <c r="H22" s="32">
        <f t="shared" si="1"/>
        <v>-78252.989999999991</v>
      </c>
      <c r="I22" s="135"/>
      <c r="J22" s="2">
        <v>-78252.990000000005</v>
      </c>
      <c r="K22" s="24">
        <f t="shared" si="2"/>
        <v>0</v>
      </c>
      <c r="L22" s="25" t="s">
        <v>98</v>
      </c>
      <c r="M22" s="128">
        <v>43593</v>
      </c>
    </row>
    <row r="23" spans="1:13" hidden="1" x14ac:dyDescent="0.2">
      <c r="A23" s="28">
        <f>'TAX Interest Rates'!A26</f>
        <v>43616</v>
      </c>
      <c r="B23" s="47" t="s">
        <v>103</v>
      </c>
      <c r="C23" s="46">
        <f>+'Unprotected EDIT Gross up'!R14</f>
        <v>50477479</v>
      </c>
      <c r="D23" s="24">
        <v>-15828.72</v>
      </c>
      <c r="E23" s="29">
        <f>+'Unprotected EDIT Gross up'!R126</f>
        <v>12615.849999999999</v>
      </c>
      <c r="F23" s="29">
        <f t="shared" si="3"/>
        <v>0</v>
      </c>
      <c r="H23" s="32">
        <f t="shared" si="1"/>
        <v>-81465.859999999986</v>
      </c>
      <c r="I23" s="135"/>
      <c r="J23" s="2">
        <v>-81465.86</v>
      </c>
      <c r="K23" s="24">
        <f t="shared" si="2"/>
        <v>0</v>
      </c>
      <c r="L23" s="25" t="s">
        <v>98</v>
      </c>
      <c r="M23" s="128">
        <v>43623</v>
      </c>
    </row>
    <row r="24" spans="1:13" hidden="1" x14ac:dyDescent="0.2">
      <c r="A24" s="28">
        <f>'TAX Interest Rates'!A27</f>
        <v>43646</v>
      </c>
      <c r="B24" s="47" t="s">
        <v>103</v>
      </c>
      <c r="C24" s="46">
        <f>+'Unprotected EDIT Gross up'!R15</f>
        <v>51732018</v>
      </c>
      <c r="D24" s="24">
        <v>-15828.72</v>
      </c>
      <c r="E24" s="29">
        <f>+'Unprotected EDIT Gross up'!R127</f>
        <v>8990.0699999999979</v>
      </c>
      <c r="F24" s="29">
        <f t="shared" si="3"/>
        <v>0</v>
      </c>
      <c r="H24" s="32">
        <f t="shared" si="1"/>
        <v>-88304.50999999998</v>
      </c>
      <c r="I24" s="135"/>
      <c r="J24" s="2">
        <v>-88304.51</v>
      </c>
      <c r="K24" s="24">
        <f t="shared" si="2"/>
        <v>0</v>
      </c>
      <c r="L24" s="25" t="s">
        <v>98</v>
      </c>
      <c r="M24" s="128">
        <v>43654</v>
      </c>
    </row>
    <row r="25" spans="1:13" hidden="1" x14ac:dyDescent="0.2">
      <c r="A25" s="28">
        <f>'TAX Interest Rates'!A28</f>
        <v>43677</v>
      </c>
      <c r="B25" s="47" t="s">
        <v>103</v>
      </c>
      <c r="C25" s="46">
        <f>+'Unprotected EDIT Gross up'!R16</f>
        <v>67400695</v>
      </c>
      <c r="D25" s="24">
        <v>-15828.72</v>
      </c>
      <c r="E25" s="29">
        <f>+'Unprotected EDIT Gross up'!R128</f>
        <v>9212.68</v>
      </c>
      <c r="F25" s="29">
        <f t="shared" ref="F25:F30" si="4">ROUND(H24*VLOOKUP(A25,TAXINT19,2)/365*VLOOKUP(A25,TAXINT19,3),2)</f>
        <v>0</v>
      </c>
      <c r="H25" s="32">
        <f t="shared" ref="H25:H30" si="5">SUM(D25:G25)+H24</f>
        <v>-94920.549999999974</v>
      </c>
      <c r="I25" s="135"/>
      <c r="J25" s="2">
        <v>-94920.55</v>
      </c>
      <c r="K25" s="24">
        <f t="shared" si="2"/>
        <v>0</v>
      </c>
      <c r="L25" s="25" t="s">
        <v>98</v>
      </c>
      <c r="M25" s="128">
        <v>43685</v>
      </c>
    </row>
    <row r="26" spans="1:13" hidden="1" x14ac:dyDescent="0.2">
      <c r="A26" s="28">
        <f>'TAX Interest Rates'!A29</f>
        <v>43708</v>
      </c>
      <c r="B26" s="47" t="s">
        <v>103</v>
      </c>
      <c r="C26" s="46">
        <f>+'Unprotected EDIT Gross up'!R17</f>
        <v>76438837</v>
      </c>
      <c r="D26" s="24">
        <v>-15828.72</v>
      </c>
      <c r="E26" s="29">
        <f>+'Unprotected EDIT Gross up'!R129</f>
        <v>9381.92</v>
      </c>
      <c r="F26" s="29">
        <f t="shared" si="4"/>
        <v>0</v>
      </c>
      <c r="H26" s="32">
        <f t="shared" si="5"/>
        <v>-101367.34999999998</v>
      </c>
      <c r="I26" s="135"/>
      <c r="J26" s="2">
        <v>-101367.35</v>
      </c>
      <c r="K26" s="24">
        <f t="shared" si="2"/>
        <v>0</v>
      </c>
      <c r="L26" s="25" t="s">
        <v>98</v>
      </c>
      <c r="M26" s="128">
        <v>43717</v>
      </c>
    </row>
    <row r="27" spans="1:13" hidden="1" x14ac:dyDescent="0.2">
      <c r="A27" s="28">
        <f>'TAX Interest Rates'!A30</f>
        <v>43738</v>
      </c>
      <c r="B27" s="47" t="s">
        <v>103</v>
      </c>
      <c r="C27" s="46">
        <f>+'Unprotected EDIT Gross up'!R18</f>
        <v>73218474</v>
      </c>
      <c r="D27" s="24">
        <v>-15828.72</v>
      </c>
      <c r="E27" s="29">
        <f>+'Unprotected EDIT Gross up'!R130</f>
        <v>9033.02</v>
      </c>
      <c r="F27" s="29">
        <f t="shared" si="4"/>
        <v>0</v>
      </c>
      <c r="H27" s="32">
        <f t="shared" si="5"/>
        <v>-108163.04999999997</v>
      </c>
      <c r="I27" s="135"/>
      <c r="J27" s="2">
        <v>-108163.05</v>
      </c>
      <c r="K27" s="24">
        <f t="shared" si="2"/>
        <v>0</v>
      </c>
      <c r="L27" s="25" t="s">
        <v>98</v>
      </c>
      <c r="M27" s="128">
        <v>43745</v>
      </c>
    </row>
    <row r="28" spans="1:13" hidden="1" x14ac:dyDescent="0.2">
      <c r="A28" s="28">
        <f>'TAX Interest Rates'!A31</f>
        <v>43769</v>
      </c>
      <c r="B28" s="47" t="s">
        <v>103</v>
      </c>
      <c r="C28" s="46">
        <f>+'Unprotected EDIT Gross up'!R19</f>
        <v>62211815</v>
      </c>
      <c r="D28" s="24">
        <v>-15828.72</v>
      </c>
      <c r="E28" s="29">
        <f>+'Unprotected EDIT Gross up'!R131</f>
        <v>12916.199999999999</v>
      </c>
      <c r="F28" s="29">
        <f t="shared" si="4"/>
        <v>0</v>
      </c>
      <c r="H28" s="32">
        <f t="shared" si="5"/>
        <v>-111075.56999999998</v>
      </c>
      <c r="I28" s="135"/>
      <c r="J28" s="2">
        <v>-111075.57</v>
      </c>
      <c r="K28" s="24">
        <f t="shared" si="2"/>
        <v>0</v>
      </c>
      <c r="L28" s="25" t="s">
        <v>98</v>
      </c>
      <c r="M28" s="128">
        <v>43776</v>
      </c>
    </row>
    <row r="29" spans="1:13" hidden="1" x14ac:dyDescent="0.2">
      <c r="A29" s="28">
        <f>'TAX Interest Rates'!A32</f>
        <v>43799</v>
      </c>
      <c r="B29" s="47" t="s">
        <v>104</v>
      </c>
      <c r="C29" s="46">
        <f>+'Unprotected EDIT Gross up'!R20+'Unprotected EDIT Gross up'!R21</f>
        <v>72608604</v>
      </c>
      <c r="D29" s="24">
        <v>-15828.72</v>
      </c>
      <c r="E29" s="29">
        <f>+'Unprotected EDIT Gross up'!R132+'Unprotected EDIT Gross up'!R133</f>
        <v>18376.330000000002</v>
      </c>
      <c r="F29" s="29">
        <f t="shared" si="4"/>
        <v>0</v>
      </c>
      <c r="H29" s="32">
        <f t="shared" si="5"/>
        <v>-108527.95999999998</v>
      </c>
      <c r="I29" s="135"/>
      <c r="J29" s="2">
        <v>-108527.96</v>
      </c>
      <c r="K29" s="24">
        <f t="shared" si="2"/>
        <v>0</v>
      </c>
      <c r="L29" s="25" t="s">
        <v>98</v>
      </c>
      <c r="M29" s="128">
        <v>43808</v>
      </c>
    </row>
    <row r="30" spans="1:13" hidden="1" x14ac:dyDescent="0.2">
      <c r="A30" s="28">
        <f>'TAX Interest Rates'!A33</f>
        <v>43830</v>
      </c>
      <c r="B30" s="47" t="s">
        <v>103</v>
      </c>
      <c r="C30" s="46">
        <f>+'Unprotected EDIT Gross up'!R22</f>
        <v>95612394</v>
      </c>
      <c r="D30" s="24">
        <v>-15828.72</v>
      </c>
      <c r="E30" s="29">
        <f>+'Unprotected EDIT Gross up'!R134</f>
        <v>24964.06</v>
      </c>
      <c r="F30" s="29">
        <f t="shared" si="4"/>
        <v>0</v>
      </c>
      <c r="H30" s="32">
        <f t="shared" si="5"/>
        <v>-99392.619999999981</v>
      </c>
      <c r="I30" s="135"/>
      <c r="J30" s="2">
        <v>-99392.62</v>
      </c>
      <c r="K30" s="24">
        <f t="shared" si="2"/>
        <v>0</v>
      </c>
      <c r="L30" s="25" t="s">
        <v>98</v>
      </c>
      <c r="M30" s="128">
        <v>43838</v>
      </c>
    </row>
    <row r="31" spans="1:13" x14ac:dyDescent="0.2">
      <c r="A31" s="28">
        <f>'TAX Interest Rates'!A34</f>
        <v>43861</v>
      </c>
      <c r="B31" s="47" t="s">
        <v>103</v>
      </c>
      <c r="C31" s="46">
        <f>+'Unprotected EDIT Gross up'!R23</f>
        <v>96190788</v>
      </c>
      <c r="D31" s="24">
        <v>-15828.72</v>
      </c>
      <c r="E31" s="29">
        <f>+'Unprotected EDIT Gross up'!R135</f>
        <v>28939.309999999994</v>
      </c>
      <c r="F31" s="29">
        <f t="shared" ref="F31:F42" si="6">ROUND(H30*VLOOKUP(A31,TAXINT20,2)/365*VLOOKUP(A31,TAXINT20,3),2)</f>
        <v>0</v>
      </c>
      <c r="H31" s="32">
        <f t="shared" ref="H31:H42" si="7">SUM(D31:G31)+H30</f>
        <v>-86282.029999999984</v>
      </c>
      <c r="I31" s="135"/>
      <c r="J31" s="2">
        <v>-86282.03</v>
      </c>
      <c r="K31" s="24">
        <f t="shared" ref="K31:K42" si="8">J31-H31</f>
        <v>0</v>
      </c>
      <c r="L31" s="25" t="s">
        <v>98</v>
      </c>
      <c r="M31" s="128">
        <v>43871</v>
      </c>
    </row>
    <row r="32" spans="1:13" x14ac:dyDescent="0.2">
      <c r="A32" s="28">
        <f>'TAX Interest Rates'!A35</f>
        <v>43890</v>
      </c>
      <c r="B32" s="47" t="s">
        <v>103</v>
      </c>
      <c r="C32" s="46">
        <f>+'Unprotected EDIT Gross up'!R24</f>
        <v>84770508</v>
      </c>
      <c r="D32" s="24">
        <v>-15828.72</v>
      </c>
      <c r="E32" s="29">
        <f>+'Unprotected EDIT Gross up'!R136</f>
        <v>24161.369999999995</v>
      </c>
      <c r="F32" s="29">
        <f t="shared" si="6"/>
        <v>0</v>
      </c>
      <c r="H32" s="32">
        <f t="shared" si="7"/>
        <v>-77949.37999999999</v>
      </c>
      <c r="I32" s="135"/>
      <c r="J32" s="2">
        <v>-77949.38</v>
      </c>
      <c r="K32" s="24">
        <f t="shared" si="8"/>
        <v>0</v>
      </c>
      <c r="L32" s="25" t="s">
        <v>98</v>
      </c>
      <c r="M32" s="128">
        <v>43899</v>
      </c>
    </row>
    <row r="33" spans="1:14" x14ac:dyDescent="0.2">
      <c r="A33" s="28">
        <f>'TAX Interest Rates'!A36</f>
        <v>43921</v>
      </c>
      <c r="B33" s="47" t="s">
        <v>103</v>
      </c>
      <c r="C33" s="46">
        <f>+'Unprotected EDIT Gross up'!R25</f>
        <v>99882117</v>
      </c>
      <c r="D33" s="24">
        <v>-15828.72</v>
      </c>
      <c r="E33" s="29">
        <f>+'Unprotected EDIT Gross up'!R137</f>
        <v>25112.439999999995</v>
      </c>
      <c r="F33" s="29">
        <f t="shared" si="6"/>
        <v>0</v>
      </c>
      <c r="H33" s="32">
        <f t="shared" si="7"/>
        <v>-68665.659999999989</v>
      </c>
      <c r="I33" s="135"/>
      <c r="J33" s="2">
        <v>-68665.66</v>
      </c>
      <c r="K33" s="24">
        <f t="shared" si="8"/>
        <v>0</v>
      </c>
      <c r="L33" s="25" t="s">
        <v>98</v>
      </c>
      <c r="M33" s="128">
        <v>43929</v>
      </c>
    </row>
    <row r="34" spans="1:14" x14ac:dyDescent="0.2">
      <c r="A34" s="28">
        <f>'TAX Interest Rates'!A37</f>
        <v>43951</v>
      </c>
      <c r="B34" s="47" t="s">
        <v>103</v>
      </c>
      <c r="C34" s="46">
        <f>+'Unprotected EDIT Gross up'!R26</f>
        <v>81878770</v>
      </c>
      <c r="D34" s="24">
        <v>-15828.72</v>
      </c>
      <c r="E34" s="29">
        <f>+'Unprotected EDIT Gross up'!R138</f>
        <v>19712.759999999998</v>
      </c>
      <c r="F34" s="29">
        <f t="shared" si="6"/>
        <v>0</v>
      </c>
      <c r="H34" s="32">
        <f t="shared" si="7"/>
        <v>-64781.619999999988</v>
      </c>
      <c r="I34" s="135"/>
      <c r="J34" s="2">
        <v>-64781.62</v>
      </c>
      <c r="K34" s="24">
        <f t="shared" si="8"/>
        <v>0</v>
      </c>
      <c r="L34" s="25" t="s">
        <v>98</v>
      </c>
      <c r="M34" s="128">
        <v>43959</v>
      </c>
    </row>
    <row r="35" spans="1:14" x14ac:dyDescent="0.2">
      <c r="A35" s="28">
        <f>'TAX Interest Rates'!A38</f>
        <v>43982</v>
      </c>
      <c r="B35" s="47" t="s">
        <v>103</v>
      </c>
      <c r="C35" s="46">
        <f>+'Unprotected EDIT Gross up'!R27</f>
        <v>46164069</v>
      </c>
      <c r="D35" s="24">
        <v>-15828.72</v>
      </c>
      <c r="E35" s="29">
        <f>+'Unprotected EDIT Gross up'!R139</f>
        <v>10101.909999999998</v>
      </c>
      <c r="F35" s="29">
        <f t="shared" si="6"/>
        <v>0</v>
      </c>
      <c r="H35" s="32">
        <f t="shared" si="7"/>
        <v>-70508.429999999993</v>
      </c>
      <c r="I35" s="135"/>
      <c r="J35" s="2">
        <v>-70508.429999999993</v>
      </c>
      <c r="K35" s="24">
        <f t="shared" si="8"/>
        <v>0</v>
      </c>
      <c r="L35" s="25" t="s">
        <v>98</v>
      </c>
      <c r="M35" s="128">
        <v>43990</v>
      </c>
    </row>
    <row r="36" spans="1:14" x14ac:dyDescent="0.2">
      <c r="A36" s="28">
        <f>'TAX Interest Rates'!A39</f>
        <v>44012</v>
      </c>
      <c r="B36" s="47" t="s">
        <v>103</v>
      </c>
      <c r="C36" s="46">
        <f>+'Unprotected EDIT Gross up'!R28</f>
        <v>43284213</v>
      </c>
      <c r="D36" s="24">
        <v>-15828.72</v>
      </c>
      <c r="E36" s="29">
        <f>+'Unprotected EDIT Gross up'!R140</f>
        <v>8184.9300000000012</v>
      </c>
      <c r="F36" s="29">
        <f t="shared" si="6"/>
        <v>0</v>
      </c>
      <c r="H36" s="32">
        <f t="shared" si="7"/>
        <v>-78152.219999999987</v>
      </c>
      <c r="I36" s="135"/>
      <c r="J36" s="2">
        <v>-78152.22</v>
      </c>
      <c r="K36" s="24">
        <f t="shared" si="8"/>
        <v>0</v>
      </c>
      <c r="L36" s="25" t="s">
        <v>98</v>
      </c>
      <c r="M36" s="128">
        <v>44019</v>
      </c>
    </row>
    <row r="37" spans="1:14" x14ac:dyDescent="0.2">
      <c r="A37" s="28">
        <f>'TAX Interest Rates'!A40</f>
        <v>44043</v>
      </c>
      <c r="B37" s="47" t="s">
        <v>103</v>
      </c>
      <c r="C37" s="46">
        <f>+'Unprotected EDIT Gross up'!R29</f>
        <v>55089338</v>
      </c>
      <c r="D37" s="24">
        <v>-15828.72</v>
      </c>
      <c r="E37" s="29">
        <f>+'Unprotected EDIT Gross up'!R141</f>
        <v>8036.39</v>
      </c>
      <c r="F37" s="29">
        <f t="shared" si="6"/>
        <v>0</v>
      </c>
      <c r="H37" s="32">
        <f t="shared" si="7"/>
        <v>-85944.549999999988</v>
      </c>
      <c r="I37" s="135"/>
      <c r="J37" s="2">
        <v>-85944.55</v>
      </c>
      <c r="K37" s="24">
        <f t="shared" si="8"/>
        <v>0</v>
      </c>
      <c r="L37" s="25" t="s">
        <v>98</v>
      </c>
      <c r="M37" s="128">
        <v>44053</v>
      </c>
    </row>
    <row r="38" spans="1:14" x14ac:dyDescent="0.2">
      <c r="A38" s="28">
        <f>'TAX Interest Rates'!A41</f>
        <v>44074</v>
      </c>
      <c r="B38" s="47" t="s">
        <v>103</v>
      </c>
      <c r="C38" s="46">
        <f>+'Unprotected EDIT Gross up'!R30</f>
        <v>66863465</v>
      </c>
      <c r="D38" s="24">
        <v>-15828.72</v>
      </c>
      <c r="E38" s="29">
        <f>+'Unprotected EDIT Gross up'!R142</f>
        <v>7457.01</v>
      </c>
      <c r="F38" s="29">
        <f t="shared" si="6"/>
        <v>0</v>
      </c>
      <c r="H38" s="32">
        <f t="shared" si="7"/>
        <v>-94316.25999999998</v>
      </c>
      <c r="I38" s="135"/>
      <c r="J38" s="2">
        <v>-94316.26</v>
      </c>
      <c r="K38" s="24">
        <f t="shared" si="8"/>
        <v>0</v>
      </c>
      <c r="L38" s="25" t="s">
        <v>98</v>
      </c>
      <c r="M38" s="128">
        <v>44084</v>
      </c>
    </row>
    <row r="39" spans="1:14" x14ac:dyDescent="0.2">
      <c r="A39" s="28">
        <f>'TAX Interest Rates'!A42</f>
        <v>44104</v>
      </c>
      <c r="B39" s="47" t="s">
        <v>103</v>
      </c>
      <c r="C39" s="46">
        <f>+'Unprotected EDIT Gross up'!R31</f>
        <v>73703550</v>
      </c>
      <c r="D39" s="24">
        <v>-15828.72</v>
      </c>
      <c r="E39" s="29">
        <f>+'Unprotected EDIT Gross up'!R143</f>
        <v>8203.69</v>
      </c>
      <c r="F39" s="29">
        <f t="shared" si="6"/>
        <v>0</v>
      </c>
      <c r="H39" s="32">
        <f t="shared" si="7"/>
        <v>-101941.28999999998</v>
      </c>
      <c r="I39" s="135"/>
      <c r="J39" s="2">
        <v>-101941.29</v>
      </c>
      <c r="K39" s="24">
        <f t="shared" si="8"/>
        <v>0</v>
      </c>
      <c r="L39" s="25" t="s">
        <v>98</v>
      </c>
      <c r="M39" s="128">
        <v>44111</v>
      </c>
    </row>
    <row r="40" spans="1:14" x14ac:dyDescent="0.2">
      <c r="A40" s="28">
        <f>'TAX Interest Rates'!A43</f>
        <v>44135</v>
      </c>
      <c r="B40" s="47" t="s">
        <v>103</v>
      </c>
      <c r="C40" s="46">
        <f>+'Unprotected EDIT Gross up'!R32</f>
        <v>65687484</v>
      </c>
      <c r="D40" s="24">
        <v>-15828.72</v>
      </c>
      <c r="E40" s="29">
        <f>+'Unprotected EDIT Gross up'!R144</f>
        <v>8973.3900000000031</v>
      </c>
      <c r="F40" s="29">
        <f t="shared" si="6"/>
        <v>0</v>
      </c>
      <c r="H40" s="32">
        <f t="shared" si="7"/>
        <v>-108796.61999999998</v>
      </c>
      <c r="I40" s="135"/>
      <c r="J40" s="2">
        <v>-108796.62</v>
      </c>
      <c r="K40" s="24">
        <f t="shared" si="8"/>
        <v>0</v>
      </c>
      <c r="L40" s="25" t="s">
        <v>98</v>
      </c>
      <c r="M40" s="128">
        <v>44141</v>
      </c>
    </row>
    <row r="41" spans="1:14" x14ac:dyDescent="0.2">
      <c r="A41" s="28">
        <f>'TAX Interest Rates'!A44</f>
        <v>44165</v>
      </c>
      <c r="B41" s="47" t="s">
        <v>103</v>
      </c>
      <c r="C41" s="46">
        <f>+'Unprotected EDIT Gross up'!R33+'Unprotected EDIT Gross up'!R34</f>
        <v>68293788</v>
      </c>
      <c r="D41" s="24">
        <v>-15828.72</v>
      </c>
      <c r="E41" s="29">
        <f>+'Unprotected EDIT Gross up'!R145+'Unprotected EDIT Gross up'!R146</f>
        <v>16968.650000000001</v>
      </c>
      <c r="F41" s="29">
        <f t="shared" si="6"/>
        <v>0</v>
      </c>
      <c r="H41" s="32">
        <f t="shared" si="7"/>
        <v>-107656.68999999997</v>
      </c>
      <c r="I41" s="135"/>
      <c r="J41" s="2">
        <v>-107656.69</v>
      </c>
      <c r="K41" s="24">
        <f t="shared" si="8"/>
        <v>0</v>
      </c>
      <c r="L41" s="25" t="s">
        <v>98</v>
      </c>
      <c r="M41" s="128">
        <v>44173</v>
      </c>
    </row>
    <row r="42" spans="1:14" x14ac:dyDescent="0.2">
      <c r="A42" s="28">
        <f>'TAX Interest Rates'!A45</f>
        <v>44196</v>
      </c>
      <c r="B42" s="47" t="s">
        <v>103</v>
      </c>
      <c r="C42" s="46">
        <f>+'Unprotected EDIT Gross up'!R35</f>
        <v>94595765</v>
      </c>
      <c r="D42" s="24">
        <v>-15828.72</v>
      </c>
      <c r="E42" s="29">
        <f>+'Unprotected EDIT Gross up'!R147</f>
        <v>31635.14</v>
      </c>
      <c r="F42" s="29">
        <f t="shared" si="6"/>
        <v>0</v>
      </c>
      <c r="H42" s="32">
        <f t="shared" si="7"/>
        <v>-91850.269999999975</v>
      </c>
      <c r="I42" s="135"/>
      <c r="J42" s="2">
        <v>-91850.27</v>
      </c>
      <c r="K42" s="24">
        <f t="shared" si="8"/>
        <v>0</v>
      </c>
      <c r="L42" s="25" t="s">
        <v>98</v>
      </c>
      <c r="M42" s="128">
        <v>44204</v>
      </c>
    </row>
    <row r="43" spans="1:14" x14ac:dyDescent="0.2">
      <c r="A43" s="28">
        <f>'TAX Interest Rates'!A46</f>
        <v>44227</v>
      </c>
      <c r="B43" s="47" t="s">
        <v>103</v>
      </c>
      <c r="C43" s="46">
        <f>+'Unprotected EDIT Gross up'!R36</f>
        <v>93263558</v>
      </c>
      <c r="D43" s="24">
        <v>-15828.72</v>
      </c>
      <c r="E43" s="29">
        <f>+'Unprotected EDIT Gross up'!R148</f>
        <v>33000.409999999996</v>
      </c>
      <c r="F43" s="29">
        <f t="shared" ref="F43:F52" si="9">ROUND(H42*VLOOKUP(A43,TAXINT21,2)/365*VLOOKUP(A43,TAXINT21,3),2)</f>
        <v>0</v>
      </c>
      <c r="H43" s="32">
        <f t="shared" ref="H43:H52" si="10">SUM(D43:G43)+H42</f>
        <v>-74678.579999999987</v>
      </c>
      <c r="I43" s="135"/>
      <c r="J43" s="2">
        <v>-74678.58</v>
      </c>
      <c r="K43" s="24">
        <f t="shared" ref="K43:K52" si="11">J43-H43</f>
        <v>0</v>
      </c>
      <c r="L43" s="25" t="s">
        <v>98</v>
      </c>
      <c r="M43" s="128">
        <v>44232</v>
      </c>
    </row>
    <row r="44" spans="1:14" x14ac:dyDescent="0.2">
      <c r="A44" s="28">
        <f>'TAX Interest Rates'!A47</f>
        <v>44255</v>
      </c>
      <c r="B44" s="47" t="s">
        <v>103</v>
      </c>
      <c r="C44" s="46">
        <f>+'Unprotected EDIT Gross up'!R37</f>
        <v>86995469</v>
      </c>
      <c r="D44" s="24">
        <v>-15828.72</v>
      </c>
      <c r="E44" s="29">
        <f>+'Unprotected EDIT Gross up'!R149</f>
        <v>31042.750000000004</v>
      </c>
      <c r="F44" s="29">
        <f t="shared" si="9"/>
        <v>0</v>
      </c>
      <c r="H44" s="32">
        <f t="shared" si="10"/>
        <v>-59464.549999999981</v>
      </c>
      <c r="I44" s="135"/>
      <c r="J44" s="2">
        <v>-59464.55</v>
      </c>
      <c r="K44" s="24">
        <f t="shared" si="11"/>
        <v>0</v>
      </c>
      <c r="L44" s="25" t="s">
        <v>98</v>
      </c>
      <c r="M44" s="128">
        <v>44263</v>
      </c>
    </row>
    <row r="45" spans="1:14" x14ac:dyDescent="0.2">
      <c r="A45" s="28">
        <f>'TAX Interest Rates'!A48</f>
        <v>44286</v>
      </c>
      <c r="B45" s="47" t="s">
        <v>103</v>
      </c>
      <c r="C45" s="46">
        <f>+'Unprotected EDIT Gross up'!R38</f>
        <v>103209019</v>
      </c>
      <c r="D45" s="24">
        <v>-15828.72</v>
      </c>
      <c r="E45" s="29">
        <f>+'Unprotected EDIT Gross up'!R150</f>
        <v>34024.950000000004</v>
      </c>
      <c r="F45" s="29">
        <f t="shared" si="9"/>
        <v>0</v>
      </c>
      <c r="H45" s="32">
        <f t="shared" si="10"/>
        <v>-41268.319999999978</v>
      </c>
      <c r="I45" s="135"/>
      <c r="J45" s="2">
        <v>-41268.32</v>
      </c>
      <c r="K45" s="24">
        <f t="shared" si="11"/>
        <v>0</v>
      </c>
      <c r="L45" s="25" t="s">
        <v>98</v>
      </c>
      <c r="M45" s="128">
        <v>44293</v>
      </c>
    </row>
    <row r="46" spans="1:14" x14ac:dyDescent="0.2">
      <c r="A46" s="28">
        <f>'TAX Interest Rates'!A49</f>
        <v>44316</v>
      </c>
      <c r="B46" s="47" t="s">
        <v>103</v>
      </c>
      <c r="C46" s="46">
        <f>+'Unprotected EDIT Gross up'!R39</f>
        <v>89581135</v>
      </c>
      <c r="D46" s="24">
        <v>-15828.72</v>
      </c>
      <c r="E46" s="29">
        <f>+'Unprotected EDIT Gross up'!R151</f>
        <v>25096.77</v>
      </c>
      <c r="F46" s="29">
        <f t="shared" si="9"/>
        <v>0</v>
      </c>
      <c r="H46" s="32">
        <f t="shared" si="10"/>
        <v>-32000.269999999975</v>
      </c>
      <c r="I46" s="135"/>
      <c r="J46" s="2">
        <v>-32000.27</v>
      </c>
      <c r="K46" s="24">
        <f t="shared" si="11"/>
        <v>0</v>
      </c>
      <c r="L46" s="25" t="s">
        <v>98</v>
      </c>
      <c r="M46" s="128">
        <v>44326</v>
      </c>
    </row>
    <row r="47" spans="1:14" x14ac:dyDescent="0.2">
      <c r="A47" s="28">
        <f>'TAX Interest Rates'!A50</f>
        <v>44347</v>
      </c>
      <c r="B47" s="47" t="s">
        <v>103</v>
      </c>
      <c r="C47" s="46">
        <f>+'Unprotected EDIT Gross up'!R40</f>
        <v>56228122</v>
      </c>
      <c r="D47" s="24">
        <v>-15828.72</v>
      </c>
      <c r="E47" s="29">
        <f>+'Unprotected EDIT Gross up'!R152</f>
        <v>13649.119999999997</v>
      </c>
      <c r="F47" s="29">
        <f t="shared" si="9"/>
        <v>0</v>
      </c>
      <c r="H47" s="32">
        <f t="shared" si="10"/>
        <v>-34179.869999999981</v>
      </c>
      <c r="I47" s="135"/>
      <c r="J47" s="2">
        <v>-34179.870000000003</v>
      </c>
      <c r="K47" s="24">
        <f t="shared" si="11"/>
        <v>0</v>
      </c>
      <c r="L47" s="25" t="s">
        <v>98</v>
      </c>
      <c r="M47" s="128">
        <v>44354</v>
      </c>
    </row>
    <row r="48" spans="1:14" x14ac:dyDescent="0.2">
      <c r="A48" s="28">
        <f>'TAX Interest Rates'!A51</f>
        <v>44377</v>
      </c>
      <c r="B48" s="47" t="s">
        <v>103</v>
      </c>
      <c r="C48" s="46">
        <f>+'Unprotected EDIT Gross up'!R41</f>
        <v>68779022</v>
      </c>
      <c r="D48" s="129">
        <v>-36588.36</v>
      </c>
      <c r="E48" s="29">
        <f>+'Unprotected EDIT Gross up'!R153</f>
        <v>12832.720000000001</v>
      </c>
      <c r="F48" s="29">
        <f t="shared" si="9"/>
        <v>0</v>
      </c>
      <c r="H48" s="32">
        <f t="shared" si="10"/>
        <v>-57935.50999999998</v>
      </c>
      <c r="I48" s="135"/>
      <c r="J48" s="2">
        <v>-57935.51</v>
      </c>
      <c r="K48" s="24">
        <f t="shared" si="11"/>
        <v>0</v>
      </c>
      <c r="L48" s="25" t="s">
        <v>98</v>
      </c>
      <c r="M48" s="128">
        <v>44386</v>
      </c>
      <c r="N48" s="130" t="s">
        <v>108</v>
      </c>
    </row>
    <row r="49" spans="1:13" x14ac:dyDescent="0.2">
      <c r="A49" s="28">
        <f>'TAX Interest Rates'!A52</f>
        <v>44408</v>
      </c>
      <c r="B49" s="47" t="s">
        <v>103</v>
      </c>
      <c r="C49" s="46">
        <f>+'Unprotected EDIT Gross up'!R42</f>
        <v>72135275</v>
      </c>
      <c r="D49" s="24">
        <v>-17786.04</v>
      </c>
      <c r="E49" s="29">
        <f>+'Unprotected EDIT Gross up'!R154</f>
        <v>10382.030000000001</v>
      </c>
      <c r="F49" s="29">
        <f t="shared" si="9"/>
        <v>0</v>
      </c>
      <c r="H49" s="32">
        <f t="shared" si="10"/>
        <v>-65339.519999999982</v>
      </c>
      <c r="I49" s="135"/>
      <c r="J49" s="2">
        <v>-65339.519999999997</v>
      </c>
      <c r="K49" s="24">
        <f t="shared" si="11"/>
        <v>0</v>
      </c>
      <c r="L49" s="25" t="s">
        <v>98</v>
      </c>
      <c r="M49" s="128">
        <v>44417</v>
      </c>
    </row>
    <row r="50" spans="1:13" x14ac:dyDescent="0.2">
      <c r="A50" s="28">
        <f>'TAX Interest Rates'!A53</f>
        <v>44439</v>
      </c>
      <c r="B50" s="47" t="s">
        <v>103</v>
      </c>
      <c r="C50" s="46">
        <f>+'Unprotected EDIT Gross up'!R43</f>
        <v>70764185</v>
      </c>
      <c r="D50" s="24">
        <v>-17786.04</v>
      </c>
      <c r="E50" s="29">
        <f>+'Unprotected EDIT Gross up'!R155</f>
        <v>9847.89</v>
      </c>
      <c r="F50" s="29">
        <f t="shared" si="9"/>
        <v>0</v>
      </c>
      <c r="H50" s="32">
        <f t="shared" si="10"/>
        <v>-73277.669999999984</v>
      </c>
      <c r="I50" s="135"/>
      <c r="J50" s="2">
        <v>-73277.67</v>
      </c>
      <c r="K50" s="24">
        <f t="shared" si="11"/>
        <v>0</v>
      </c>
      <c r="L50" s="25" t="s">
        <v>98</v>
      </c>
      <c r="M50" s="128">
        <v>44448</v>
      </c>
    </row>
    <row r="51" spans="1:13" x14ac:dyDescent="0.2">
      <c r="A51" s="28">
        <f>'TAX Interest Rates'!A54</f>
        <v>44469</v>
      </c>
      <c r="B51" s="47" t="s">
        <v>103</v>
      </c>
      <c r="C51" s="46">
        <f>+'Unprotected EDIT Gross up'!R44</f>
        <v>71864038</v>
      </c>
      <c r="D51" s="24">
        <v>-17786.04</v>
      </c>
      <c r="E51" s="29">
        <f>+'Unprotected EDIT Gross up'!R156</f>
        <v>10419.050000000001</v>
      </c>
      <c r="F51" s="29">
        <f t="shared" si="9"/>
        <v>0</v>
      </c>
      <c r="H51" s="32">
        <f t="shared" si="10"/>
        <v>-80644.659999999989</v>
      </c>
      <c r="I51" s="135"/>
      <c r="J51" s="2">
        <v>-80644.66</v>
      </c>
      <c r="K51" s="24">
        <f t="shared" si="11"/>
        <v>0</v>
      </c>
      <c r="L51" s="25" t="s">
        <v>98</v>
      </c>
      <c r="M51" s="128">
        <v>44476</v>
      </c>
    </row>
    <row r="52" spans="1:13" x14ac:dyDescent="0.2">
      <c r="A52" s="28">
        <f>'TAX Interest Rates'!A55</f>
        <v>44500</v>
      </c>
      <c r="B52" s="47" t="s">
        <v>103</v>
      </c>
      <c r="C52" s="46">
        <f>+'Unprotected EDIT Gross up'!R45</f>
        <v>72338720</v>
      </c>
      <c r="D52" s="24">
        <v>-17786.04</v>
      </c>
      <c r="E52" s="29">
        <f>+'Unprotected EDIT Gross up'!R157</f>
        <v>13415.189999999999</v>
      </c>
      <c r="F52" s="29">
        <f t="shared" si="9"/>
        <v>0</v>
      </c>
      <c r="H52" s="32">
        <f t="shared" si="10"/>
        <v>-85015.51</v>
      </c>
      <c r="I52" s="135"/>
      <c r="J52" s="2">
        <v>-85015.51</v>
      </c>
      <c r="K52" s="24">
        <f t="shared" si="11"/>
        <v>0</v>
      </c>
      <c r="L52" s="25" t="s">
        <v>98</v>
      </c>
      <c r="M52" s="128">
        <v>44505</v>
      </c>
    </row>
    <row r="53" spans="1:13" x14ac:dyDescent="0.2">
      <c r="A53" s="28">
        <f>'TAX Interest Rates'!A56</f>
        <v>44530</v>
      </c>
      <c r="B53" s="47" t="s">
        <v>103</v>
      </c>
      <c r="C53" s="46">
        <f>+'Unprotected EDIT Gross up'!R46+'Unprotected EDIT Gross up'!R47</f>
        <v>75721245</v>
      </c>
      <c r="D53" s="24">
        <v>-17786.04</v>
      </c>
      <c r="E53" s="29">
        <f>+'Unprotected EDIT Gross up'!R158+'Unprotected EDIT Gross up'!R159</f>
        <v>16814.18</v>
      </c>
      <c r="F53" s="29">
        <f t="shared" ref="F53" si="12">ROUND(H52*VLOOKUP(A53,TAXINT21,2)/365*VLOOKUP(A53,TAXINT21,3),2)</f>
        <v>0</v>
      </c>
      <c r="H53" s="32">
        <f t="shared" ref="H53" si="13">SUM(D53:G53)+H52</f>
        <v>-85987.37</v>
      </c>
      <c r="I53" s="135"/>
      <c r="J53" s="2">
        <v>-85987.37</v>
      </c>
      <c r="K53" s="24">
        <f t="shared" ref="K53" si="14">J53-H53</f>
        <v>0</v>
      </c>
      <c r="L53" s="25" t="s">
        <v>98</v>
      </c>
      <c r="M53" s="128">
        <v>44538</v>
      </c>
    </row>
    <row r="54" spans="1:13" x14ac:dyDescent="0.2">
      <c r="A54" s="28">
        <f>'TAX Interest Rates'!A57</f>
        <v>44561</v>
      </c>
      <c r="B54" s="47" t="s">
        <v>103</v>
      </c>
      <c r="C54" s="46">
        <f>+'Unprotected EDIT Gross up'!R48</f>
        <v>83926722</v>
      </c>
      <c r="D54" s="24">
        <v>-17786.04</v>
      </c>
      <c r="E54" s="29">
        <f>+'Unprotected EDIT Gross up'!R160</f>
        <v>20631.560000000001</v>
      </c>
      <c r="F54" s="29">
        <f t="shared" ref="F54:F64" si="15">ROUND(H53*VLOOKUP(A54,TAXINT21,2)/365*VLOOKUP(A54,TAXINT21,3),2)</f>
        <v>0</v>
      </c>
      <c r="H54" s="32">
        <f t="shared" ref="H54:H64" si="16">SUM(D54:G54)+H53</f>
        <v>-83141.849999999991</v>
      </c>
      <c r="I54" s="135"/>
      <c r="J54" s="2">
        <v>-83141.850000000006</v>
      </c>
      <c r="K54" s="24">
        <f t="shared" ref="K54:K64" si="17">J54-H54</f>
        <v>0</v>
      </c>
      <c r="L54" s="25" t="s">
        <v>98</v>
      </c>
      <c r="M54" s="128">
        <v>44567</v>
      </c>
    </row>
    <row r="55" spans="1:13" x14ac:dyDescent="0.2">
      <c r="A55" s="28">
        <f>'TAX Interest Rates'!A58</f>
        <v>44592</v>
      </c>
      <c r="B55" s="47" t="s">
        <v>103</v>
      </c>
      <c r="C55" s="46">
        <f>+'Unprotected EDIT Gross up'!R49</f>
        <v>95413022</v>
      </c>
      <c r="D55" s="24">
        <v>-17786.04</v>
      </c>
      <c r="E55" s="29">
        <f>+'Unprotected EDIT Gross up'!R161</f>
        <v>30256.429999999993</v>
      </c>
      <c r="F55" s="29">
        <f t="shared" si="15"/>
        <v>0</v>
      </c>
      <c r="H55" s="32">
        <f t="shared" si="16"/>
        <v>-70671.459999999992</v>
      </c>
      <c r="I55" s="135"/>
      <c r="J55" s="2">
        <v>-70671.460000000006</v>
      </c>
      <c r="K55" s="24">
        <f t="shared" si="17"/>
        <v>0</v>
      </c>
      <c r="L55" s="25" t="s">
        <v>98</v>
      </c>
      <c r="M55" s="128">
        <v>44600</v>
      </c>
    </row>
    <row r="56" spans="1:13" x14ac:dyDescent="0.2">
      <c r="A56" s="28">
        <f>'TAX Interest Rates'!A59</f>
        <v>44620</v>
      </c>
      <c r="B56" s="47" t="s">
        <v>103</v>
      </c>
      <c r="C56" s="46">
        <f>+'Unprotected EDIT Gross up'!R50</f>
        <v>85017241</v>
      </c>
      <c r="D56" s="24">
        <v>-17786.04</v>
      </c>
      <c r="E56" s="29">
        <f>+'Unprotected EDIT Gross up'!R162</f>
        <v>24013.32</v>
      </c>
      <c r="F56" s="29">
        <f t="shared" si="15"/>
        <v>0</v>
      </c>
      <c r="H56" s="32">
        <f t="shared" si="16"/>
        <v>-64444.179999999993</v>
      </c>
      <c r="I56" s="135"/>
      <c r="J56" s="2">
        <v>-64444.18</v>
      </c>
      <c r="K56" s="24">
        <f t="shared" si="17"/>
        <v>0</v>
      </c>
      <c r="L56" s="25" t="s">
        <v>98</v>
      </c>
      <c r="M56" s="128">
        <v>44627</v>
      </c>
    </row>
    <row r="57" spans="1:13" x14ac:dyDescent="0.2">
      <c r="A57" s="28">
        <f>'TAX Interest Rates'!A60</f>
        <v>44651</v>
      </c>
      <c r="B57" s="47" t="s">
        <v>103</v>
      </c>
      <c r="C57" s="46">
        <f>+'Unprotected EDIT Gross up'!R51</f>
        <v>84723347</v>
      </c>
      <c r="D57" s="24">
        <v>-17786.04</v>
      </c>
      <c r="E57" s="29">
        <f>+'Unprotected EDIT Gross up'!R163</f>
        <v>23425.62</v>
      </c>
      <c r="F57" s="29">
        <f t="shared" si="15"/>
        <v>0</v>
      </c>
      <c r="H57" s="32">
        <f t="shared" si="16"/>
        <v>-58804.599999999991</v>
      </c>
      <c r="I57" s="135"/>
      <c r="J57" s="2">
        <v>-58804.6</v>
      </c>
      <c r="K57" s="24">
        <f t="shared" si="17"/>
        <v>0</v>
      </c>
      <c r="L57" s="25" t="s">
        <v>98</v>
      </c>
      <c r="M57" s="128">
        <v>44658</v>
      </c>
    </row>
    <row r="58" spans="1:13" x14ac:dyDescent="0.2">
      <c r="A58" s="28">
        <f>'TAX Interest Rates'!A61</f>
        <v>44681</v>
      </c>
      <c r="B58" s="47" t="s">
        <v>103</v>
      </c>
      <c r="C58" s="46">
        <f>+'Unprotected EDIT Gross up'!R52</f>
        <v>74032012</v>
      </c>
      <c r="D58" s="24">
        <v>-17786.04</v>
      </c>
      <c r="E58" s="29">
        <f>+'Unprotected EDIT Gross up'!R164</f>
        <v>16496.13</v>
      </c>
      <c r="F58" s="29">
        <f t="shared" si="15"/>
        <v>0</v>
      </c>
      <c r="H58" s="32">
        <f t="shared" si="16"/>
        <v>-60094.509999999995</v>
      </c>
      <c r="I58" s="135"/>
      <c r="J58" s="2">
        <v>-60094.51</v>
      </c>
      <c r="K58" s="24">
        <f t="shared" si="17"/>
        <v>0</v>
      </c>
      <c r="L58" s="25" t="s">
        <v>98</v>
      </c>
      <c r="M58" s="128">
        <v>44687</v>
      </c>
    </row>
    <row r="59" spans="1:13" x14ac:dyDescent="0.2">
      <c r="A59" s="28">
        <f>'TAX Interest Rates'!A62</f>
        <v>44712</v>
      </c>
      <c r="B59" s="47" t="s">
        <v>103</v>
      </c>
      <c r="C59" s="46">
        <f>+'Unprotected EDIT Gross up'!R53</f>
        <v>63470461</v>
      </c>
      <c r="D59" s="24">
        <v>-17786.04</v>
      </c>
      <c r="E59" s="29">
        <f>+'Unprotected EDIT Gross up'!R165</f>
        <v>14150.480000000001</v>
      </c>
      <c r="F59" s="29">
        <f t="shared" si="15"/>
        <v>0</v>
      </c>
      <c r="H59" s="32">
        <f t="shared" si="16"/>
        <v>-63730.069999999992</v>
      </c>
      <c r="I59" s="135"/>
      <c r="J59" s="2">
        <v>-63730.07</v>
      </c>
      <c r="K59" s="24">
        <f t="shared" si="17"/>
        <v>0</v>
      </c>
      <c r="L59" s="25" t="s">
        <v>98</v>
      </c>
      <c r="M59" s="128">
        <v>44719</v>
      </c>
    </row>
    <row r="60" spans="1:13" x14ac:dyDescent="0.2">
      <c r="A60" s="28">
        <f>'TAX Interest Rates'!A63</f>
        <v>44742</v>
      </c>
      <c r="B60" s="47" t="s">
        <v>103</v>
      </c>
      <c r="C60" s="46">
        <f>+'Unprotected EDIT Gross up'!R54</f>
        <v>47634752</v>
      </c>
      <c r="D60" s="24">
        <v>-17786.04</v>
      </c>
      <c r="E60" s="29">
        <f>+'Unprotected EDIT Gross up'!R166</f>
        <v>9365.0499999999993</v>
      </c>
      <c r="F60" s="29">
        <f t="shared" si="15"/>
        <v>0</v>
      </c>
      <c r="H60" s="32">
        <f t="shared" si="16"/>
        <v>-72151.06</v>
      </c>
      <c r="I60" s="135"/>
      <c r="J60" s="2">
        <v>-72151.06</v>
      </c>
      <c r="K60" s="24">
        <f t="shared" si="17"/>
        <v>0</v>
      </c>
      <c r="L60" s="25" t="s">
        <v>98</v>
      </c>
      <c r="M60" s="128">
        <v>44750</v>
      </c>
    </row>
    <row r="61" spans="1:13" x14ac:dyDescent="0.2">
      <c r="A61" s="28">
        <f>'TAX Interest Rates'!A64</f>
        <v>44773</v>
      </c>
      <c r="B61" s="47" t="s">
        <v>103</v>
      </c>
      <c r="C61" s="46">
        <f>+'Unprotected EDIT Gross up'!R55</f>
        <v>58304460</v>
      </c>
      <c r="D61" s="24">
        <v>-17786.04</v>
      </c>
      <c r="E61" s="29">
        <f>+'Unprotected EDIT Gross up'!R167</f>
        <v>7386.4100000000008</v>
      </c>
      <c r="F61" s="29">
        <f t="shared" si="15"/>
        <v>0</v>
      </c>
      <c r="H61" s="32">
        <f t="shared" si="16"/>
        <v>-82550.69</v>
      </c>
      <c r="I61" s="135"/>
      <c r="J61" s="2">
        <v>-82550.69</v>
      </c>
      <c r="K61" s="24">
        <f t="shared" si="17"/>
        <v>0</v>
      </c>
      <c r="L61" s="25" t="s">
        <v>98</v>
      </c>
      <c r="M61" s="128">
        <v>44791</v>
      </c>
    </row>
    <row r="62" spans="1:13" x14ac:dyDescent="0.2">
      <c r="A62" s="28">
        <f>'TAX Interest Rates'!A65</f>
        <v>44804</v>
      </c>
      <c r="B62" s="47" t="s">
        <v>103</v>
      </c>
      <c r="C62" s="163">
        <f>+'Unprotected EDIT Gross up'!R56</f>
        <v>69229224</v>
      </c>
      <c r="D62" s="24">
        <v>-17786.04</v>
      </c>
      <c r="E62" s="29">
        <f>+'Unprotected EDIT Gross up'!R168</f>
        <v>7552.6500000000005</v>
      </c>
      <c r="F62" s="29">
        <f t="shared" si="15"/>
        <v>0</v>
      </c>
      <c r="H62" s="32">
        <f t="shared" si="16"/>
        <v>-92784.08</v>
      </c>
      <c r="I62" s="135"/>
      <c r="J62" s="2">
        <v>-91437.93</v>
      </c>
      <c r="K62" s="24">
        <f t="shared" si="17"/>
        <v>1346.1500000000087</v>
      </c>
      <c r="L62" s="25" t="s">
        <v>98</v>
      </c>
      <c r="M62" s="128">
        <v>44813</v>
      </c>
    </row>
    <row r="63" spans="1:13" x14ac:dyDescent="0.2">
      <c r="A63" s="28">
        <f>'TAX Interest Rates'!A66</f>
        <v>44834</v>
      </c>
      <c r="B63" s="47" t="s">
        <v>103</v>
      </c>
      <c r="C63" s="163">
        <f>+'Unprotected EDIT Gross up'!R57</f>
        <v>-64810056</v>
      </c>
      <c r="D63" s="24"/>
      <c r="E63" s="29">
        <f>+'Unprotected EDIT Gross up'!R169</f>
        <v>-5282.1500000000005</v>
      </c>
      <c r="F63" s="29">
        <f t="shared" si="15"/>
        <v>0</v>
      </c>
      <c r="H63" s="32">
        <f t="shared" si="16"/>
        <v>-98066.23</v>
      </c>
      <c r="I63" s="135"/>
      <c r="K63" s="24">
        <f t="shared" si="17"/>
        <v>98066.23</v>
      </c>
      <c r="M63" s="128"/>
    </row>
    <row r="64" spans="1:13" x14ac:dyDescent="0.2">
      <c r="A64" s="28">
        <f>'TAX Interest Rates'!A67</f>
        <v>44865</v>
      </c>
      <c r="B64" s="47" t="s">
        <v>103</v>
      </c>
      <c r="C64" s="163">
        <f>+'Unprotected EDIT Gross up'!R58</f>
        <v>0</v>
      </c>
      <c r="D64" s="24"/>
      <c r="E64" s="29">
        <f>+'Unprotected EDIT Gross up'!R170</f>
        <v>0</v>
      </c>
      <c r="F64" s="29">
        <f t="shared" si="15"/>
        <v>0</v>
      </c>
      <c r="H64" s="32">
        <f t="shared" si="16"/>
        <v>-98066.23</v>
      </c>
      <c r="I64" s="135"/>
      <c r="K64" s="24">
        <f t="shared" si="17"/>
        <v>98066.23</v>
      </c>
      <c r="M64" s="128"/>
    </row>
  </sheetData>
  <mergeCells count="18">
    <mergeCell ref="A1:B1"/>
    <mergeCell ref="C1:H1"/>
    <mergeCell ref="A2:B2"/>
    <mergeCell ref="C2:H2"/>
    <mergeCell ref="A3:B3"/>
    <mergeCell ref="C3:H3"/>
    <mergeCell ref="A13:F13"/>
    <mergeCell ref="A4:B4"/>
    <mergeCell ref="C4:H4"/>
    <mergeCell ref="A5:B5"/>
    <mergeCell ref="C5:H5"/>
    <mergeCell ref="A6:B6"/>
    <mergeCell ref="C6:H6"/>
    <mergeCell ref="J4:M6"/>
    <mergeCell ref="A7:B7"/>
    <mergeCell ref="C7:H7"/>
    <mergeCell ref="D9:F9"/>
    <mergeCell ref="A12:F12"/>
  </mergeCells>
  <pageMargins left="0.7" right="0.7" top="0.75" bottom="0.75" header="0.3" footer="0.3"/>
  <pageSetup scale="83" fitToHeight="0" orientation="landscape" r:id="rId1"/>
  <headerFooter>
    <oddFooter>&amp;LWA Tax Amort&amp;C&amp;A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D170"/>
  <sheetViews>
    <sheetView view="pageBreakPreview" topLeftCell="A46" zoomScaleNormal="100" zoomScaleSheetLayoutView="100" workbookViewId="0">
      <selection activeCell="S50" sqref="S50"/>
    </sheetView>
  </sheetViews>
  <sheetFormatPr defaultColWidth="8.88671875" defaultRowHeight="12.75" x14ac:dyDescent="0.2"/>
  <cols>
    <col min="1" max="1" width="6.21875" style="2" customWidth="1"/>
    <col min="2" max="2" width="8.77734375" style="2" customWidth="1"/>
    <col min="3" max="3" width="8" style="2" hidden="1" customWidth="1"/>
    <col min="4" max="4" width="8.21875" style="2" bestFit="1" customWidth="1"/>
    <col min="5" max="6" width="8" style="2" customWidth="1"/>
    <col min="7" max="7" width="9" style="2" bestFit="1" customWidth="1"/>
    <col min="8" max="8" width="8.77734375" style="2" bestFit="1" customWidth="1"/>
    <col min="9" max="10" width="8" style="2" hidden="1" customWidth="1"/>
    <col min="11" max="11" width="8" style="2" customWidth="1"/>
    <col min="12" max="12" width="9.6640625" style="2" customWidth="1"/>
    <col min="13" max="13" width="9.5546875" style="2" bestFit="1" customWidth="1"/>
    <col min="14" max="14" width="9.88671875" style="2" customWidth="1"/>
    <col min="15" max="15" width="9.109375" style="2" customWidth="1"/>
    <col min="16" max="16" width="6" style="2" hidden="1" customWidth="1"/>
    <col min="17" max="17" width="1.77734375" style="2" customWidth="1"/>
    <col min="18" max="18" width="9.77734375" style="2" customWidth="1"/>
    <col min="19" max="19" width="7" style="2" customWidth="1"/>
    <col min="20" max="16384" width="8.88671875" style="2"/>
  </cols>
  <sheetData>
    <row r="2" spans="1:19" ht="15.75" customHeight="1" x14ac:dyDescent="0.2">
      <c r="B2" s="136">
        <v>4800</v>
      </c>
      <c r="C2" s="213">
        <v>4809</v>
      </c>
      <c r="D2" s="214"/>
      <c r="E2" s="215"/>
      <c r="F2" s="213">
        <v>4810</v>
      </c>
      <c r="G2" s="214"/>
      <c r="H2" s="215"/>
      <c r="I2" s="213">
        <v>4811</v>
      </c>
      <c r="J2" s="215"/>
      <c r="K2" s="137">
        <v>4813</v>
      </c>
      <c r="L2" s="137">
        <v>4861</v>
      </c>
      <c r="M2" s="213">
        <v>4863</v>
      </c>
      <c r="N2" s="214"/>
      <c r="O2" s="214"/>
      <c r="P2" s="215"/>
    </row>
    <row r="3" spans="1:19" x14ac:dyDescent="0.2">
      <c r="B3" s="138">
        <v>503</v>
      </c>
      <c r="C3" s="139" t="s">
        <v>38</v>
      </c>
      <c r="D3" s="139">
        <v>505</v>
      </c>
      <c r="E3" s="140">
        <v>511</v>
      </c>
      <c r="F3" s="139" t="s">
        <v>39</v>
      </c>
      <c r="G3" s="139">
        <v>504</v>
      </c>
      <c r="H3" s="140" t="s">
        <v>41</v>
      </c>
      <c r="I3" s="139" t="s">
        <v>38</v>
      </c>
      <c r="J3" s="140">
        <v>570</v>
      </c>
      <c r="K3" s="138">
        <v>570</v>
      </c>
      <c r="L3" s="154" t="s">
        <v>42</v>
      </c>
      <c r="M3" s="142">
        <v>6631</v>
      </c>
      <c r="N3" s="142">
        <v>6633</v>
      </c>
      <c r="O3" s="142">
        <v>6635</v>
      </c>
      <c r="P3" s="143">
        <v>916</v>
      </c>
      <c r="R3" s="144" t="s">
        <v>51</v>
      </c>
    </row>
    <row r="4" spans="1:19" hidden="1" x14ac:dyDescent="0.2">
      <c r="A4" s="145">
        <v>43343</v>
      </c>
      <c r="B4" s="146">
        <f>+'Therm Sales Master'!B123</f>
        <v>996895</v>
      </c>
      <c r="C4" s="147">
        <f>+'Therm Sales Master'!D123</f>
        <v>0</v>
      </c>
      <c r="D4" s="147">
        <f>+'Therm Sales Master'!E123</f>
        <v>160070</v>
      </c>
      <c r="E4" s="148">
        <f>+'Therm Sales Master'!F123</f>
        <v>88492</v>
      </c>
      <c r="F4" s="147">
        <f>+'Therm Sales Master'!G123</f>
        <v>158</v>
      </c>
      <c r="G4" s="147">
        <f>+'Therm Sales Master'!H123</f>
        <v>986030</v>
      </c>
      <c r="H4" s="148">
        <f>+'Therm Sales Master'!J123</f>
        <v>137321</v>
      </c>
      <c r="I4" s="147">
        <f>+'Therm Sales Master'!K123</f>
        <v>359</v>
      </c>
      <c r="J4" s="148">
        <f>+'Therm Sales Master'!L123</f>
        <v>0</v>
      </c>
      <c r="K4" s="146">
        <f>+'Therm Sales Master'!M123</f>
        <v>93391</v>
      </c>
      <c r="L4" s="146">
        <f>+'Therm Sales Master'!N123</f>
        <v>26924983</v>
      </c>
      <c r="M4" s="147">
        <f>+'Therm Sales Master'!O123</f>
        <v>0</v>
      </c>
      <c r="N4" s="147">
        <f>+'Therm Sales Master'!P123</f>
        <v>12762544</v>
      </c>
      <c r="O4" s="147">
        <f>+'Therm Sales Master'!Q123</f>
        <v>5293486</v>
      </c>
      <c r="P4" s="148">
        <f>+'Therm Sales Master'!R123</f>
        <v>14392902</v>
      </c>
      <c r="R4" s="149">
        <f t="shared" ref="R4:R15" si="0">SUM(B4:Q4)</f>
        <v>61836631</v>
      </c>
    </row>
    <row r="5" spans="1:19" hidden="1" x14ac:dyDescent="0.2">
      <c r="A5" s="145">
        <v>43373</v>
      </c>
      <c r="B5" s="146">
        <f>+'Therm Sales Master'!B124</f>
        <v>2809188</v>
      </c>
      <c r="C5" s="147">
        <f>+'Therm Sales Master'!D124</f>
        <v>-359</v>
      </c>
      <c r="D5" s="147">
        <f>+'Therm Sales Master'!E124</f>
        <v>648016</v>
      </c>
      <c r="E5" s="148">
        <f>+'Therm Sales Master'!F124</f>
        <v>241009</v>
      </c>
      <c r="F5" s="147">
        <f>+'Therm Sales Master'!G124</f>
        <v>501</v>
      </c>
      <c r="G5" s="147">
        <f>+'Therm Sales Master'!H124</f>
        <v>2784183</v>
      </c>
      <c r="H5" s="148">
        <f>+'Therm Sales Master'!J124</f>
        <v>384208</v>
      </c>
      <c r="I5" s="147">
        <f>+'Therm Sales Master'!K124</f>
        <v>547</v>
      </c>
      <c r="J5" s="148">
        <f>+'Therm Sales Master'!L124</f>
        <v>0</v>
      </c>
      <c r="K5" s="146">
        <f>+'Therm Sales Master'!M124</f>
        <v>118645</v>
      </c>
      <c r="L5" s="146">
        <f>+'Therm Sales Master'!N124</f>
        <v>30461110</v>
      </c>
      <c r="M5" s="147">
        <f>+'Therm Sales Master'!O124</f>
        <v>15312916</v>
      </c>
      <c r="N5" s="147">
        <f>+'Therm Sales Master'!P124</f>
        <v>14381027</v>
      </c>
      <c r="O5" s="147">
        <f>+'Therm Sales Master'!Q124</f>
        <v>2080893</v>
      </c>
      <c r="P5" s="148">
        <f>+'Therm Sales Master'!R124</f>
        <v>0</v>
      </c>
      <c r="R5" s="147">
        <f t="shared" si="0"/>
        <v>69221884</v>
      </c>
    </row>
    <row r="6" spans="1:19" hidden="1" x14ac:dyDescent="0.2">
      <c r="A6" s="145">
        <v>43404</v>
      </c>
      <c r="B6" s="146">
        <f>+'Therm Sales Master'!B125</f>
        <v>5307116</v>
      </c>
      <c r="C6" s="147">
        <f>+'Therm Sales Master'!D125</f>
        <v>0</v>
      </c>
      <c r="D6" s="147">
        <f>+'Therm Sales Master'!E125</f>
        <v>1031586</v>
      </c>
      <c r="E6" s="148">
        <f>+'Therm Sales Master'!F125</f>
        <v>447130</v>
      </c>
      <c r="F6" s="147">
        <f>+'Therm Sales Master'!G125</f>
        <v>2079</v>
      </c>
      <c r="G6" s="147">
        <f>+'Therm Sales Master'!H125</f>
        <v>4259766</v>
      </c>
      <c r="H6" s="148">
        <f>+'Therm Sales Master'!J125</f>
        <v>674628</v>
      </c>
      <c r="I6" s="147">
        <f>+'Therm Sales Master'!K125</f>
        <v>21</v>
      </c>
      <c r="J6" s="148">
        <f>+'Therm Sales Master'!L125</f>
        <v>0</v>
      </c>
      <c r="K6" s="146">
        <f>+'Therm Sales Master'!M125</f>
        <v>197742</v>
      </c>
      <c r="L6" s="146">
        <f>+'Therm Sales Master'!N125</f>
        <v>32448578</v>
      </c>
      <c r="M6" s="147">
        <f>+'Therm Sales Master'!O125</f>
        <v>7714309</v>
      </c>
      <c r="N6" s="147">
        <f>+'Therm Sales Master'!P125</f>
        <v>4034082</v>
      </c>
      <c r="O6" s="147">
        <f>+'Therm Sales Master'!Q125</f>
        <v>2001543</v>
      </c>
      <c r="P6" s="148">
        <f>+'Therm Sales Master'!R125</f>
        <v>0</v>
      </c>
      <c r="R6" s="147">
        <f t="shared" si="0"/>
        <v>58118580</v>
      </c>
    </row>
    <row r="7" spans="1:19" hidden="1" x14ac:dyDescent="0.2">
      <c r="A7" s="145">
        <v>43434</v>
      </c>
      <c r="B7" s="146">
        <f>+'Therm Sales Master'!B126</f>
        <v>5727490</v>
      </c>
      <c r="C7" s="147">
        <f>+'Therm Sales Master'!D126</f>
        <v>0</v>
      </c>
      <c r="D7" s="147">
        <f>+'Therm Sales Master'!E126</f>
        <v>691277</v>
      </c>
      <c r="E7" s="148">
        <f>+'Therm Sales Master'!F126</f>
        <v>107458</v>
      </c>
      <c r="F7" s="147">
        <f>+'Therm Sales Master'!G126</f>
        <v>0</v>
      </c>
      <c r="G7" s="147">
        <f>+'Therm Sales Master'!H126</f>
        <v>4031349</v>
      </c>
      <c r="H7" s="148">
        <f>+'Therm Sales Master'!J126</f>
        <v>459820</v>
      </c>
      <c r="I7" s="147">
        <f>+'Therm Sales Master'!K126</f>
        <v>0</v>
      </c>
      <c r="J7" s="148">
        <f>+'Therm Sales Master'!L126</f>
        <v>0</v>
      </c>
      <c r="K7" s="146">
        <f>+'Therm Sales Master'!M126</f>
        <v>0</v>
      </c>
      <c r="L7" s="146">
        <f>+'Therm Sales Master'!N126</f>
        <v>0</v>
      </c>
      <c r="M7" s="147">
        <f>+'Therm Sales Master'!O126</f>
        <v>0</v>
      </c>
      <c r="N7" s="147">
        <f>+'Therm Sales Master'!P126</f>
        <v>0</v>
      </c>
      <c r="O7" s="147">
        <f>+'Therm Sales Master'!Q126</f>
        <v>0</v>
      </c>
      <c r="P7" s="148">
        <f>+'Therm Sales Master'!R126</f>
        <v>0</v>
      </c>
      <c r="R7" s="147">
        <f t="shared" ref="R7" si="1">SUM(B7:Q7)</f>
        <v>11017394</v>
      </c>
      <c r="S7" s="2" t="s">
        <v>45</v>
      </c>
    </row>
    <row r="8" spans="1:19" hidden="1" x14ac:dyDescent="0.2">
      <c r="A8" s="145">
        <v>43434</v>
      </c>
      <c r="B8" s="146">
        <f>+'Therm Sales Master'!B127</f>
        <v>3233440</v>
      </c>
      <c r="C8" s="147">
        <f>+'Therm Sales Master'!D127</f>
        <v>63</v>
      </c>
      <c r="D8" s="147">
        <f>+'Therm Sales Master'!E127</f>
        <v>298083</v>
      </c>
      <c r="E8" s="148">
        <f>+'Therm Sales Master'!F127</f>
        <v>77569</v>
      </c>
      <c r="F8" s="147">
        <f>+'Therm Sales Master'!G127</f>
        <v>3464</v>
      </c>
      <c r="G8" s="147">
        <f>+'Therm Sales Master'!H127</f>
        <v>2122532</v>
      </c>
      <c r="H8" s="148">
        <f>+'Therm Sales Master'!J127</f>
        <v>331925</v>
      </c>
      <c r="I8" s="147">
        <f>+'Therm Sales Master'!K127</f>
        <v>0</v>
      </c>
      <c r="J8" s="148">
        <f>+'Therm Sales Master'!L127</f>
        <v>0</v>
      </c>
      <c r="K8" s="146">
        <f>+'Therm Sales Master'!M127</f>
        <v>217688</v>
      </c>
      <c r="L8" s="146">
        <f>+'Therm Sales Master'!N127</f>
        <v>25948738</v>
      </c>
      <c r="M8" s="147">
        <f>+'Therm Sales Master'!O127</f>
        <v>76766</v>
      </c>
      <c r="N8" s="147">
        <f>+'Therm Sales Master'!P127</f>
        <v>28205</v>
      </c>
      <c r="O8" s="147">
        <f>+'Therm Sales Master'!Q127</f>
        <v>33898</v>
      </c>
      <c r="P8" s="148">
        <f>+'Therm Sales Master'!R127</f>
        <v>0</v>
      </c>
      <c r="R8" s="147">
        <f t="shared" si="0"/>
        <v>32372371</v>
      </c>
      <c r="S8" s="2" t="s">
        <v>46</v>
      </c>
    </row>
    <row r="9" spans="1:19" hidden="1" x14ac:dyDescent="0.2">
      <c r="A9" s="145">
        <v>43465</v>
      </c>
      <c r="B9" s="146">
        <f>+'Therm Sales Master'!B128</f>
        <v>17031202</v>
      </c>
      <c r="C9" s="147">
        <f>+'Therm Sales Master'!D128</f>
        <v>-63</v>
      </c>
      <c r="D9" s="147">
        <f>+'Therm Sales Master'!E128</f>
        <v>1475293</v>
      </c>
      <c r="E9" s="148">
        <f>+'Therm Sales Master'!F128</f>
        <v>305292</v>
      </c>
      <c r="F9" s="147">
        <f>+'Therm Sales Master'!G128</f>
        <v>4915</v>
      </c>
      <c r="G9" s="147">
        <f>+'Therm Sales Master'!H128</f>
        <v>11460190</v>
      </c>
      <c r="H9" s="148">
        <f>+'Therm Sales Master'!J128</f>
        <v>1383646</v>
      </c>
      <c r="I9" s="147">
        <f>+'Therm Sales Master'!K128</f>
        <v>142</v>
      </c>
      <c r="J9" s="148">
        <f>+'Therm Sales Master'!L128</f>
        <v>0</v>
      </c>
      <c r="K9" s="146">
        <f>+'Therm Sales Master'!M128</f>
        <v>260482</v>
      </c>
      <c r="L9" s="146">
        <f>+'Therm Sales Master'!N128</f>
        <v>29346851</v>
      </c>
      <c r="M9" s="147">
        <f>+'Therm Sales Master'!O128</f>
        <v>14382579</v>
      </c>
      <c r="N9" s="147">
        <f>+'Therm Sales Master'!P128</f>
        <v>4450625</v>
      </c>
      <c r="O9" s="147">
        <f>+'Therm Sales Master'!Q128</f>
        <v>57483</v>
      </c>
      <c r="P9" s="148">
        <f>+'Therm Sales Master'!R128</f>
        <v>0</v>
      </c>
      <c r="R9" s="147">
        <f t="shared" si="0"/>
        <v>80158637</v>
      </c>
    </row>
    <row r="10" spans="1:19" hidden="1" x14ac:dyDescent="0.2">
      <c r="A10" s="145">
        <v>43496</v>
      </c>
      <c r="B10" s="146">
        <f>+'Therm Sales Master'!B129</f>
        <v>19425579</v>
      </c>
      <c r="C10" s="147">
        <f>+'Therm Sales Master'!D129</f>
        <v>0</v>
      </c>
      <c r="D10" s="147">
        <f>+'Therm Sales Master'!E129</f>
        <v>1433715</v>
      </c>
      <c r="E10" s="148">
        <f>+'Therm Sales Master'!F129</f>
        <v>330955</v>
      </c>
      <c r="F10" s="147">
        <f>+'Therm Sales Master'!G129</f>
        <v>4626</v>
      </c>
      <c r="G10" s="147">
        <f>+'Therm Sales Master'!H129</f>
        <v>13117967</v>
      </c>
      <c r="H10" s="148">
        <f>+'Therm Sales Master'!J129</f>
        <v>1477641</v>
      </c>
      <c r="I10" s="147">
        <f>+'Therm Sales Master'!K129</f>
        <v>7</v>
      </c>
      <c r="J10" s="148">
        <f>+'Therm Sales Master'!L129</f>
        <v>0</v>
      </c>
      <c r="K10" s="146">
        <f>+'Therm Sales Master'!M129</f>
        <v>258811</v>
      </c>
      <c r="L10" s="146">
        <f>+'Therm Sales Master'!N129</f>
        <v>31076934</v>
      </c>
      <c r="M10" s="147">
        <f>+'Therm Sales Master'!O129</f>
        <v>14944499</v>
      </c>
      <c r="N10" s="147">
        <f>+'Therm Sales Master'!P129</f>
        <v>4088088</v>
      </c>
      <c r="O10" s="147">
        <f>+'Therm Sales Master'!Q129</f>
        <v>106086</v>
      </c>
      <c r="P10" s="148">
        <f>+'Therm Sales Master'!R129</f>
        <v>0</v>
      </c>
      <c r="R10" s="147">
        <f t="shared" si="0"/>
        <v>86264908</v>
      </c>
    </row>
    <row r="11" spans="1:19" hidden="1" x14ac:dyDescent="0.2">
      <c r="A11" s="145">
        <v>43524</v>
      </c>
      <c r="B11" s="146">
        <f>+'Therm Sales Master'!B130</f>
        <v>20826493</v>
      </c>
      <c r="C11" s="147">
        <f>+'Therm Sales Master'!D130</f>
        <v>0</v>
      </c>
      <c r="D11" s="147">
        <f>+'Therm Sales Master'!E130</f>
        <v>1616149</v>
      </c>
      <c r="E11" s="148">
        <f>+'Therm Sales Master'!F130</f>
        <v>325966</v>
      </c>
      <c r="F11" s="147">
        <f>+'Therm Sales Master'!G130</f>
        <v>5486</v>
      </c>
      <c r="G11" s="147">
        <f>+'Therm Sales Master'!H130</f>
        <v>13988227</v>
      </c>
      <c r="H11" s="148">
        <f>+'Therm Sales Master'!J130</f>
        <v>1527495</v>
      </c>
      <c r="I11" s="147">
        <f>+'Therm Sales Master'!K130</f>
        <v>0</v>
      </c>
      <c r="J11" s="148">
        <f>+'Therm Sales Master'!L130</f>
        <v>0</v>
      </c>
      <c r="K11" s="146">
        <f>+'Therm Sales Master'!M130</f>
        <v>270184</v>
      </c>
      <c r="L11" s="146">
        <f>+'Therm Sales Master'!N130</f>
        <v>30225230</v>
      </c>
      <c r="M11" s="147">
        <f>+'Therm Sales Master'!O130</f>
        <v>7408861</v>
      </c>
      <c r="N11" s="147">
        <f>+'Therm Sales Master'!P130</f>
        <v>5846716</v>
      </c>
      <c r="O11" s="147">
        <f>+'Therm Sales Master'!Q130</f>
        <v>228696</v>
      </c>
      <c r="P11" s="148">
        <f>+'Therm Sales Master'!R130</f>
        <v>0</v>
      </c>
      <c r="R11" s="147">
        <f t="shared" si="0"/>
        <v>82269503</v>
      </c>
    </row>
    <row r="12" spans="1:19" hidden="1" x14ac:dyDescent="0.2">
      <c r="A12" s="145">
        <v>43555</v>
      </c>
      <c r="B12" s="146">
        <f>+'Therm Sales Master'!B131</f>
        <v>22406676</v>
      </c>
      <c r="C12" s="147">
        <f>+'Therm Sales Master'!D131</f>
        <v>0</v>
      </c>
      <c r="D12" s="147">
        <f>+'Therm Sales Master'!E131</f>
        <v>1794729</v>
      </c>
      <c r="E12" s="148">
        <f>+'Therm Sales Master'!F131</f>
        <v>344448</v>
      </c>
      <c r="F12" s="147">
        <f>+'Therm Sales Master'!G131</f>
        <v>3527</v>
      </c>
      <c r="G12" s="147">
        <f>+'Therm Sales Master'!H131</f>
        <v>15941825</v>
      </c>
      <c r="H12" s="148">
        <f>+'Therm Sales Master'!J131</f>
        <v>1650107</v>
      </c>
      <c r="I12" s="147">
        <f>+'Therm Sales Master'!K131</f>
        <v>0</v>
      </c>
      <c r="J12" s="148">
        <f>+'Therm Sales Master'!L131</f>
        <v>0</v>
      </c>
      <c r="K12" s="146">
        <f>+'Therm Sales Master'!M131</f>
        <v>248145</v>
      </c>
      <c r="L12" s="146">
        <f>+'Therm Sales Master'!N131</f>
        <v>29441177</v>
      </c>
      <c r="M12" s="147">
        <f>+'Therm Sales Master'!O131</f>
        <v>9817659</v>
      </c>
      <c r="N12" s="147">
        <f>+'Therm Sales Master'!P131</f>
        <v>3088142</v>
      </c>
      <c r="O12" s="147">
        <f>+'Therm Sales Master'!Q131</f>
        <v>0</v>
      </c>
      <c r="P12" s="148">
        <f>+'Therm Sales Master'!R131</f>
        <v>0</v>
      </c>
      <c r="R12" s="147">
        <f t="shared" si="0"/>
        <v>84736435</v>
      </c>
    </row>
    <row r="13" spans="1:19" hidden="1" x14ac:dyDescent="0.2">
      <c r="A13" s="145">
        <v>43585</v>
      </c>
      <c r="B13" s="146">
        <f>+'Therm Sales Master'!B132</f>
        <v>12262358</v>
      </c>
      <c r="C13" s="147">
        <f>+'Therm Sales Master'!D132</f>
        <v>0</v>
      </c>
      <c r="D13" s="147">
        <f>+'Therm Sales Master'!E132</f>
        <v>1331310</v>
      </c>
      <c r="E13" s="148">
        <f>+'Therm Sales Master'!F132</f>
        <v>339049</v>
      </c>
      <c r="F13" s="147">
        <f>+'Therm Sales Master'!G132</f>
        <v>2258</v>
      </c>
      <c r="G13" s="147">
        <f>+'Therm Sales Master'!H132</f>
        <v>9096547</v>
      </c>
      <c r="H13" s="148">
        <f>+'Therm Sales Master'!J132</f>
        <v>1028839</v>
      </c>
      <c r="I13" s="147">
        <f>+'Therm Sales Master'!K132</f>
        <v>128</v>
      </c>
      <c r="J13" s="148">
        <f>+'Therm Sales Master'!L132</f>
        <v>0</v>
      </c>
      <c r="K13" s="146">
        <f>+'Therm Sales Master'!M132</f>
        <v>191467</v>
      </c>
      <c r="L13" s="146">
        <f>+'Therm Sales Master'!N132</f>
        <v>27808927</v>
      </c>
      <c r="M13" s="147">
        <f>+'Therm Sales Master'!O132</f>
        <v>7594206</v>
      </c>
      <c r="N13" s="147">
        <f>+'Therm Sales Master'!P132</f>
        <v>2551096</v>
      </c>
      <c r="O13" s="147">
        <f>+'Therm Sales Master'!Q132</f>
        <v>24270</v>
      </c>
      <c r="P13" s="148">
        <f>+'Therm Sales Master'!R132</f>
        <v>0</v>
      </c>
      <c r="R13" s="147">
        <f t="shared" si="0"/>
        <v>62230455</v>
      </c>
    </row>
    <row r="14" spans="1:19" hidden="1" x14ac:dyDescent="0.2">
      <c r="A14" s="145">
        <v>43616</v>
      </c>
      <c r="B14" s="146">
        <f>+'Therm Sales Master'!B133</f>
        <v>7409569</v>
      </c>
      <c r="C14" s="147">
        <f>+'Therm Sales Master'!D133</f>
        <v>0</v>
      </c>
      <c r="D14" s="147">
        <f>+'Therm Sales Master'!E133</f>
        <v>789879</v>
      </c>
      <c r="E14" s="148">
        <f>+'Therm Sales Master'!F133</f>
        <v>267660</v>
      </c>
      <c r="F14" s="147">
        <f>+'Therm Sales Master'!G133</f>
        <v>645</v>
      </c>
      <c r="G14" s="147">
        <f>+'Therm Sales Master'!H133</f>
        <v>5370530</v>
      </c>
      <c r="H14" s="148">
        <f>+'Therm Sales Master'!J133</f>
        <v>692205</v>
      </c>
      <c r="I14" s="147">
        <f>+'Therm Sales Master'!K133</f>
        <v>151</v>
      </c>
      <c r="J14" s="148">
        <f>+'Therm Sales Master'!L133</f>
        <v>0</v>
      </c>
      <c r="K14" s="146">
        <f>+'Therm Sales Master'!M133</f>
        <v>142256</v>
      </c>
      <c r="L14" s="146">
        <f>+'Therm Sales Master'!N133</f>
        <v>29847911</v>
      </c>
      <c r="M14" s="147">
        <f>+'Therm Sales Master'!O133</f>
        <v>5340649</v>
      </c>
      <c r="N14" s="147">
        <f>+'Therm Sales Master'!P133</f>
        <v>381981</v>
      </c>
      <c r="O14" s="147">
        <f>+'Therm Sales Master'!Q133</f>
        <v>234043</v>
      </c>
      <c r="P14" s="148">
        <f>+'Therm Sales Master'!R133</f>
        <v>0</v>
      </c>
      <c r="R14" s="147">
        <f t="shared" si="0"/>
        <v>50477479</v>
      </c>
    </row>
    <row r="15" spans="1:19" hidden="1" x14ac:dyDescent="0.2">
      <c r="A15" s="145">
        <v>43646</v>
      </c>
      <c r="B15" s="146">
        <f>+'Therm Sales Master'!B134</f>
        <v>4046705</v>
      </c>
      <c r="C15" s="147">
        <f>+'Therm Sales Master'!D134</f>
        <v>0</v>
      </c>
      <c r="D15" s="147">
        <f>+'Therm Sales Master'!E134</f>
        <v>579038</v>
      </c>
      <c r="E15" s="148">
        <f>+'Therm Sales Master'!F134</f>
        <v>275040</v>
      </c>
      <c r="F15" s="147">
        <f>+'Therm Sales Master'!G134</f>
        <v>367</v>
      </c>
      <c r="G15" s="147">
        <f>+'Therm Sales Master'!H134</f>
        <v>3465484</v>
      </c>
      <c r="H15" s="148">
        <f>+'Therm Sales Master'!J134</f>
        <v>479946</v>
      </c>
      <c r="I15" s="147">
        <f>+'Therm Sales Master'!K134</f>
        <v>0</v>
      </c>
      <c r="J15" s="148">
        <f>+'Therm Sales Master'!L134</f>
        <v>0</v>
      </c>
      <c r="K15" s="146">
        <f>+'Therm Sales Master'!M134</f>
        <v>110987</v>
      </c>
      <c r="L15" s="146">
        <f>+'Therm Sales Master'!N134</f>
        <v>27060192</v>
      </c>
      <c r="M15" s="147">
        <f>+'Therm Sales Master'!O134</f>
        <v>7824546</v>
      </c>
      <c r="N15" s="147">
        <f>+'Therm Sales Master'!P134</f>
        <v>6776820</v>
      </c>
      <c r="O15" s="147">
        <f>+'Therm Sales Master'!Q134</f>
        <v>1112893</v>
      </c>
      <c r="P15" s="148">
        <f>+'Therm Sales Master'!R134</f>
        <v>0</v>
      </c>
      <c r="R15" s="147">
        <f t="shared" si="0"/>
        <v>51732018</v>
      </c>
    </row>
    <row r="16" spans="1:19" hidden="1" x14ac:dyDescent="0.2">
      <c r="A16" s="145">
        <v>43677</v>
      </c>
      <c r="B16" s="146">
        <f>+'Therm Sales Master'!B135</f>
        <v>3217527</v>
      </c>
      <c r="C16" s="147">
        <f>+'Therm Sales Master'!D135</f>
        <v>0</v>
      </c>
      <c r="D16" s="147">
        <f>+'Therm Sales Master'!E135</f>
        <v>537168</v>
      </c>
      <c r="E16" s="148">
        <f>+'Therm Sales Master'!F135</f>
        <v>315197</v>
      </c>
      <c r="F16" s="147">
        <f>+'Therm Sales Master'!G135</f>
        <v>155</v>
      </c>
      <c r="G16" s="147">
        <f>+'Therm Sales Master'!H135</f>
        <v>3054528</v>
      </c>
      <c r="H16" s="148">
        <f>+'Therm Sales Master'!J135</f>
        <v>406093</v>
      </c>
      <c r="I16" s="147">
        <f>+'Therm Sales Master'!K135</f>
        <v>163</v>
      </c>
      <c r="J16" s="148">
        <f>+'Therm Sales Master'!L135</f>
        <v>0</v>
      </c>
      <c r="K16" s="146">
        <f>+'Therm Sales Master'!M135</f>
        <v>120028</v>
      </c>
      <c r="L16" s="146">
        <f>+'Therm Sales Master'!N135</f>
        <v>26075307</v>
      </c>
      <c r="M16" s="147">
        <f>+'Therm Sales Master'!O135</f>
        <v>14501183</v>
      </c>
      <c r="N16" s="147">
        <f>+'Therm Sales Master'!P135</f>
        <v>14122838</v>
      </c>
      <c r="O16" s="147">
        <f>+'Therm Sales Master'!Q135</f>
        <v>5050508</v>
      </c>
      <c r="P16" s="148">
        <f>+'Therm Sales Master'!R135</f>
        <v>0</v>
      </c>
      <c r="R16" s="147">
        <f t="shared" ref="R16:R22" si="2">SUM(B16:Q16)</f>
        <v>67400695</v>
      </c>
    </row>
    <row r="17" spans="1:19" hidden="1" x14ac:dyDescent="0.2">
      <c r="A17" s="145">
        <v>43708</v>
      </c>
      <c r="B17" s="146">
        <f>+'Therm Sales Master'!B136</f>
        <v>2775098</v>
      </c>
      <c r="C17" s="147">
        <f>+'Therm Sales Master'!D136</f>
        <v>0</v>
      </c>
      <c r="D17" s="147">
        <f>+'Therm Sales Master'!E136</f>
        <v>564404</v>
      </c>
      <c r="E17" s="148">
        <f>+'Therm Sales Master'!F136</f>
        <v>350812</v>
      </c>
      <c r="F17" s="147">
        <f>+'Therm Sales Master'!G136</f>
        <v>138</v>
      </c>
      <c r="G17" s="147">
        <f>+'Therm Sales Master'!H136</f>
        <v>2791770</v>
      </c>
      <c r="H17" s="148">
        <f>+'Therm Sales Master'!J136</f>
        <v>400926</v>
      </c>
      <c r="I17" s="147">
        <f>+'Therm Sales Master'!K136</f>
        <v>0</v>
      </c>
      <c r="J17" s="148">
        <f>+'Therm Sales Master'!L136</f>
        <v>0</v>
      </c>
      <c r="K17" s="146">
        <f>+'Therm Sales Master'!M136</f>
        <v>93626</v>
      </c>
      <c r="L17" s="146">
        <f>+'Therm Sales Master'!N136</f>
        <v>28191126</v>
      </c>
      <c r="M17" s="147">
        <f>+'Therm Sales Master'!O136</f>
        <v>16164686</v>
      </c>
      <c r="N17" s="147">
        <f>+'Therm Sales Master'!P136</f>
        <v>15605297</v>
      </c>
      <c r="O17" s="147">
        <f>+'Therm Sales Master'!Q136</f>
        <v>9500954</v>
      </c>
      <c r="P17" s="148">
        <f>+'Therm Sales Master'!R136</f>
        <v>0</v>
      </c>
      <c r="R17" s="147">
        <f t="shared" si="2"/>
        <v>76438837</v>
      </c>
    </row>
    <row r="18" spans="1:19" hidden="1" x14ac:dyDescent="0.2">
      <c r="A18" s="145">
        <v>43738</v>
      </c>
      <c r="B18" s="146">
        <f>+'Therm Sales Master'!B137</f>
        <v>2691847</v>
      </c>
      <c r="C18" s="147">
        <f>+'Therm Sales Master'!D137</f>
        <v>0</v>
      </c>
      <c r="D18" s="147">
        <f>+'Therm Sales Master'!E137</f>
        <v>651984</v>
      </c>
      <c r="E18" s="148">
        <f>+'Therm Sales Master'!F137</f>
        <v>310612</v>
      </c>
      <c r="F18" s="147">
        <f>+'Therm Sales Master'!G137</f>
        <v>619</v>
      </c>
      <c r="G18" s="147">
        <f>+'Therm Sales Master'!H137</f>
        <v>2672689</v>
      </c>
      <c r="H18" s="148">
        <f>+'Therm Sales Master'!J137</f>
        <v>346838</v>
      </c>
      <c r="I18" s="147">
        <f>+'Therm Sales Master'!K137</f>
        <v>411</v>
      </c>
      <c r="J18" s="148">
        <f>+'Therm Sales Master'!L137</f>
        <v>0</v>
      </c>
      <c r="K18" s="146">
        <f>+'Therm Sales Master'!M137</f>
        <v>111442</v>
      </c>
      <c r="L18" s="146">
        <f>+'Therm Sales Master'!N137</f>
        <v>31412664</v>
      </c>
      <c r="M18" s="147">
        <f>+'Therm Sales Master'!O137</f>
        <v>15653966</v>
      </c>
      <c r="N18" s="147">
        <f>+'Therm Sales Master'!P137</f>
        <v>14512835</v>
      </c>
      <c r="O18" s="147">
        <f>+'Therm Sales Master'!Q137</f>
        <v>4852567</v>
      </c>
      <c r="P18" s="148">
        <f>+'Therm Sales Master'!R137</f>
        <v>0</v>
      </c>
      <c r="R18" s="147">
        <f t="shared" si="2"/>
        <v>73218474</v>
      </c>
    </row>
    <row r="19" spans="1:19" hidden="1" x14ac:dyDescent="0.2">
      <c r="A19" s="145">
        <v>43769</v>
      </c>
      <c r="B19" s="146">
        <f>+'Therm Sales Master'!B138</f>
        <v>6366467</v>
      </c>
      <c r="C19" s="147">
        <f>+'Therm Sales Master'!D138</f>
        <v>0</v>
      </c>
      <c r="D19" s="147">
        <f>+'Therm Sales Master'!E138</f>
        <v>1274354</v>
      </c>
      <c r="E19" s="148">
        <f>+'Therm Sales Master'!F138</f>
        <v>413276</v>
      </c>
      <c r="F19" s="147">
        <f>+'Therm Sales Master'!G138</f>
        <v>2955</v>
      </c>
      <c r="G19" s="147">
        <f>+'Therm Sales Master'!H138</f>
        <v>4853452</v>
      </c>
      <c r="H19" s="148">
        <f>+'Therm Sales Master'!J138</f>
        <v>2027719</v>
      </c>
      <c r="I19" s="147">
        <f>+'Therm Sales Master'!K138</f>
        <v>317</v>
      </c>
      <c r="J19" s="148">
        <f>+'Therm Sales Master'!L138</f>
        <v>0</v>
      </c>
      <c r="K19" s="146">
        <f>+'Therm Sales Master'!M138</f>
        <v>232820</v>
      </c>
      <c r="L19" s="146">
        <f>+'Therm Sales Master'!N138</f>
        <v>34409561</v>
      </c>
      <c r="M19" s="147">
        <f>+'Therm Sales Master'!O138</f>
        <v>11066352</v>
      </c>
      <c r="N19" s="147">
        <f>+'Therm Sales Master'!P138</f>
        <v>667138</v>
      </c>
      <c r="O19" s="147">
        <f>+'Therm Sales Master'!Q138</f>
        <v>897404</v>
      </c>
      <c r="P19" s="148">
        <f>+'Therm Sales Master'!R138</f>
        <v>0</v>
      </c>
      <c r="R19" s="147">
        <f t="shared" si="2"/>
        <v>62211815</v>
      </c>
    </row>
    <row r="20" spans="1:19" hidden="1" x14ac:dyDescent="0.2">
      <c r="A20" s="145">
        <v>43799</v>
      </c>
      <c r="B20" s="146">
        <f>+'Therm Sales Master'!B139</f>
        <v>7622134</v>
      </c>
      <c r="C20" s="147">
        <f>+'Therm Sales Master'!D139</f>
        <v>0</v>
      </c>
      <c r="D20" s="147">
        <f>+'Therm Sales Master'!E139</f>
        <v>806453</v>
      </c>
      <c r="E20" s="148">
        <f>+'Therm Sales Master'!F139</f>
        <v>292270</v>
      </c>
      <c r="F20" s="147">
        <f>+'Therm Sales Master'!G139</f>
        <v>0</v>
      </c>
      <c r="G20" s="147">
        <f>+'Therm Sales Master'!H139</f>
        <v>5319138</v>
      </c>
      <c r="H20" s="148">
        <f>+'Therm Sales Master'!J139</f>
        <v>626870</v>
      </c>
      <c r="I20" s="147">
        <f>+'Therm Sales Master'!K139</f>
        <v>0</v>
      </c>
      <c r="J20" s="148">
        <f>+'Therm Sales Master'!L139</f>
        <v>0</v>
      </c>
      <c r="K20" s="146">
        <f>+'Therm Sales Master'!M139</f>
        <v>0</v>
      </c>
      <c r="L20" s="146">
        <f>+'Therm Sales Master'!N139</f>
        <v>132</v>
      </c>
      <c r="M20" s="147">
        <f>+'Therm Sales Master'!O139</f>
        <v>0</v>
      </c>
      <c r="N20" s="147">
        <f>+'Therm Sales Master'!P139</f>
        <v>0</v>
      </c>
      <c r="O20" s="147">
        <f>+'Therm Sales Master'!Q139</f>
        <v>0</v>
      </c>
      <c r="P20" s="148">
        <f>+'Therm Sales Master'!R139</f>
        <v>0</v>
      </c>
      <c r="R20" s="147">
        <f t="shared" si="2"/>
        <v>14666997</v>
      </c>
      <c r="S20" s="2" t="s">
        <v>45</v>
      </c>
    </row>
    <row r="21" spans="1:19" hidden="1" x14ac:dyDescent="0.2">
      <c r="A21" s="145">
        <v>43799</v>
      </c>
      <c r="B21" s="146">
        <f>+'Therm Sales Master'!B140</f>
        <v>4006834</v>
      </c>
      <c r="C21" s="147">
        <f>+'Therm Sales Master'!D140</f>
        <v>0</v>
      </c>
      <c r="D21" s="147">
        <f>+'Therm Sales Master'!E140</f>
        <v>352170</v>
      </c>
      <c r="E21" s="148">
        <f>+'Therm Sales Master'!F140</f>
        <v>192646</v>
      </c>
      <c r="F21" s="147">
        <f>+'Therm Sales Master'!G140</f>
        <v>3958</v>
      </c>
      <c r="G21" s="147">
        <f>+'Therm Sales Master'!H140</f>
        <v>2589532</v>
      </c>
      <c r="H21" s="148">
        <f>+'Therm Sales Master'!J140</f>
        <v>1908901</v>
      </c>
      <c r="I21" s="147">
        <f>+'Therm Sales Master'!K140</f>
        <v>491</v>
      </c>
      <c r="J21" s="148">
        <f>+'Therm Sales Master'!L140</f>
        <v>0</v>
      </c>
      <c r="K21" s="146">
        <f>+'Therm Sales Master'!M140</f>
        <v>230233</v>
      </c>
      <c r="L21" s="146">
        <f>+'Therm Sales Master'!N140</f>
        <v>29790523</v>
      </c>
      <c r="M21" s="147">
        <f>+'Therm Sales Master'!O140</f>
        <v>12699045</v>
      </c>
      <c r="N21" s="147">
        <f>+'Therm Sales Master'!P140</f>
        <v>5956005</v>
      </c>
      <c r="O21" s="147">
        <f>+'Therm Sales Master'!Q140</f>
        <v>211269</v>
      </c>
      <c r="P21" s="148">
        <f>+'Therm Sales Master'!R140</f>
        <v>0</v>
      </c>
      <c r="R21" s="147">
        <f t="shared" ref="R21" si="3">SUM(B21:Q21)</f>
        <v>57941607</v>
      </c>
      <c r="S21" s="2" t="s">
        <v>46</v>
      </c>
    </row>
    <row r="22" spans="1:19" hidden="1" x14ac:dyDescent="0.2">
      <c r="A22" s="145">
        <v>43830</v>
      </c>
      <c r="B22" s="146">
        <f>+'Therm Sales Master'!B141</f>
        <v>17650518</v>
      </c>
      <c r="C22" s="147">
        <f>+'Therm Sales Master'!D141</f>
        <v>0</v>
      </c>
      <c r="D22" s="147">
        <f>+'Therm Sales Master'!E141</f>
        <v>1422636</v>
      </c>
      <c r="E22" s="148">
        <f>+'Therm Sales Master'!F141</f>
        <v>368658</v>
      </c>
      <c r="F22" s="147">
        <f>+'Therm Sales Master'!G141</f>
        <v>4552</v>
      </c>
      <c r="G22" s="147">
        <f>+'Therm Sales Master'!H141</f>
        <v>11976706</v>
      </c>
      <c r="H22" s="148">
        <f>+'Therm Sales Master'!J141</f>
        <v>2959155</v>
      </c>
      <c r="I22" s="147">
        <f>+'Therm Sales Master'!K141</f>
        <v>261</v>
      </c>
      <c r="J22" s="148">
        <f>+'Therm Sales Master'!L141</f>
        <v>0</v>
      </c>
      <c r="K22" s="146">
        <f>+'Therm Sales Master'!M141</f>
        <v>254015</v>
      </c>
      <c r="L22" s="146">
        <f>+'Therm Sales Master'!N141</f>
        <v>31617374</v>
      </c>
      <c r="M22" s="147">
        <f>+'Therm Sales Master'!O141</f>
        <v>14173947</v>
      </c>
      <c r="N22" s="147">
        <f>+'Therm Sales Master'!P141</f>
        <v>13886984</v>
      </c>
      <c r="O22" s="147">
        <f>+'Therm Sales Master'!Q141</f>
        <v>1297588</v>
      </c>
      <c r="P22" s="148">
        <f>+'Therm Sales Master'!R141</f>
        <v>0</v>
      </c>
      <c r="R22" s="147">
        <f t="shared" si="2"/>
        <v>95612394</v>
      </c>
    </row>
    <row r="23" spans="1:19" hidden="1" x14ac:dyDescent="0.2">
      <c r="A23" s="145">
        <v>43861</v>
      </c>
      <c r="B23" s="146">
        <f>+'Therm Sales Master'!B142</f>
        <v>21443608</v>
      </c>
      <c r="C23" s="147">
        <f>+'Therm Sales Master'!D142</f>
        <v>0</v>
      </c>
      <c r="D23" s="147">
        <f>+'Therm Sales Master'!E142</f>
        <v>1522757</v>
      </c>
      <c r="E23" s="148">
        <f>+'Therm Sales Master'!F142</f>
        <v>431249</v>
      </c>
      <c r="F23" s="147">
        <f>+'Therm Sales Master'!G142</f>
        <v>4887</v>
      </c>
      <c r="G23" s="147">
        <f>+'Therm Sales Master'!H142</f>
        <v>14478708</v>
      </c>
      <c r="H23" s="148">
        <f>+'Therm Sales Master'!J142</f>
        <v>3309514</v>
      </c>
      <c r="I23" s="147">
        <f>+'Therm Sales Master'!K142</f>
        <v>85</v>
      </c>
      <c r="J23" s="148">
        <f>+'Therm Sales Master'!L142</f>
        <v>0</v>
      </c>
      <c r="K23" s="146">
        <f>+'Therm Sales Master'!M142</f>
        <v>256203</v>
      </c>
      <c r="L23" s="146">
        <f>+'Therm Sales Master'!N142</f>
        <v>32467716</v>
      </c>
      <c r="M23" s="147">
        <f>+'Therm Sales Master'!O142</f>
        <v>12220363</v>
      </c>
      <c r="N23" s="147">
        <f>+'Therm Sales Master'!P142</f>
        <v>9693367</v>
      </c>
      <c r="O23" s="147">
        <f>+'Therm Sales Master'!Q142</f>
        <v>362331</v>
      </c>
      <c r="P23" s="148">
        <f>+'Therm Sales Master'!R142</f>
        <v>0</v>
      </c>
      <c r="R23" s="147">
        <f t="shared" ref="R23:R34" si="4">SUM(B23:Q23)</f>
        <v>96190788</v>
      </c>
    </row>
    <row r="24" spans="1:19" hidden="1" x14ac:dyDescent="0.2">
      <c r="A24" s="145">
        <v>43890</v>
      </c>
      <c r="B24" s="146">
        <f>+'Therm Sales Master'!B143</f>
        <v>17506775</v>
      </c>
      <c r="C24" s="147">
        <f>+'Therm Sales Master'!D143</f>
        <v>0</v>
      </c>
      <c r="D24" s="147">
        <f>+'Therm Sales Master'!E143</f>
        <v>1322495</v>
      </c>
      <c r="E24" s="148">
        <f>+'Therm Sales Master'!F143</f>
        <v>393372</v>
      </c>
      <c r="F24" s="147">
        <f>+'Therm Sales Master'!G143</f>
        <v>4650</v>
      </c>
      <c r="G24" s="147">
        <f>+'Therm Sales Master'!H143</f>
        <v>11970901</v>
      </c>
      <c r="H24" s="148">
        <f>+'Therm Sales Master'!J143</f>
        <v>2889473</v>
      </c>
      <c r="I24" s="147">
        <f>+'Therm Sales Master'!K143</f>
        <v>341</v>
      </c>
      <c r="J24" s="148">
        <f>+'Therm Sales Master'!L143</f>
        <v>0</v>
      </c>
      <c r="K24" s="146">
        <f>+'Therm Sales Master'!M143</f>
        <v>228991</v>
      </c>
      <c r="L24" s="146">
        <f>+'Therm Sales Master'!N143</f>
        <v>30355704</v>
      </c>
      <c r="M24" s="147">
        <f>+'Therm Sales Master'!O143</f>
        <v>11897437</v>
      </c>
      <c r="N24" s="147">
        <f>+'Therm Sales Master'!P143</f>
        <v>7438730</v>
      </c>
      <c r="O24" s="147">
        <f>+'Therm Sales Master'!Q143</f>
        <v>761639</v>
      </c>
      <c r="P24" s="148">
        <f>+'Therm Sales Master'!R143</f>
        <v>0</v>
      </c>
      <c r="R24" s="147">
        <f t="shared" si="4"/>
        <v>84770508</v>
      </c>
    </row>
    <row r="25" spans="1:19" hidden="1" x14ac:dyDescent="0.2">
      <c r="A25" s="145">
        <v>43921</v>
      </c>
      <c r="B25" s="146">
        <f>+'Therm Sales Master'!B144</f>
        <v>17635811</v>
      </c>
      <c r="C25" s="147">
        <f>+'Therm Sales Master'!D144</f>
        <v>0</v>
      </c>
      <c r="D25" s="147">
        <f>+'Therm Sales Master'!E144</f>
        <v>1356275</v>
      </c>
      <c r="E25" s="148">
        <f>+'Therm Sales Master'!F144</f>
        <v>297569</v>
      </c>
      <c r="F25" s="147">
        <f>+'Therm Sales Master'!G144</f>
        <v>4903</v>
      </c>
      <c r="G25" s="147">
        <f>+'Therm Sales Master'!H144</f>
        <v>11812961</v>
      </c>
      <c r="H25" s="148">
        <f>+'Therm Sales Master'!J144</f>
        <v>3033699</v>
      </c>
      <c r="I25" s="147">
        <f>+'Therm Sales Master'!K144</f>
        <v>182</v>
      </c>
      <c r="J25" s="148">
        <f>+'Therm Sales Master'!L144</f>
        <v>0</v>
      </c>
      <c r="K25" s="146">
        <f>+'Therm Sales Master'!M144</f>
        <v>229265</v>
      </c>
      <c r="L25" s="146">
        <f>+'Therm Sales Master'!N144</f>
        <v>32606618</v>
      </c>
      <c r="M25" s="147">
        <f>+'Therm Sales Master'!O144</f>
        <v>15670834</v>
      </c>
      <c r="N25" s="147">
        <f>+'Therm Sales Master'!P144</f>
        <v>14229128</v>
      </c>
      <c r="O25" s="147">
        <f>+'Therm Sales Master'!Q144</f>
        <v>3004872</v>
      </c>
      <c r="P25" s="148">
        <f>+'Therm Sales Master'!R144</f>
        <v>0</v>
      </c>
      <c r="R25" s="147">
        <f t="shared" si="4"/>
        <v>99882117</v>
      </c>
    </row>
    <row r="26" spans="1:19" hidden="1" x14ac:dyDescent="0.2">
      <c r="A26" s="145">
        <v>43951</v>
      </c>
      <c r="B26" s="146">
        <f>+'Therm Sales Master'!B145</f>
        <v>13930299</v>
      </c>
      <c r="C26" s="147">
        <f>+'Therm Sales Master'!D145</f>
        <v>0</v>
      </c>
      <c r="D26" s="147">
        <f>+'Therm Sales Master'!E145</f>
        <v>1128418</v>
      </c>
      <c r="E26" s="148">
        <f>+'Therm Sales Master'!F145</f>
        <v>537766</v>
      </c>
      <c r="F26" s="147">
        <f>+'Therm Sales Master'!G145</f>
        <v>3889</v>
      </c>
      <c r="G26" s="147">
        <f>+'Therm Sales Master'!H145</f>
        <v>8554564</v>
      </c>
      <c r="H26" s="148">
        <f>+'Therm Sales Master'!J145</f>
        <v>2377971</v>
      </c>
      <c r="I26" s="147">
        <f>+'Therm Sales Master'!K145</f>
        <v>193</v>
      </c>
      <c r="J26" s="148">
        <f>+'Therm Sales Master'!L145</f>
        <v>0</v>
      </c>
      <c r="K26" s="146">
        <f>+'Therm Sales Master'!M145</f>
        <v>189521</v>
      </c>
      <c r="L26" s="146">
        <f>+'Therm Sales Master'!N145</f>
        <v>27153616</v>
      </c>
      <c r="M26" s="147">
        <f>+'Therm Sales Master'!O145</f>
        <v>13569738</v>
      </c>
      <c r="N26" s="147">
        <f>+'Therm Sales Master'!P145</f>
        <v>11001952</v>
      </c>
      <c r="O26" s="147">
        <f>+'Therm Sales Master'!Q145</f>
        <v>3430843</v>
      </c>
      <c r="P26" s="148">
        <f>+'Therm Sales Master'!R145</f>
        <v>0</v>
      </c>
      <c r="R26" s="147">
        <f t="shared" si="4"/>
        <v>81878770</v>
      </c>
    </row>
    <row r="27" spans="1:19" hidden="1" x14ac:dyDescent="0.2">
      <c r="A27" s="145">
        <v>43982</v>
      </c>
      <c r="B27" s="146">
        <f>+'Therm Sales Master'!B146</f>
        <v>6809502</v>
      </c>
      <c r="C27" s="147">
        <f>+'Therm Sales Master'!D146</f>
        <v>0</v>
      </c>
      <c r="D27" s="147">
        <f>+'Therm Sales Master'!E146</f>
        <v>713209</v>
      </c>
      <c r="E27" s="148">
        <f>+'Therm Sales Master'!F146</f>
        <v>222952</v>
      </c>
      <c r="F27" s="147">
        <f>+'Therm Sales Master'!G146</f>
        <v>2219</v>
      </c>
      <c r="G27" s="147">
        <f>+'Therm Sales Master'!H146</f>
        <v>4127918</v>
      </c>
      <c r="H27" s="148">
        <f>+'Therm Sales Master'!J146</f>
        <v>1489675</v>
      </c>
      <c r="I27" s="147">
        <f>+'Therm Sales Master'!K146</f>
        <v>0</v>
      </c>
      <c r="J27" s="148">
        <f>+'Therm Sales Master'!L146</f>
        <v>0</v>
      </c>
      <c r="K27" s="146">
        <f>+'Therm Sales Master'!M146</f>
        <v>139474</v>
      </c>
      <c r="L27" s="146">
        <f>+'Therm Sales Master'!N146</f>
        <v>29220834</v>
      </c>
      <c r="M27" s="147">
        <f>+'Therm Sales Master'!O146</f>
        <v>2198918</v>
      </c>
      <c r="N27" s="147">
        <f>+'Therm Sales Master'!P146</f>
        <v>791584</v>
      </c>
      <c r="O27" s="147">
        <f>+'Therm Sales Master'!Q146</f>
        <v>447784</v>
      </c>
      <c r="P27" s="148">
        <f>+'Therm Sales Master'!R146</f>
        <v>0</v>
      </c>
      <c r="R27" s="147">
        <f t="shared" si="4"/>
        <v>46164069</v>
      </c>
    </row>
    <row r="28" spans="1:19" hidden="1" x14ac:dyDescent="0.2">
      <c r="A28" s="145">
        <v>44012</v>
      </c>
      <c r="B28" s="146">
        <f>+'Therm Sales Master'!B147</f>
        <v>5005480</v>
      </c>
      <c r="C28" s="147">
        <f>+'Therm Sales Master'!D147</f>
        <v>0</v>
      </c>
      <c r="D28" s="147">
        <f>+'Therm Sales Master'!E147</f>
        <v>637229</v>
      </c>
      <c r="E28" s="148">
        <f>+'Therm Sales Master'!F147</f>
        <v>433558</v>
      </c>
      <c r="F28" s="147">
        <f>+'Therm Sales Master'!G147</f>
        <v>2099</v>
      </c>
      <c r="G28" s="147">
        <f>+'Therm Sales Master'!H147</f>
        <v>3158885</v>
      </c>
      <c r="H28" s="148">
        <f>+'Therm Sales Master'!J147</f>
        <v>1216237</v>
      </c>
      <c r="I28" s="147">
        <f>+'Therm Sales Master'!K147</f>
        <v>0</v>
      </c>
      <c r="J28" s="148">
        <f>+'Therm Sales Master'!L147</f>
        <v>0</v>
      </c>
      <c r="K28" s="146">
        <f>+'Therm Sales Master'!M147</f>
        <v>109505</v>
      </c>
      <c r="L28" s="146">
        <f>+'Therm Sales Master'!N147</f>
        <v>27661973</v>
      </c>
      <c r="M28" s="147">
        <f>+'Therm Sales Master'!O147</f>
        <v>3015900</v>
      </c>
      <c r="N28" s="147">
        <f>+'Therm Sales Master'!P147</f>
        <v>1306946</v>
      </c>
      <c r="O28" s="147">
        <f>+'Therm Sales Master'!Q147</f>
        <v>736401</v>
      </c>
      <c r="P28" s="148">
        <f>+'Therm Sales Master'!R147</f>
        <v>0</v>
      </c>
      <c r="R28" s="147">
        <f t="shared" si="4"/>
        <v>43284213</v>
      </c>
    </row>
    <row r="29" spans="1:19" hidden="1" x14ac:dyDescent="0.2">
      <c r="A29" s="145">
        <v>44043</v>
      </c>
      <c r="B29" s="146">
        <f>+'Therm Sales Master'!B148</f>
        <v>4024864</v>
      </c>
      <c r="C29" s="147">
        <f>+'Therm Sales Master'!D148</f>
        <v>0</v>
      </c>
      <c r="D29" s="147">
        <f>+'Therm Sales Master'!E148</f>
        <v>562464</v>
      </c>
      <c r="E29" s="148">
        <f>+'Therm Sales Master'!F148</f>
        <v>335278</v>
      </c>
      <c r="F29" s="147">
        <f>+'Therm Sales Master'!G148</f>
        <v>943</v>
      </c>
      <c r="G29" s="147">
        <f>+'Therm Sales Master'!H148</f>
        <v>2836474</v>
      </c>
      <c r="H29" s="148">
        <f>+'Therm Sales Master'!J148</f>
        <v>1217402</v>
      </c>
      <c r="I29" s="147">
        <f>+'Therm Sales Master'!K148</f>
        <v>0</v>
      </c>
      <c r="J29" s="148">
        <f>+'Therm Sales Master'!L148</f>
        <v>0</v>
      </c>
      <c r="K29" s="146">
        <f>+'Therm Sales Master'!M148</f>
        <v>106383</v>
      </c>
      <c r="L29" s="146">
        <f>+'Therm Sales Master'!N148</f>
        <v>28966911</v>
      </c>
      <c r="M29" s="147">
        <f>+'Therm Sales Master'!O148</f>
        <v>9874110</v>
      </c>
      <c r="N29" s="147">
        <f>+'Therm Sales Master'!P148</f>
        <v>5180231</v>
      </c>
      <c r="O29" s="147">
        <f>+'Therm Sales Master'!Q148</f>
        <v>1984278</v>
      </c>
      <c r="P29" s="148">
        <f>+'Therm Sales Master'!R148</f>
        <v>0</v>
      </c>
      <c r="R29" s="147">
        <f t="shared" si="4"/>
        <v>55089338</v>
      </c>
    </row>
    <row r="30" spans="1:19" hidden="1" x14ac:dyDescent="0.2">
      <c r="A30" s="145">
        <v>44074</v>
      </c>
      <c r="B30" s="146">
        <f>+'Therm Sales Master'!B149</f>
        <v>2732363</v>
      </c>
      <c r="C30" s="147">
        <f>+'Therm Sales Master'!D149</f>
        <v>0</v>
      </c>
      <c r="D30" s="147">
        <f>+'Therm Sales Master'!E149</f>
        <v>497342</v>
      </c>
      <c r="E30" s="148">
        <f>+'Therm Sales Master'!F149</f>
        <v>298740</v>
      </c>
      <c r="F30" s="147">
        <f>+'Therm Sales Master'!G149</f>
        <v>816</v>
      </c>
      <c r="G30" s="147">
        <f>+'Therm Sales Master'!H149</f>
        <v>2165794</v>
      </c>
      <c r="H30" s="148">
        <f>+'Therm Sales Master'!J149</f>
        <v>956939</v>
      </c>
      <c r="I30" s="147">
        <f>+'Therm Sales Master'!K149</f>
        <v>0</v>
      </c>
      <c r="J30" s="148">
        <f>+'Therm Sales Master'!L149</f>
        <v>0</v>
      </c>
      <c r="K30" s="146">
        <f>+'Therm Sales Master'!M149</f>
        <v>100500</v>
      </c>
      <c r="L30" s="146">
        <f>+'Therm Sales Master'!N149</f>
        <v>32340707</v>
      </c>
      <c r="M30" s="147">
        <f>+'Therm Sales Master'!O149</f>
        <v>13157147</v>
      </c>
      <c r="N30" s="147">
        <f>+'Therm Sales Master'!P149</f>
        <v>10278160</v>
      </c>
      <c r="O30" s="147">
        <f>+'Therm Sales Master'!Q149</f>
        <v>4334957</v>
      </c>
      <c r="P30" s="148">
        <f>+'Therm Sales Master'!R149</f>
        <v>0</v>
      </c>
      <c r="R30" s="147">
        <f t="shared" si="4"/>
        <v>66863465</v>
      </c>
    </row>
    <row r="31" spans="1:19" hidden="1" x14ac:dyDescent="0.2">
      <c r="A31" s="145">
        <v>44104</v>
      </c>
      <c r="B31" s="146">
        <f>+'Therm Sales Master'!B150</f>
        <v>2948480</v>
      </c>
      <c r="C31" s="147">
        <f>+'Therm Sales Master'!D150</f>
        <v>0</v>
      </c>
      <c r="D31" s="147">
        <f>+'Therm Sales Master'!E150</f>
        <v>620797</v>
      </c>
      <c r="E31" s="148">
        <f>+'Therm Sales Master'!F150</f>
        <v>341767</v>
      </c>
      <c r="F31" s="147">
        <f>+'Therm Sales Master'!G150</f>
        <v>643</v>
      </c>
      <c r="G31" s="147">
        <f>+'Therm Sales Master'!H150</f>
        <v>2450387</v>
      </c>
      <c r="H31" s="148">
        <f>+'Therm Sales Master'!J150</f>
        <v>933559</v>
      </c>
      <c r="I31" s="147">
        <f>+'Therm Sales Master'!K150</f>
        <v>0</v>
      </c>
      <c r="J31" s="148">
        <f>+'Therm Sales Master'!L150</f>
        <v>0</v>
      </c>
      <c r="K31" s="146">
        <f>+'Therm Sales Master'!M150</f>
        <v>94559</v>
      </c>
      <c r="L31" s="146">
        <f>+'Therm Sales Master'!N150</f>
        <v>34240639</v>
      </c>
      <c r="M31" s="147">
        <f>+'Therm Sales Master'!O150</f>
        <v>14061705</v>
      </c>
      <c r="N31" s="147">
        <f>+'Therm Sales Master'!P150</f>
        <v>12575104</v>
      </c>
      <c r="O31" s="147">
        <f>+'Therm Sales Master'!Q150</f>
        <v>5435910</v>
      </c>
      <c r="P31" s="148">
        <f>+'Therm Sales Master'!R150</f>
        <v>0</v>
      </c>
      <c r="R31" s="147">
        <f t="shared" si="4"/>
        <v>73703550</v>
      </c>
    </row>
    <row r="32" spans="1:19" hidden="1" x14ac:dyDescent="0.2">
      <c r="A32" s="145">
        <v>44135</v>
      </c>
      <c r="B32" s="146">
        <f>+'Therm Sales Master'!B151</f>
        <v>4232461</v>
      </c>
      <c r="C32" s="147">
        <f>+'Therm Sales Master'!D151</f>
        <v>0</v>
      </c>
      <c r="D32" s="147">
        <f>+'Therm Sales Master'!E151</f>
        <v>1000739</v>
      </c>
      <c r="E32" s="148">
        <f>+'Therm Sales Master'!F151</f>
        <v>374010</v>
      </c>
      <c r="F32" s="147">
        <f>+'Therm Sales Master'!G151</f>
        <v>3290</v>
      </c>
      <c r="G32" s="147">
        <f>+'Therm Sales Master'!H151</f>
        <v>3183599</v>
      </c>
      <c r="H32" s="148">
        <f>+'Therm Sales Master'!J151</f>
        <v>506452</v>
      </c>
      <c r="I32" s="147">
        <f>+'Therm Sales Master'!K151</f>
        <v>0</v>
      </c>
      <c r="J32" s="148">
        <f>+'Therm Sales Master'!L151</f>
        <v>0</v>
      </c>
      <c r="K32" s="146">
        <f>+'Therm Sales Master'!M151</f>
        <v>178840</v>
      </c>
      <c r="L32" s="146">
        <f>+'Therm Sales Master'!N151</f>
        <v>36890125</v>
      </c>
      <c r="M32" s="147">
        <f>+'Therm Sales Master'!O151</f>
        <v>9459059</v>
      </c>
      <c r="N32" s="147">
        <f>+'Therm Sales Master'!P151</f>
        <v>8268305</v>
      </c>
      <c r="O32" s="147">
        <f>+'Therm Sales Master'!Q151</f>
        <v>1590604</v>
      </c>
      <c r="P32" s="148">
        <f>+'Therm Sales Master'!R151</f>
        <v>0</v>
      </c>
      <c r="R32" s="147">
        <f t="shared" si="4"/>
        <v>65687484</v>
      </c>
    </row>
    <row r="33" spans="1:19" hidden="1" x14ac:dyDescent="0.2">
      <c r="A33" s="145">
        <v>44165</v>
      </c>
      <c r="B33" s="146">
        <f>+'Therm Sales Master'!B152</f>
        <v>6886950</v>
      </c>
      <c r="C33" s="147">
        <f>+'Therm Sales Master'!D152</f>
        <v>0</v>
      </c>
      <c r="D33" s="147">
        <f>+'Therm Sales Master'!E152</f>
        <v>615235</v>
      </c>
      <c r="E33" s="148">
        <f>+'Therm Sales Master'!F152</f>
        <v>224068</v>
      </c>
      <c r="F33" s="147">
        <f>+'Therm Sales Master'!G152</f>
        <v>0</v>
      </c>
      <c r="G33" s="147">
        <f>+'Therm Sales Master'!H152</f>
        <v>4428383</v>
      </c>
      <c r="H33" s="148">
        <f>+'Therm Sales Master'!J152</f>
        <v>570674</v>
      </c>
      <c r="I33" s="147">
        <f>+'Therm Sales Master'!K152</f>
        <v>0</v>
      </c>
      <c r="J33" s="148">
        <f>+'Therm Sales Master'!L152</f>
        <v>0</v>
      </c>
      <c r="K33" s="146">
        <f>+'Therm Sales Master'!M152</f>
        <v>0</v>
      </c>
      <c r="L33" s="146">
        <f>+'Therm Sales Master'!N152</f>
        <v>-43037</v>
      </c>
      <c r="M33" s="147">
        <f>+'Therm Sales Master'!O152</f>
        <v>0</v>
      </c>
      <c r="N33" s="147">
        <f>+'Therm Sales Master'!P152</f>
        <v>0</v>
      </c>
      <c r="O33" s="147">
        <f>+'Therm Sales Master'!Q152</f>
        <v>0</v>
      </c>
      <c r="P33" s="148">
        <f>+'Therm Sales Master'!R152</f>
        <v>0</v>
      </c>
      <c r="R33" s="147">
        <f t="shared" si="4"/>
        <v>12682273</v>
      </c>
      <c r="S33" s="2" t="s">
        <v>45</v>
      </c>
    </row>
    <row r="34" spans="1:19" hidden="1" x14ac:dyDescent="0.2">
      <c r="A34" s="145">
        <v>44165</v>
      </c>
      <c r="B34" s="146">
        <f>+'Therm Sales Master'!B153</f>
        <v>3564962</v>
      </c>
      <c r="C34" s="147">
        <f>+'Therm Sales Master'!D153</f>
        <v>0</v>
      </c>
      <c r="D34" s="147">
        <f>+'Therm Sales Master'!E153</f>
        <v>255052</v>
      </c>
      <c r="E34" s="148">
        <f>+'Therm Sales Master'!F153</f>
        <v>108414</v>
      </c>
      <c r="F34" s="147">
        <f>+'Therm Sales Master'!G153</f>
        <v>5658</v>
      </c>
      <c r="G34" s="147">
        <f>+'Therm Sales Master'!H153</f>
        <v>2059842</v>
      </c>
      <c r="H34" s="148">
        <f>+'Therm Sales Master'!J153</f>
        <v>341335</v>
      </c>
      <c r="I34" s="147">
        <f>+'Therm Sales Master'!K153</f>
        <v>0</v>
      </c>
      <c r="J34" s="148">
        <f>+'Therm Sales Master'!L153</f>
        <v>0</v>
      </c>
      <c r="K34" s="146">
        <f>+'Therm Sales Master'!M153</f>
        <v>220318</v>
      </c>
      <c r="L34" s="146">
        <f>+'Therm Sales Master'!N153</f>
        <v>38203799</v>
      </c>
      <c r="M34" s="147">
        <f>+'Therm Sales Master'!O153</f>
        <v>7516479</v>
      </c>
      <c r="N34" s="147">
        <f>+'Therm Sales Master'!P153</f>
        <v>2419246</v>
      </c>
      <c r="O34" s="147">
        <f>+'Therm Sales Master'!Q153</f>
        <v>916410</v>
      </c>
      <c r="P34" s="148">
        <f>+'Therm Sales Master'!R153</f>
        <v>0</v>
      </c>
      <c r="R34" s="147">
        <f t="shared" si="4"/>
        <v>55611515</v>
      </c>
      <c r="S34" s="2" t="s">
        <v>46</v>
      </c>
    </row>
    <row r="35" spans="1:19" hidden="1" x14ac:dyDescent="0.2">
      <c r="A35" s="145">
        <v>44196</v>
      </c>
      <c r="B35" s="146">
        <f>+'Therm Sales Master'!B154</f>
        <v>18475354</v>
      </c>
      <c r="C35" s="147">
        <f>+'Therm Sales Master'!D154</f>
        <v>0</v>
      </c>
      <c r="D35" s="147">
        <f>+'Therm Sales Master'!E154</f>
        <v>1356324</v>
      </c>
      <c r="E35" s="148">
        <f>+'Therm Sales Master'!F154</f>
        <v>419977</v>
      </c>
      <c r="F35" s="147">
        <f>+'Therm Sales Master'!G154</f>
        <v>7535</v>
      </c>
      <c r="G35" s="147">
        <f>+'Therm Sales Master'!H154</f>
        <v>12051598</v>
      </c>
      <c r="H35" s="148">
        <f>+'Therm Sales Master'!J154</f>
        <v>1502233</v>
      </c>
      <c r="I35" s="147">
        <f>+'Therm Sales Master'!K154</f>
        <v>0</v>
      </c>
      <c r="J35" s="148">
        <f>+'Therm Sales Master'!L154</f>
        <v>0</v>
      </c>
      <c r="K35" s="146">
        <f>+'Therm Sales Master'!M154</f>
        <v>244469</v>
      </c>
      <c r="L35" s="146">
        <f>+'Therm Sales Master'!N154</f>
        <v>37243979</v>
      </c>
      <c r="M35" s="147">
        <f>+'Therm Sales Master'!O154</f>
        <v>13353201</v>
      </c>
      <c r="N35" s="147">
        <f>+'Therm Sales Master'!P154</f>
        <v>9176642</v>
      </c>
      <c r="O35" s="147">
        <f>+'Therm Sales Master'!Q154</f>
        <v>764453</v>
      </c>
      <c r="P35" s="148">
        <f>+'Therm Sales Master'!R154</f>
        <v>0</v>
      </c>
      <c r="R35" s="147">
        <f t="shared" ref="R35:R45" si="5">SUM(B35:Q35)</f>
        <v>94595765</v>
      </c>
    </row>
    <row r="36" spans="1:19" hidden="1" x14ac:dyDescent="0.2">
      <c r="A36" s="145">
        <v>44227</v>
      </c>
      <c r="B36" s="146">
        <f>+'Therm Sales Master'!B155</f>
        <v>19685299</v>
      </c>
      <c r="C36" s="147">
        <f>+'Therm Sales Master'!D155</f>
        <v>0</v>
      </c>
      <c r="D36" s="147">
        <f>+'Therm Sales Master'!E155</f>
        <v>1264480</v>
      </c>
      <c r="E36" s="148">
        <f>+'Therm Sales Master'!F155</f>
        <v>431368</v>
      </c>
      <c r="F36" s="147">
        <f>+'Therm Sales Master'!G155</f>
        <v>12694</v>
      </c>
      <c r="G36" s="147">
        <f>+'Therm Sales Master'!H155</f>
        <v>12849986</v>
      </c>
      <c r="H36" s="148">
        <f>+'Therm Sales Master'!J155</f>
        <v>1460025</v>
      </c>
      <c r="I36" s="147">
        <f>+'Therm Sales Master'!K155</f>
        <v>0</v>
      </c>
      <c r="J36" s="148">
        <f>+'Therm Sales Master'!L155</f>
        <v>0</v>
      </c>
      <c r="K36" s="146">
        <f>+'Therm Sales Master'!M155</f>
        <v>248648</v>
      </c>
      <c r="L36" s="146">
        <f>+'Therm Sales Master'!N155</f>
        <v>39534451</v>
      </c>
      <c r="M36" s="147">
        <f>+'Therm Sales Master'!O155</f>
        <v>12333204</v>
      </c>
      <c r="N36" s="147">
        <f>+'Therm Sales Master'!P155</f>
        <v>5190781</v>
      </c>
      <c r="O36" s="147">
        <f>+'Therm Sales Master'!Q155</f>
        <v>252622</v>
      </c>
      <c r="P36" s="148">
        <f>+'Therm Sales Master'!R155</f>
        <v>0</v>
      </c>
      <c r="R36" s="147">
        <f t="shared" si="5"/>
        <v>93263558</v>
      </c>
    </row>
    <row r="37" spans="1:19" hidden="1" x14ac:dyDescent="0.2">
      <c r="A37" s="145">
        <v>44255</v>
      </c>
      <c r="B37" s="146">
        <f>+'Therm Sales Master'!B156</f>
        <v>18599534</v>
      </c>
      <c r="C37" s="147">
        <f>+'Therm Sales Master'!D156</f>
        <v>0</v>
      </c>
      <c r="D37" s="147">
        <f>+'Therm Sales Master'!E156</f>
        <v>1226133</v>
      </c>
      <c r="E37" s="148">
        <f>+'Therm Sales Master'!F156</f>
        <v>372501</v>
      </c>
      <c r="F37" s="147">
        <f>+'Therm Sales Master'!G156</f>
        <v>7553</v>
      </c>
      <c r="G37" s="147">
        <f>+'Therm Sales Master'!H156</f>
        <v>12050270</v>
      </c>
      <c r="H37" s="148">
        <f>+'Therm Sales Master'!J156</f>
        <v>1413677</v>
      </c>
      <c r="I37" s="147">
        <f>+'Therm Sales Master'!K156</f>
        <v>0</v>
      </c>
      <c r="J37" s="148">
        <f>+'Therm Sales Master'!L156</f>
        <v>0</v>
      </c>
      <c r="K37" s="146">
        <f>+'Therm Sales Master'!M156</f>
        <v>239855</v>
      </c>
      <c r="L37" s="146">
        <f>+'Therm Sales Master'!N156</f>
        <v>36249518</v>
      </c>
      <c r="M37" s="147">
        <f>+'Therm Sales Master'!O156</f>
        <v>10471909</v>
      </c>
      <c r="N37" s="147">
        <f>+'Therm Sales Master'!P156</f>
        <v>5382227</v>
      </c>
      <c r="O37" s="147">
        <f>+'Therm Sales Master'!Q156</f>
        <v>982292</v>
      </c>
      <c r="P37" s="148">
        <f>+'Therm Sales Master'!R156</f>
        <v>0</v>
      </c>
      <c r="R37" s="147">
        <f t="shared" si="5"/>
        <v>86995469</v>
      </c>
    </row>
    <row r="38" spans="1:19" hidden="1" x14ac:dyDescent="0.2">
      <c r="A38" s="145">
        <v>44286</v>
      </c>
      <c r="B38" s="146">
        <f>+'Therm Sales Master'!B157</f>
        <v>19676756</v>
      </c>
      <c r="C38" s="147">
        <f>+'Therm Sales Master'!D157</f>
        <v>0</v>
      </c>
      <c r="D38" s="147">
        <f>+'Therm Sales Master'!E157</f>
        <v>1362750</v>
      </c>
      <c r="E38" s="148">
        <f>+'Therm Sales Master'!F157</f>
        <v>456093</v>
      </c>
      <c r="F38" s="147">
        <f>+'Therm Sales Master'!G157</f>
        <v>3998</v>
      </c>
      <c r="G38" s="147">
        <f>+'Therm Sales Master'!H157</f>
        <v>13158991</v>
      </c>
      <c r="H38" s="148">
        <f>+'Therm Sales Master'!J157</f>
        <v>1484437</v>
      </c>
      <c r="I38" s="147">
        <f>+'Therm Sales Master'!K157</f>
        <v>0</v>
      </c>
      <c r="J38" s="148">
        <f>+'Therm Sales Master'!L157</f>
        <v>0</v>
      </c>
      <c r="K38" s="146">
        <f>+'Therm Sales Master'!M157</f>
        <v>234583</v>
      </c>
      <c r="L38" s="146">
        <f>+'Therm Sales Master'!N157</f>
        <v>38737982</v>
      </c>
      <c r="M38" s="147">
        <f>+'Therm Sales Master'!O157</f>
        <v>15050505</v>
      </c>
      <c r="N38" s="147">
        <f>+'Therm Sales Master'!P157</f>
        <v>10973891</v>
      </c>
      <c r="O38" s="147">
        <f>+'Therm Sales Master'!Q157</f>
        <v>2069033</v>
      </c>
      <c r="P38" s="148">
        <f>+'Therm Sales Master'!R157</f>
        <v>0</v>
      </c>
      <c r="R38" s="147">
        <f t="shared" si="5"/>
        <v>103209019</v>
      </c>
    </row>
    <row r="39" spans="1:19" hidden="1" x14ac:dyDescent="0.2">
      <c r="A39" s="145">
        <v>44316</v>
      </c>
      <c r="B39" s="146">
        <f>+'Therm Sales Master'!B158</f>
        <v>13567783</v>
      </c>
      <c r="C39" s="147">
        <f>+'Therm Sales Master'!D158</f>
        <v>0</v>
      </c>
      <c r="D39" s="147">
        <f>+'Therm Sales Master'!E158</f>
        <v>1066951</v>
      </c>
      <c r="E39" s="148">
        <f>+'Therm Sales Master'!F158</f>
        <v>426217</v>
      </c>
      <c r="F39" s="147">
        <f>+'Therm Sales Master'!G158</f>
        <v>2200</v>
      </c>
      <c r="G39" s="147">
        <f>+'Therm Sales Master'!H158</f>
        <v>9154067</v>
      </c>
      <c r="H39" s="148">
        <f>+'Therm Sales Master'!J158</f>
        <v>1134637</v>
      </c>
      <c r="I39" s="147">
        <f>+'Therm Sales Master'!K158</f>
        <v>0</v>
      </c>
      <c r="J39" s="148">
        <f>+'Therm Sales Master'!L158</f>
        <v>0</v>
      </c>
      <c r="K39" s="146">
        <f>+'Therm Sales Master'!M158</f>
        <v>180576</v>
      </c>
      <c r="L39" s="146">
        <f>+'Therm Sales Master'!N158</f>
        <v>36210898</v>
      </c>
      <c r="M39" s="147">
        <f>+'Therm Sales Master'!O158</f>
        <v>6562711</v>
      </c>
      <c r="N39" s="147">
        <f>+'Therm Sales Master'!P158</f>
        <v>12896888</v>
      </c>
      <c r="O39" s="147">
        <f>+'Therm Sales Master'!Q158</f>
        <v>8378207</v>
      </c>
      <c r="P39" s="148">
        <f>+'Therm Sales Master'!R158</f>
        <v>0</v>
      </c>
      <c r="R39" s="147">
        <f t="shared" si="5"/>
        <v>89581135</v>
      </c>
    </row>
    <row r="40" spans="1:19" hidden="1" x14ac:dyDescent="0.2">
      <c r="A40" s="145">
        <v>44347</v>
      </c>
      <c r="B40" s="146">
        <f>+'Therm Sales Master'!B159</f>
        <v>6623364</v>
      </c>
      <c r="C40" s="147">
        <f>+'Therm Sales Master'!D159</f>
        <v>0</v>
      </c>
      <c r="D40" s="147">
        <f>+'Therm Sales Master'!E159</f>
        <v>680086</v>
      </c>
      <c r="E40" s="148">
        <f>+'Therm Sales Master'!F159</f>
        <v>286219</v>
      </c>
      <c r="F40" s="147">
        <f>+'Therm Sales Master'!G159</f>
        <v>3602</v>
      </c>
      <c r="G40" s="147">
        <f>+'Therm Sales Master'!H159</f>
        <v>4930955</v>
      </c>
      <c r="H40" s="148">
        <f>+'Therm Sales Master'!J159</f>
        <v>641375</v>
      </c>
      <c r="I40" s="147">
        <f>+'Therm Sales Master'!K159</f>
        <v>0</v>
      </c>
      <c r="J40" s="148">
        <f>+'Therm Sales Master'!L159</f>
        <v>0</v>
      </c>
      <c r="K40" s="146">
        <f>+'Therm Sales Master'!M159</f>
        <v>143789</v>
      </c>
      <c r="L40" s="146">
        <f>+'Therm Sales Master'!N159</f>
        <v>34143279</v>
      </c>
      <c r="M40" s="147">
        <f>+'Therm Sales Master'!O159</f>
        <v>364</v>
      </c>
      <c r="N40" s="147">
        <f>+'Therm Sales Master'!P159</f>
        <v>5871337</v>
      </c>
      <c r="O40" s="147">
        <f>+'Therm Sales Master'!Q159</f>
        <v>2903752</v>
      </c>
      <c r="P40" s="148">
        <f>+'Therm Sales Master'!R159</f>
        <v>0</v>
      </c>
      <c r="R40" s="147">
        <f t="shared" si="5"/>
        <v>56228122</v>
      </c>
    </row>
    <row r="41" spans="1:19" hidden="1" x14ac:dyDescent="0.2">
      <c r="A41" s="145">
        <v>44377</v>
      </c>
      <c r="B41" s="146">
        <f>+'Therm Sales Master'!B160</f>
        <v>5165480</v>
      </c>
      <c r="C41" s="147">
        <f>+'Therm Sales Master'!D160</f>
        <v>0</v>
      </c>
      <c r="D41" s="147">
        <f>+'Therm Sales Master'!E160</f>
        <v>585095</v>
      </c>
      <c r="E41" s="148">
        <f>+'Therm Sales Master'!F160</f>
        <v>448138</v>
      </c>
      <c r="F41" s="147">
        <f>+'Therm Sales Master'!G160</f>
        <v>1512</v>
      </c>
      <c r="G41" s="147">
        <f>+'Therm Sales Master'!H160</f>
        <v>4017478</v>
      </c>
      <c r="H41" s="148">
        <f>+'Therm Sales Master'!J160</f>
        <v>510200</v>
      </c>
      <c r="I41" s="147">
        <f>+'Therm Sales Master'!K160</f>
        <v>0</v>
      </c>
      <c r="J41" s="148">
        <f>+'Therm Sales Master'!L160</f>
        <v>0</v>
      </c>
      <c r="K41" s="146">
        <f>+'Therm Sales Master'!M160</f>
        <v>104510</v>
      </c>
      <c r="L41" s="146">
        <f>+'Therm Sales Master'!N160</f>
        <v>32699223</v>
      </c>
      <c r="M41" s="147">
        <f>+'Therm Sales Master'!O160</f>
        <v>10580854</v>
      </c>
      <c r="N41" s="147">
        <f>+'Therm Sales Master'!P160</f>
        <v>9297912</v>
      </c>
      <c r="O41" s="147">
        <f>+'Therm Sales Master'!Q160</f>
        <v>5368620</v>
      </c>
      <c r="P41" s="148">
        <f>+'Therm Sales Master'!R160</f>
        <v>0</v>
      </c>
      <c r="R41" s="147">
        <f t="shared" si="5"/>
        <v>68779022</v>
      </c>
    </row>
    <row r="42" spans="1:19" hidden="1" x14ac:dyDescent="0.2">
      <c r="A42" s="145">
        <v>44408</v>
      </c>
      <c r="B42" s="146">
        <f>+'Therm Sales Master'!B161</f>
        <v>3043741</v>
      </c>
      <c r="C42" s="147">
        <f>+'Therm Sales Master'!D161</f>
        <v>0</v>
      </c>
      <c r="D42" s="147">
        <f>+'Therm Sales Master'!E161</f>
        <v>496382</v>
      </c>
      <c r="E42" s="148">
        <f>+'Therm Sales Master'!F161</f>
        <v>260037</v>
      </c>
      <c r="F42" s="147">
        <f>+'Therm Sales Master'!G161</f>
        <v>1203</v>
      </c>
      <c r="G42" s="147">
        <f>+'Therm Sales Master'!H161</f>
        <v>2731524</v>
      </c>
      <c r="H42" s="148">
        <f>+'Therm Sales Master'!J161</f>
        <v>333326</v>
      </c>
      <c r="I42" s="147">
        <f>+'Therm Sales Master'!K161</f>
        <v>0</v>
      </c>
      <c r="J42" s="148">
        <f>+'Therm Sales Master'!L161</f>
        <v>0</v>
      </c>
      <c r="K42" s="146">
        <f>+'Therm Sales Master'!M161</f>
        <v>88811</v>
      </c>
      <c r="L42" s="146">
        <f>+'Therm Sales Master'!N161</f>
        <v>29641199</v>
      </c>
      <c r="M42" s="147">
        <f>+'Therm Sales Master'!O161</f>
        <v>14701743</v>
      </c>
      <c r="N42" s="147">
        <f>+'Therm Sales Master'!P161</f>
        <v>12217042</v>
      </c>
      <c r="O42" s="147">
        <f>+'Therm Sales Master'!Q161</f>
        <v>8620267</v>
      </c>
      <c r="P42" s="148">
        <f>+'Therm Sales Master'!R161</f>
        <v>0</v>
      </c>
      <c r="R42" s="147">
        <f t="shared" si="5"/>
        <v>72135275</v>
      </c>
    </row>
    <row r="43" spans="1:19" hidden="1" x14ac:dyDescent="0.2">
      <c r="A43" s="145">
        <v>44439</v>
      </c>
      <c r="B43" s="146">
        <f>+'Therm Sales Master'!B162</f>
        <v>2658664</v>
      </c>
      <c r="C43" s="147">
        <f>+'Therm Sales Master'!D162</f>
        <v>0</v>
      </c>
      <c r="D43" s="147">
        <f>+'Therm Sales Master'!E162</f>
        <v>465585</v>
      </c>
      <c r="E43" s="148">
        <f>+'Therm Sales Master'!F162</f>
        <v>315534</v>
      </c>
      <c r="F43" s="147">
        <f>+'Therm Sales Master'!G162</f>
        <v>1834</v>
      </c>
      <c r="G43" s="147">
        <f>+'Therm Sales Master'!H162</f>
        <v>2572912</v>
      </c>
      <c r="H43" s="148">
        <f>+'Therm Sales Master'!J162</f>
        <v>304207</v>
      </c>
      <c r="I43" s="147">
        <f>+'Therm Sales Master'!K162</f>
        <v>0</v>
      </c>
      <c r="J43" s="148">
        <f>+'Therm Sales Master'!L162</f>
        <v>0</v>
      </c>
      <c r="K43" s="146">
        <f>+'Therm Sales Master'!M162</f>
        <v>103033</v>
      </c>
      <c r="L43" s="146">
        <f>+'Therm Sales Master'!N162</f>
        <v>30352096</v>
      </c>
      <c r="M43" s="147">
        <f>+'Therm Sales Master'!O162</f>
        <v>14849398</v>
      </c>
      <c r="N43" s="147">
        <f>+'Therm Sales Master'!P162</f>
        <v>12371540</v>
      </c>
      <c r="O43" s="147">
        <f>+'Therm Sales Master'!Q162</f>
        <v>6769382</v>
      </c>
      <c r="P43" s="148">
        <f>+'Therm Sales Master'!R162</f>
        <v>0</v>
      </c>
      <c r="R43" s="147">
        <f t="shared" si="5"/>
        <v>70764185</v>
      </c>
    </row>
    <row r="44" spans="1:19" hidden="1" x14ac:dyDescent="0.2">
      <c r="A44" s="145">
        <v>44469</v>
      </c>
      <c r="B44" s="146">
        <f>+'Therm Sales Master'!B163</f>
        <v>3024586</v>
      </c>
      <c r="C44" s="147">
        <f>+'Therm Sales Master'!D163</f>
        <v>0</v>
      </c>
      <c r="D44" s="147">
        <f>+'Therm Sales Master'!E163</f>
        <v>585259</v>
      </c>
      <c r="E44" s="148">
        <f>+'Therm Sales Master'!F163</f>
        <v>292711</v>
      </c>
      <c r="F44" s="147">
        <f>+'Therm Sales Master'!G163</f>
        <v>2215</v>
      </c>
      <c r="G44" s="147">
        <f>+'Therm Sales Master'!H163</f>
        <v>2784423</v>
      </c>
      <c r="H44" s="148">
        <f>+'Therm Sales Master'!J163</f>
        <v>323275</v>
      </c>
      <c r="I44" s="147">
        <f>+'Therm Sales Master'!K163</f>
        <v>0</v>
      </c>
      <c r="J44" s="148">
        <f>+'Therm Sales Master'!L163</f>
        <v>0</v>
      </c>
      <c r="K44" s="146">
        <f>+'Therm Sales Master'!M163</f>
        <v>127498</v>
      </c>
      <c r="L44" s="146">
        <f>+'Therm Sales Master'!N163</f>
        <v>32241556</v>
      </c>
      <c r="M44" s="147">
        <f>+'Therm Sales Master'!O163</f>
        <v>13988315</v>
      </c>
      <c r="N44" s="147">
        <f>+'Therm Sales Master'!P163</f>
        <v>13923327</v>
      </c>
      <c r="O44" s="147">
        <f>+'Therm Sales Master'!Q163</f>
        <v>4570873</v>
      </c>
      <c r="P44" s="148">
        <f>+'Therm Sales Master'!R163</f>
        <v>0</v>
      </c>
      <c r="R44" s="147">
        <f t="shared" si="5"/>
        <v>71864038</v>
      </c>
    </row>
    <row r="45" spans="1:19" hidden="1" x14ac:dyDescent="0.2">
      <c r="A45" s="145">
        <v>44500</v>
      </c>
      <c r="B45" s="146">
        <f>+'Therm Sales Master'!B164</f>
        <v>5302722</v>
      </c>
      <c r="C45" s="147">
        <f>+'Therm Sales Master'!D164</f>
        <v>0</v>
      </c>
      <c r="D45" s="147">
        <f>+'Therm Sales Master'!E164</f>
        <v>1219426</v>
      </c>
      <c r="E45" s="148">
        <f>+'Therm Sales Master'!F164</f>
        <v>334722</v>
      </c>
      <c r="F45" s="147">
        <f>+'Therm Sales Master'!G164</f>
        <v>3066</v>
      </c>
      <c r="G45" s="147">
        <f>+'Therm Sales Master'!H164</f>
        <v>3968867</v>
      </c>
      <c r="H45" s="148">
        <f>+'Therm Sales Master'!J164</f>
        <v>529394</v>
      </c>
      <c r="I45" s="147">
        <f>+'Therm Sales Master'!K164</f>
        <v>0</v>
      </c>
      <c r="J45" s="148">
        <f>+'Therm Sales Master'!L164</f>
        <v>0</v>
      </c>
      <c r="K45" s="146">
        <f>+'Therm Sales Master'!M164</f>
        <v>188282</v>
      </c>
      <c r="L45" s="146">
        <f>+'Therm Sales Master'!N164</f>
        <v>36147853</v>
      </c>
      <c r="M45" s="147">
        <f>+'Therm Sales Master'!O164</f>
        <v>10167896</v>
      </c>
      <c r="N45" s="147">
        <f>+'Therm Sales Master'!P164</f>
        <v>10295353</v>
      </c>
      <c r="O45" s="147">
        <f>+'Therm Sales Master'!Q164</f>
        <v>4181139</v>
      </c>
      <c r="P45" s="148">
        <f>+'Therm Sales Master'!R164</f>
        <v>0</v>
      </c>
      <c r="R45" s="147">
        <f t="shared" si="5"/>
        <v>72338720</v>
      </c>
    </row>
    <row r="46" spans="1:19" x14ac:dyDescent="0.2">
      <c r="A46" s="145">
        <v>44530</v>
      </c>
      <c r="B46" s="146">
        <f>+'Therm Sales Master'!B165</f>
        <v>6875152</v>
      </c>
      <c r="C46" s="147">
        <f>+'Therm Sales Master'!D165</f>
        <v>0</v>
      </c>
      <c r="D46" s="147">
        <f>+'Therm Sales Master'!E165</f>
        <v>687044</v>
      </c>
      <c r="E46" s="148">
        <f>+'Therm Sales Master'!F165</f>
        <v>274192</v>
      </c>
      <c r="F46" s="147">
        <f>+'Therm Sales Master'!G165</f>
        <v>0</v>
      </c>
      <c r="G46" s="147">
        <f>+'Therm Sales Master'!H165</f>
        <v>4648667</v>
      </c>
      <c r="H46" s="148">
        <f>+'Therm Sales Master'!J165</f>
        <v>554223</v>
      </c>
      <c r="I46" s="147">
        <f>+'Therm Sales Master'!K165</f>
        <v>0</v>
      </c>
      <c r="J46" s="148">
        <f>+'Therm Sales Master'!L165</f>
        <v>0</v>
      </c>
      <c r="K46" s="146">
        <f>+'Therm Sales Master'!M165</f>
        <v>0</v>
      </c>
      <c r="L46" s="146">
        <f>+'Therm Sales Master'!N165</f>
        <v>0</v>
      </c>
      <c r="M46" s="147">
        <f>+'Therm Sales Master'!O165</f>
        <v>0</v>
      </c>
      <c r="N46" s="147">
        <f>+'Therm Sales Master'!P165</f>
        <v>0</v>
      </c>
      <c r="O46" s="147">
        <f>+'Therm Sales Master'!Q165</f>
        <v>305909</v>
      </c>
      <c r="P46" s="148">
        <f>+'Therm Sales Master'!R165</f>
        <v>0</v>
      </c>
      <c r="R46" s="147">
        <f t="shared" ref="R46:R58" si="6">SUM(B46:Q46)</f>
        <v>13345187</v>
      </c>
      <c r="S46" s="2" t="s">
        <v>45</v>
      </c>
    </row>
    <row r="47" spans="1:19" x14ac:dyDescent="0.2">
      <c r="A47" s="145">
        <v>44530</v>
      </c>
      <c r="B47" s="146">
        <f>+'Therm Sales Master'!B166</f>
        <v>3055417</v>
      </c>
      <c r="C47" s="147">
        <f>+'Therm Sales Master'!D166</f>
        <v>0</v>
      </c>
      <c r="D47" s="147">
        <f>+'Therm Sales Master'!E166</f>
        <v>241794</v>
      </c>
      <c r="E47" s="148">
        <f>+'Therm Sales Master'!F166</f>
        <v>98046</v>
      </c>
      <c r="F47" s="147">
        <f>+'Therm Sales Master'!G166</f>
        <v>5052</v>
      </c>
      <c r="G47" s="147">
        <f>+'Therm Sales Master'!H166</f>
        <v>1834948</v>
      </c>
      <c r="H47" s="148">
        <f>+'Therm Sales Master'!J166</f>
        <v>314142</v>
      </c>
      <c r="I47" s="147">
        <f>+'Therm Sales Master'!K166</f>
        <v>0</v>
      </c>
      <c r="J47" s="148">
        <f>+'Therm Sales Master'!L166</f>
        <v>0</v>
      </c>
      <c r="K47" s="146">
        <f>+'Therm Sales Master'!M166</f>
        <v>215369</v>
      </c>
      <c r="L47" s="146">
        <f>+'Therm Sales Master'!N166</f>
        <v>34679208</v>
      </c>
      <c r="M47" s="147">
        <f>+'Therm Sales Master'!O166</f>
        <v>13522374</v>
      </c>
      <c r="N47" s="147">
        <f>+'Therm Sales Master'!P166</f>
        <v>7960245</v>
      </c>
      <c r="O47" s="147">
        <f>+'Therm Sales Master'!Q166</f>
        <v>449463</v>
      </c>
      <c r="P47" s="148">
        <f>+'Therm Sales Master'!R166</f>
        <v>0</v>
      </c>
      <c r="R47" s="147">
        <f t="shared" si="6"/>
        <v>62376058</v>
      </c>
      <c r="S47" s="2" t="s">
        <v>46</v>
      </c>
    </row>
    <row r="48" spans="1:19" x14ac:dyDescent="0.2">
      <c r="A48" s="145">
        <v>44561</v>
      </c>
      <c r="B48" s="146">
        <f>+'Therm Sales Master'!B167</f>
        <v>16399782</v>
      </c>
      <c r="C48" s="147">
        <f>+'Therm Sales Master'!D167</f>
        <v>0</v>
      </c>
      <c r="D48" s="147">
        <f>+'Therm Sales Master'!E167</f>
        <v>1371971</v>
      </c>
      <c r="E48" s="148">
        <f>+'Therm Sales Master'!F167</f>
        <v>456838</v>
      </c>
      <c r="F48" s="147">
        <f>+'Therm Sales Master'!G167</f>
        <v>14032</v>
      </c>
      <c r="G48" s="147">
        <f>+'Therm Sales Master'!H167</f>
        <v>10769619</v>
      </c>
      <c r="H48" s="148">
        <f>+'Therm Sales Master'!J167</f>
        <v>1248673</v>
      </c>
      <c r="I48" s="147">
        <f>+'Therm Sales Master'!K167</f>
        <v>0</v>
      </c>
      <c r="J48" s="148">
        <f>+'Therm Sales Master'!L167</f>
        <v>0</v>
      </c>
      <c r="K48" s="146">
        <f>+'Therm Sales Master'!M167</f>
        <v>271190</v>
      </c>
      <c r="L48" s="146">
        <f>+'Therm Sales Master'!N167</f>
        <v>33971503</v>
      </c>
      <c r="M48" s="147">
        <f>+'Therm Sales Master'!O167</f>
        <v>10372937</v>
      </c>
      <c r="N48" s="147">
        <f>+'Therm Sales Master'!P167</f>
        <v>8559438</v>
      </c>
      <c r="O48" s="147">
        <f>+'Therm Sales Master'!Q167</f>
        <v>490739</v>
      </c>
      <c r="P48" s="148">
        <f>+'Therm Sales Master'!R167</f>
        <v>0</v>
      </c>
      <c r="R48" s="147">
        <f t="shared" si="6"/>
        <v>83926722</v>
      </c>
    </row>
    <row r="49" spans="1:18" x14ac:dyDescent="0.2">
      <c r="A49" s="145">
        <v>44592</v>
      </c>
      <c r="B49" s="146">
        <f>+'Therm Sales Master'!B168</f>
        <v>25738243</v>
      </c>
      <c r="C49" s="147">
        <f>+'Therm Sales Master'!D168</f>
        <v>0</v>
      </c>
      <c r="D49" s="147">
        <f>+'Therm Sales Master'!E168</f>
        <v>1704248</v>
      </c>
      <c r="E49" s="148">
        <f>+'Therm Sales Master'!F168</f>
        <v>503777</v>
      </c>
      <c r="F49" s="147">
        <f>+'Therm Sales Master'!G168</f>
        <v>12713</v>
      </c>
      <c r="G49" s="147">
        <f>+'Therm Sales Master'!H168</f>
        <v>17429567</v>
      </c>
      <c r="H49" s="148">
        <f>+'Therm Sales Master'!J168</f>
        <v>1933704</v>
      </c>
      <c r="I49" s="147">
        <f>+'Therm Sales Master'!K168</f>
        <v>0</v>
      </c>
      <c r="J49" s="148">
        <f>+'Therm Sales Master'!L168</f>
        <v>0</v>
      </c>
      <c r="K49" s="146">
        <f>+'Therm Sales Master'!M168</f>
        <v>257267</v>
      </c>
      <c r="L49" s="146">
        <f>+'Therm Sales Master'!N168</f>
        <v>39152740</v>
      </c>
      <c r="M49" s="147">
        <f>+'Therm Sales Master'!O168</f>
        <v>2783061</v>
      </c>
      <c r="N49" s="147">
        <f>+'Therm Sales Master'!P168</f>
        <v>5418332</v>
      </c>
      <c r="O49" s="147">
        <f>+'Therm Sales Master'!Q168</f>
        <v>479370</v>
      </c>
      <c r="P49" s="148">
        <f>+'Therm Sales Master'!R168</f>
        <v>0</v>
      </c>
      <c r="R49" s="147">
        <f t="shared" si="6"/>
        <v>95413022</v>
      </c>
    </row>
    <row r="50" spans="1:18" x14ac:dyDescent="0.2">
      <c r="A50" s="145">
        <v>44620</v>
      </c>
      <c r="B50" s="146">
        <f>+'Therm Sales Master'!B169</f>
        <v>19530273</v>
      </c>
      <c r="C50" s="147">
        <f>+'Therm Sales Master'!D169</f>
        <v>0</v>
      </c>
      <c r="D50" s="147">
        <f>+'Therm Sales Master'!E169</f>
        <v>1365177</v>
      </c>
      <c r="E50" s="148">
        <f>+'Therm Sales Master'!F169</f>
        <v>438477</v>
      </c>
      <c r="F50" s="147">
        <f>+'Therm Sales Master'!G169</f>
        <v>6643</v>
      </c>
      <c r="G50" s="147">
        <f>+'Therm Sales Master'!H169</f>
        <v>13856753</v>
      </c>
      <c r="H50" s="148">
        <f>+'Therm Sales Master'!J169</f>
        <v>1383449</v>
      </c>
      <c r="I50" s="147">
        <f>+'Therm Sales Master'!K169</f>
        <v>0</v>
      </c>
      <c r="J50" s="148">
        <f>+'Therm Sales Master'!L169</f>
        <v>0</v>
      </c>
      <c r="K50" s="146">
        <f>+'Therm Sales Master'!M169</f>
        <v>227538</v>
      </c>
      <c r="L50" s="146">
        <f>+'Therm Sales Master'!N169</f>
        <v>35167746</v>
      </c>
      <c r="M50" s="147">
        <f>+'Therm Sales Master'!O169</f>
        <v>8980650</v>
      </c>
      <c r="N50" s="147">
        <f>+'Therm Sales Master'!P169</f>
        <v>3610543</v>
      </c>
      <c r="O50" s="147">
        <f>+'Therm Sales Master'!Q169</f>
        <v>449992</v>
      </c>
      <c r="P50" s="148">
        <f>+'Therm Sales Master'!R169</f>
        <v>0</v>
      </c>
      <c r="R50" s="147">
        <f t="shared" si="6"/>
        <v>85017241</v>
      </c>
    </row>
    <row r="51" spans="1:18" x14ac:dyDescent="0.2">
      <c r="A51" s="145">
        <v>44651</v>
      </c>
      <c r="B51" s="146">
        <f>+'Therm Sales Master'!B170</f>
        <v>18863108</v>
      </c>
      <c r="C51" s="147">
        <f>+'Therm Sales Master'!D170</f>
        <v>0</v>
      </c>
      <c r="D51" s="147">
        <f>+'Therm Sales Master'!E170</f>
        <v>1544890</v>
      </c>
      <c r="E51" s="148">
        <f>+'Therm Sales Master'!F170</f>
        <v>507616</v>
      </c>
      <c r="F51" s="147">
        <f>+'Therm Sales Master'!G170</f>
        <v>5669</v>
      </c>
      <c r="G51" s="147">
        <f>+'Therm Sales Master'!H170</f>
        <v>13353929</v>
      </c>
      <c r="H51" s="148">
        <f>+'Therm Sales Master'!J170</f>
        <v>1387408</v>
      </c>
      <c r="I51" s="147">
        <f>+'Therm Sales Master'!K170</f>
        <v>0</v>
      </c>
      <c r="J51" s="148">
        <f>+'Therm Sales Master'!L170</f>
        <v>0</v>
      </c>
      <c r="K51" s="146">
        <f>+'Therm Sales Master'!M170</f>
        <v>220931</v>
      </c>
      <c r="L51" s="146">
        <f>+'Therm Sales Master'!N170</f>
        <v>37545657</v>
      </c>
      <c r="M51" s="147">
        <f>+'Therm Sales Master'!O170</f>
        <v>10732336</v>
      </c>
      <c r="N51" s="147">
        <f>+'Therm Sales Master'!P170</f>
        <v>399625</v>
      </c>
      <c r="O51" s="147">
        <f>+'Therm Sales Master'!Q170</f>
        <v>162178</v>
      </c>
      <c r="P51" s="148">
        <f>+'Therm Sales Master'!R170</f>
        <v>0</v>
      </c>
      <c r="R51" s="147">
        <f t="shared" si="6"/>
        <v>84723347</v>
      </c>
    </row>
    <row r="52" spans="1:18" x14ac:dyDescent="0.2">
      <c r="A52" s="145">
        <v>44681</v>
      </c>
      <c r="B52" s="146">
        <f>+'Therm Sales Master'!B171</f>
        <v>12434900</v>
      </c>
      <c r="C52" s="147">
        <f>+'Therm Sales Master'!D171</f>
        <v>0</v>
      </c>
      <c r="D52" s="147">
        <f>+'Therm Sales Master'!E171</f>
        <v>1036159</v>
      </c>
      <c r="E52" s="148">
        <f>+'Therm Sales Master'!F171</f>
        <v>377750</v>
      </c>
      <c r="F52" s="147">
        <f>+'Therm Sales Master'!G171</f>
        <v>10961</v>
      </c>
      <c r="G52" s="147">
        <f>+'Therm Sales Master'!H171</f>
        <v>8644689</v>
      </c>
      <c r="H52" s="148">
        <f>+'Therm Sales Master'!J171</f>
        <v>982514</v>
      </c>
      <c r="I52" s="147">
        <f>+'Therm Sales Master'!K171</f>
        <v>0</v>
      </c>
      <c r="J52" s="148">
        <f>+'Therm Sales Master'!L171</f>
        <v>0</v>
      </c>
      <c r="K52" s="146">
        <f>+'Therm Sales Master'!M171</f>
        <v>211682</v>
      </c>
      <c r="L52" s="146">
        <f>+'Therm Sales Master'!N171</f>
        <v>37240011</v>
      </c>
      <c r="M52" s="147">
        <f>+'Therm Sales Master'!O171</f>
        <v>8681518</v>
      </c>
      <c r="N52" s="147">
        <f>+'Therm Sales Master'!P171</f>
        <v>0</v>
      </c>
      <c r="O52" s="147">
        <f>+'Therm Sales Master'!Q171</f>
        <v>4411828</v>
      </c>
      <c r="P52" s="148">
        <f>+'Therm Sales Master'!R171</f>
        <v>0</v>
      </c>
      <c r="R52" s="147">
        <f t="shared" si="6"/>
        <v>74032012</v>
      </c>
    </row>
    <row r="53" spans="1:18" x14ac:dyDescent="0.2">
      <c r="A53" s="145">
        <v>44712</v>
      </c>
      <c r="B53" s="146">
        <f>+'Therm Sales Master'!B172</f>
        <v>10496103</v>
      </c>
      <c r="C53" s="147">
        <f>+'Therm Sales Master'!D172</f>
        <v>0</v>
      </c>
      <c r="D53" s="147">
        <f>+'Therm Sales Master'!E172</f>
        <v>1008957</v>
      </c>
      <c r="E53" s="148">
        <f>+'Therm Sales Master'!F172</f>
        <v>328009</v>
      </c>
      <c r="F53" s="147">
        <f>+'Therm Sales Master'!G172</f>
        <v>5884</v>
      </c>
      <c r="G53" s="147">
        <f>+'Therm Sales Master'!H172</f>
        <v>7572813</v>
      </c>
      <c r="H53" s="148">
        <f>+'Therm Sales Master'!J172</f>
        <v>860586</v>
      </c>
      <c r="I53" s="147">
        <f>+'Therm Sales Master'!K172</f>
        <v>0</v>
      </c>
      <c r="J53" s="148">
        <f>+'Therm Sales Master'!L172</f>
        <v>0</v>
      </c>
      <c r="K53" s="146">
        <f>+'Therm Sales Master'!M172</f>
        <v>179840</v>
      </c>
      <c r="L53" s="146">
        <f>+'Therm Sales Master'!N172</f>
        <v>35254347</v>
      </c>
      <c r="M53" s="147">
        <f>+'Therm Sales Master'!O172</f>
        <v>6981169</v>
      </c>
      <c r="N53" s="147">
        <f>+'Therm Sales Master'!P172</f>
        <v>0</v>
      </c>
      <c r="O53" s="147">
        <f>+'Therm Sales Master'!Q172</f>
        <v>782753</v>
      </c>
      <c r="P53" s="148">
        <f>+'Therm Sales Master'!R172</f>
        <v>0</v>
      </c>
      <c r="R53" s="147">
        <f t="shared" si="6"/>
        <v>63470461</v>
      </c>
    </row>
    <row r="54" spans="1:18" x14ac:dyDescent="0.2">
      <c r="A54" s="145">
        <v>44742</v>
      </c>
      <c r="B54" s="146">
        <f>+'Therm Sales Master'!B173</f>
        <v>6329476</v>
      </c>
      <c r="C54" s="147">
        <f>+'Therm Sales Master'!D173</f>
        <v>0</v>
      </c>
      <c r="D54" s="147">
        <f>+'Therm Sales Master'!E173</f>
        <v>757107</v>
      </c>
      <c r="E54" s="148">
        <f>+'Therm Sales Master'!F173</f>
        <v>387432</v>
      </c>
      <c r="F54" s="147">
        <f>+'Therm Sales Master'!G173</f>
        <v>2608</v>
      </c>
      <c r="G54" s="147">
        <f>+'Therm Sales Master'!H173</f>
        <v>4956571</v>
      </c>
      <c r="H54" s="148">
        <f>+'Therm Sales Master'!J173</f>
        <v>590255</v>
      </c>
      <c r="I54" s="147">
        <f>+'Therm Sales Master'!K173</f>
        <v>0</v>
      </c>
      <c r="J54" s="148">
        <f>+'Therm Sales Master'!L173</f>
        <v>0</v>
      </c>
      <c r="K54" s="146">
        <f>+'Therm Sales Master'!M173</f>
        <v>115112</v>
      </c>
      <c r="L54" s="146">
        <f>+'Therm Sales Master'!N173</f>
        <v>31295997</v>
      </c>
      <c r="M54" s="147">
        <f>+'Therm Sales Master'!O173</f>
        <v>1361467</v>
      </c>
      <c r="N54" s="147">
        <f>+'Therm Sales Master'!P173</f>
        <v>1217442</v>
      </c>
      <c r="O54" s="147">
        <f>+'Therm Sales Master'!Q173</f>
        <v>621285</v>
      </c>
      <c r="P54" s="148">
        <f>+'Therm Sales Master'!R173</f>
        <v>0</v>
      </c>
      <c r="R54" s="147">
        <f t="shared" si="6"/>
        <v>47634752</v>
      </c>
    </row>
    <row r="55" spans="1:18" x14ac:dyDescent="0.2">
      <c r="A55" s="145">
        <v>44773</v>
      </c>
      <c r="B55" s="168">
        <f>+'Therm Sales Master'!B174-'Therm Sales Master'!C58</f>
        <v>3569632</v>
      </c>
      <c r="C55" s="169">
        <f>+'Therm Sales Master'!D174</f>
        <v>0</v>
      </c>
      <c r="D55" s="169">
        <f>+'Therm Sales Master'!E174</f>
        <v>510625</v>
      </c>
      <c r="E55" s="170">
        <f>+'Therm Sales Master'!F174</f>
        <v>380485</v>
      </c>
      <c r="F55" s="169">
        <f>+'Therm Sales Master'!G174</f>
        <v>1405</v>
      </c>
      <c r="G55" s="169">
        <f>+'Therm Sales Master'!H174-'Therm Sales Master'!I58</f>
        <v>3138892</v>
      </c>
      <c r="H55" s="148">
        <f>+'Therm Sales Master'!J174</f>
        <v>362939</v>
      </c>
      <c r="I55" s="147">
        <f>+'Therm Sales Master'!K174</f>
        <v>0</v>
      </c>
      <c r="J55" s="148">
        <f>+'Therm Sales Master'!L174</f>
        <v>0</v>
      </c>
      <c r="K55" s="146">
        <f>+'Therm Sales Master'!M174</f>
        <v>88882</v>
      </c>
      <c r="L55" s="146">
        <f>+'Therm Sales Master'!N174</f>
        <v>29720370</v>
      </c>
      <c r="M55" s="147">
        <f>+'Therm Sales Master'!O174</f>
        <v>13174665</v>
      </c>
      <c r="N55" s="147">
        <f>+'Therm Sales Master'!P174</f>
        <v>7356565</v>
      </c>
      <c r="O55" s="147">
        <f>+'Therm Sales Master'!Q174</f>
        <v>0</v>
      </c>
      <c r="P55" s="148">
        <f>+'Therm Sales Master'!R174</f>
        <v>0</v>
      </c>
      <c r="R55" s="147">
        <f t="shared" si="6"/>
        <v>58304460</v>
      </c>
    </row>
    <row r="56" spans="1:18" x14ac:dyDescent="0.2">
      <c r="A56" s="145">
        <v>44804</v>
      </c>
      <c r="B56" s="164">
        <f>+'Therm Sales Master'!B175</f>
        <v>2930210</v>
      </c>
      <c r="C56" s="147">
        <f>+'Therm Sales Master'!D175</f>
        <v>0</v>
      </c>
      <c r="D56" s="147">
        <f>+'Therm Sales Master'!E175</f>
        <v>477547</v>
      </c>
      <c r="E56" s="148">
        <f>+'Therm Sales Master'!F175</f>
        <v>353311</v>
      </c>
      <c r="F56" s="147">
        <f>+'Therm Sales Master'!G175</f>
        <v>1532</v>
      </c>
      <c r="G56" s="165">
        <f>+'Therm Sales Master'!H175</f>
        <v>2963491</v>
      </c>
      <c r="H56" s="148">
        <f>+'Therm Sales Master'!J175</f>
        <v>333423</v>
      </c>
      <c r="I56" s="147">
        <f>+'Therm Sales Master'!K175</f>
        <v>0</v>
      </c>
      <c r="J56" s="148">
        <f>+'Therm Sales Master'!L175</f>
        <v>0</v>
      </c>
      <c r="K56" s="146">
        <f>+'Therm Sales Master'!M175</f>
        <v>101586</v>
      </c>
      <c r="L56" s="146">
        <f>+'Therm Sales Master'!N175</f>
        <v>33186006</v>
      </c>
      <c r="M56" s="147">
        <f>+'Therm Sales Master'!O175</f>
        <v>18226302</v>
      </c>
      <c r="N56" s="147">
        <f>+'Therm Sales Master'!P175</f>
        <v>10655816</v>
      </c>
      <c r="O56" s="147">
        <f>+'Therm Sales Master'!Q175</f>
        <v>0</v>
      </c>
      <c r="P56" s="148">
        <f>+'Therm Sales Master'!R175</f>
        <v>0</v>
      </c>
      <c r="R56" s="147">
        <f t="shared" si="6"/>
        <v>69229224</v>
      </c>
    </row>
    <row r="57" spans="1:18" x14ac:dyDescent="0.2">
      <c r="A57" s="145">
        <v>44834</v>
      </c>
      <c r="B57" s="164">
        <f>+'Therm Sales Master'!B176</f>
        <v>-1269341</v>
      </c>
      <c r="C57" s="147">
        <f>+'Therm Sales Master'!D176</f>
        <v>0</v>
      </c>
      <c r="D57" s="147">
        <f>+'Therm Sales Master'!E176</f>
        <v>0</v>
      </c>
      <c r="E57" s="148">
        <f>+'Therm Sales Master'!F176</f>
        <v>0</v>
      </c>
      <c r="F57" s="147">
        <f>+'Therm Sales Master'!G176</f>
        <v>-1532</v>
      </c>
      <c r="G57" s="165">
        <f>+'Therm Sales Master'!H176</f>
        <v>-1362124</v>
      </c>
      <c r="H57" s="148">
        <f>+'Therm Sales Master'!J176</f>
        <v>-7349</v>
      </c>
      <c r="I57" s="147">
        <f>+'Therm Sales Master'!K176</f>
        <v>0</v>
      </c>
      <c r="J57" s="148">
        <f>+'Therm Sales Master'!L176</f>
        <v>0</v>
      </c>
      <c r="K57" s="146">
        <f>+'Therm Sales Master'!M176</f>
        <v>-101586</v>
      </c>
      <c r="L57" s="146">
        <f>+'Therm Sales Master'!N176</f>
        <v>-33186006</v>
      </c>
      <c r="M57" s="147">
        <f>+'Therm Sales Master'!O176</f>
        <v>-18226302</v>
      </c>
      <c r="N57" s="147">
        <f>+'Therm Sales Master'!P176</f>
        <v>-10655816</v>
      </c>
      <c r="O57" s="147">
        <f>+'Therm Sales Master'!Q176</f>
        <v>0</v>
      </c>
      <c r="P57" s="148">
        <f>+'Therm Sales Master'!R176</f>
        <v>0</v>
      </c>
      <c r="R57" s="147">
        <f t="shared" si="6"/>
        <v>-64810056</v>
      </c>
    </row>
    <row r="58" spans="1:18" x14ac:dyDescent="0.2">
      <c r="A58" s="145">
        <v>44865</v>
      </c>
      <c r="B58" s="164">
        <f>+'Therm Sales Master'!B177</f>
        <v>0</v>
      </c>
      <c r="C58" s="147">
        <f>+'Therm Sales Master'!D177</f>
        <v>0</v>
      </c>
      <c r="D58" s="147">
        <f>+'Therm Sales Master'!E177</f>
        <v>0</v>
      </c>
      <c r="E58" s="148">
        <f>+'Therm Sales Master'!F177</f>
        <v>0</v>
      </c>
      <c r="F58" s="147">
        <f>+'Therm Sales Master'!G177</f>
        <v>0</v>
      </c>
      <c r="G58" s="165">
        <f>+'Therm Sales Master'!H177</f>
        <v>0</v>
      </c>
      <c r="H58" s="148">
        <f>+'Therm Sales Master'!J177</f>
        <v>0</v>
      </c>
      <c r="I58" s="147">
        <f>+'Therm Sales Master'!K177</f>
        <v>0</v>
      </c>
      <c r="J58" s="148">
        <f>+'Therm Sales Master'!L177</f>
        <v>0</v>
      </c>
      <c r="K58" s="146">
        <f>+'Therm Sales Master'!M177</f>
        <v>0</v>
      </c>
      <c r="L58" s="146">
        <f>+'Therm Sales Master'!N177</f>
        <v>0</v>
      </c>
      <c r="M58" s="147">
        <f>+'Therm Sales Master'!O177</f>
        <v>0</v>
      </c>
      <c r="N58" s="147">
        <f>+'Therm Sales Master'!P177</f>
        <v>0</v>
      </c>
      <c r="O58" s="147">
        <f>+'Therm Sales Master'!Q177</f>
        <v>0</v>
      </c>
      <c r="P58" s="148">
        <f>+'Therm Sales Master'!R177</f>
        <v>0</v>
      </c>
      <c r="R58" s="147">
        <f t="shared" si="6"/>
        <v>0</v>
      </c>
    </row>
    <row r="59" spans="1:18" x14ac:dyDescent="0.2">
      <c r="A59" s="145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R59" s="149"/>
    </row>
    <row r="60" spans="1:18" x14ac:dyDescent="0.2">
      <c r="B60" s="150"/>
      <c r="C60" s="150"/>
      <c r="D60" s="150"/>
      <c r="E60" s="150"/>
      <c r="F60" s="150"/>
      <c r="G60" s="150"/>
      <c r="H60" s="150"/>
      <c r="I60" s="150"/>
      <c r="J60" s="150"/>
      <c r="K60" s="25"/>
      <c r="L60" s="25"/>
      <c r="M60" s="25"/>
      <c r="N60" s="25"/>
      <c r="O60" s="25"/>
      <c r="P60" s="25"/>
    </row>
    <row r="61" spans="1:18" x14ac:dyDescent="0.2">
      <c r="B61" s="139">
        <v>503</v>
      </c>
      <c r="C61" s="139" t="s">
        <v>38</v>
      </c>
      <c r="D61" s="139">
        <v>505</v>
      </c>
      <c r="E61" s="139">
        <v>511</v>
      </c>
      <c r="F61" s="139" t="s">
        <v>39</v>
      </c>
      <c r="G61" s="139">
        <v>504</v>
      </c>
      <c r="H61" s="139" t="s">
        <v>41</v>
      </c>
      <c r="I61" s="139" t="s">
        <v>38</v>
      </c>
      <c r="J61" s="139">
        <v>570</v>
      </c>
      <c r="K61" s="139">
        <v>570</v>
      </c>
      <c r="L61" s="142" t="s">
        <v>42</v>
      </c>
      <c r="M61" s="142">
        <v>6631</v>
      </c>
      <c r="N61" s="142">
        <v>6633</v>
      </c>
      <c r="O61" s="142">
        <v>6635</v>
      </c>
      <c r="P61" s="142">
        <v>916</v>
      </c>
    </row>
    <row r="62" spans="1:18" hidden="1" x14ac:dyDescent="0.2">
      <c r="A62" s="145">
        <v>43343</v>
      </c>
      <c r="B62" s="151">
        <v>-7.6000000000000004E-4</v>
      </c>
      <c r="C62" s="151">
        <v>-3.6999999999999999E-4</v>
      </c>
      <c r="D62" s="151">
        <v>-3.6999999999999999E-4</v>
      </c>
      <c r="E62" s="151">
        <v>-2.9999999999999997E-4</v>
      </c>
      <c r="F62" s="151">
        <v>-5.8E-4</v>
      </c>
      <c r="G62" s="151">
        <v>-5.8E-4</v>
      </c>
      <c r="H62" s="151">
        <v>-2.9999999999999997E-4</v>
      </c>
      <c r="I62" s="151">
        <v>-3.6999999999999999E-4</v>
      </c>
      <c r="J62" s="151">
        <v>-1.1E-4</v>
      </c>
      <c r="K62" s="151">
        <v>-1.1E-4</v>
      </c>
      <c r="L62" s="152">
        <v>-6.9999999999999994E-5</v>
      </c>
      <c r="M62" s="152">
        <v>-6.9999999999999994E-5</v>
      </c>
      <c r="N62" s="152">
        <v>-6.9999999999999994E-5</v>
      </c>
      <c r="O62" s="152">
        <v>-6.9999999999999994E-5</v>
      </c>
      <c r="P62" s="152">
        <v>-6.9999999999999994E-5</v>
      </c>
    </row>
    <row r="63" spans="1:18" hidden="1" x14ac:dyDescent="0.2">
      <c r="A63" s="145">
        <v>43373</v>
      </c>
      <c r="B63" s="151">
        <v>-7.6000000000000004E-4</v>
      </c>
      <c r="C63" s="151">
        <v>-3.6999999999999999E-4</v>
      </c>
      <c r="D63" s="151">
        <v>-3.6999999999999999E-4</v>
      </c>
      <c r="E63" s="151">
        <v>-2.9999999999999997E-4</v>
      </c>
      <c r="F63" s="151">
        <v>-5.8E-4</v>
      </c>
      <c r="G63" s="151">
        <v>-5.8E-4</v>
      </c>
      <c r="H63" s="151">
        <v>-2.9999999999999997E-4</v>
      </c>
      <c r="I63" s="151">
        <v>-3.6999999999999999E-4</v>
      </c>
      <c r="J63" s="151">
        <v>-1.1E-4</v>
      </c>
      <c r="K63" s="151">
        <v>-1.1E-4</v>
      </c>
      <c r="L63" s="152">
        <v>-6.9999999999999994E-5</v>
      </c>
      <c r="M63" s="152">
        <v>-6.9999999999999994E-5</v>
      </c>
      <c r="N63" s="152">
        <v>-6.9999999999999994E-5</v>
      </c>
      <c r="O63" s="152">
        <v>-6.9999999999999994E-5</v>
      </c>
      <c r="P63" s="152">
        <v>-6.9999999999999994E-5</v>
      </c>
    </row>
    <row r="64" spans="1:18" hidden="1" x14ac:dyDescent="0.2">
      <c r="A64" s="145">
        <v>43404</v>
      </c>
      <c r="B64" s="151">
        <v>-7.6000000000000004E-4</v>
      </c>
      <c r="C64" s="151">
        <v>-3.6999999999999999E-4</v>
      </c>
      <c r="D64" s="151">
        <v>-3.6999999999999999E-4</v>
      </c>
      <c r="E64" s="151">
        <v>-2.9999999999999997E-4</v>
      </c>
      <c r="F64" s="151">
        <v>-5.8E-4</v>
      </c>
      <c r="G64" s="151">
        <v>-5.8E-4</v>
      </c>
      <c r="H64" s="151">
        <v>-2.9999999999999997E-4</v>
      </c>
      <c r="I64" s="151">
        <v>-3.6999999999999999E-4</v>
      </c>
      <c r="J64" s="151">
        <v>-1.1E-4</v>
      </c>
      <c r="K64" s="151">
        <v>-1.1E-4</v>
      </c>
      <c r="L64" s="152">
        <v>-6.9999999999999994E-5</v>
      </c>
      <c r="M64" s="152">
        <v>-6.9999999999999994E-5</v>
      </c>
      <c r="N64" s="152">
        <v>-6.9999999999999994E-5</v>
      </c>
      <c r="O64" s="152">
        <v>-6.9999999999999994E-5</v>
      </c>
      <c r="P64" s="152">
        <v>-6.9999999999999994E-5</v>
      </c>
      <c r="R64" s="2" t="s">
        <v>45</v>
      </c>
    </row>
    <row r="65" spans="1:19" hidden="1" x14ac:dyDescent="0.2">
      <c r="A65" s="145">
        <v>43434</v>
      </c>
      <c r="B65" s="151">
        <v>-8.1999999999999998E-4</v>
      </c>
      <c r="C65" s="151">
        <v>-4.0000000000000002E-4</v>
      </c>
      <c r="D65" s="151">
        <v>-4.0000000000000002E-4</v>
      </c>
      <c r="E65" s="151">
        <v>-3.3E-4</v>
      </c>
      <c r="F65" s="151">
        <v>-6.3000000000000003E-4</v>
      </c>
      <c r="G65" s="151">
        <v>-6.3000000000000003E-4</v>
      </c>
      <c r="H65" s="151">
        <v>-3.3E-4</v>
      </c>
      <c r="I65" s="151">
        <v>-4.0000000000000002E-4</v>
      </c>
      <c r="J65" s="151">
        <v>-1.2E-4</v>
      </c>
      <c r="K65" s="151">
        <v>-1.2E-4</v>
      </c>
      <c r="L65" s="152">
        <v>-6.9999999999999994E-5</v>
      </c>
      <c r="M65" s="152">
        <v>-6.9999999999999994E-5</v>
      </c>
      <c r="N65" s="152">
        <v>-6.9999999999999994E-5</v>
      </c>
      <c r="O65" s="152">
        <v>-6.9999999999999994E-5</v>
      </c>
      <c r="P65" s="152">
        <v>-6.9999999999999994E-5</v>
      </c>
      <c r="R65" s="2" t="s">
        <v>46</v>
      </c>
      <c r="S65" s="2" t="s">
        <v>105</v>
      </c>
    </row>
    <row r="66" spans="1:19" hidden="1" x14ac:dyDescent="0.2">
      <c r="A66" s="145">
        <v>43465</v>
      </c>
      <c r="B66" s="151">
        <v>-8.1999999999999998E-4</v>
      </c>
      <c r="C66" s="151">
        <v>-4.0000000000000002E-4</v>
      </c>
      <c r="D66" s="151">
        <v>-4.0000000000000002E-4</v>
      </c>
      <c r="E66" s="151">
        <v>-3.3E-4</v>
      </c>
      <c r="F66" s="151">
        <v>-6.3000000000000003E-4</v>
      </c>
      <c r="G66" s="151">
        <v>-6.3000000000000003E-4</v>
      </c>
      <c r="H66" s="151">
        <v>-3.3E-4</v>
      </c>
      <c r="I66" s="151">
        <v>-4.0000000000000002E-4</v>
      </c>
      <c r="J66" s="151">
        <v>-1.2E-4</v>
      </c>
      <c r="K66" s="151">
        <v>-1.2E-4</v>
      </c>
      <c r="L66" s="152">
        <v>-6.9999999999999994E-5</v>
      </c>
      <c r="M66" s="152">
        <v>-6.9999999999999994E-5</v>
      </c>
      <c r="N66" s="152">
        <v>-6.9999999999999994E-5</v>
      </c>
      <c r="O66" s="152">
        <v>-6.9999999999999994E-5</v>
      </c>
      <c r="P66" s="152">
        <v>-6.9999999999999994E-5</v>
      </c>
    </row>
    <row r="67" spans="1:19" hidden="1" x14ac:dyDescent="0.2">
      <c r="A67" s="145">
        <v>43496</v>
      </c>
      <c r="B67" s="151">
        <v>-8.1999999999999998E-4</v>
      </c>
      <c r="C67" s="151">
        <v>-4.0000000000000002E-4</v>
      </c>
      <c r="D67" s="151">
        <v>-4.0000000000000002E-4</v>
      </c>
      <c r="E67" s="151">
        <v>-3.3E-4</v>
      </c>
      <c r="F67" s="151">
        <v>-6.3000000000000003E-4</v>
      </c>
      <c r="G67" s="151">
        <v>-6.3000000000000003E-4</v>
      </c>
      <c r="H67" s="151">
        <v>-3.3E-4</v>
      </c>
      <c r="I67" s="151">
        <v>-4.0000000000000002E-4</v>
      </c>
      <c r="J67" s="151">
        <v>-1.2E-4</v>
      </c>
      <c r="K67" s="151">
        <v>-1.2E-4</v>
      </c>
      <c r="L67" s="152">
        <v>-6.9999999999999994E-5</v>
      </c>
      <c r="M67" s="152">
        <v>-6.9999999999999994E-5</v>
      </c>
      <c r="N67" s="152">
        <v>-6.9999999999999994E-5</v>
      </c>
      <c r="O67" s="152">
        <v>-6.9999999999999994E-5</v>
      </c>
      <c r="P67" s="152">
        <v>-6.9999999999999994E-5</v>
      </c>
    </row>
    <row r="68" spans="1:19" hidden="1" x14ac:dyDescent="0.2">
      <c r="A68" s="145">
        <v>43524</v>
      </c>
      <c r="B68" s="151">
        <v>-8.1999999999999998E-4</v>
      </c>
      <c r="C68" s="151">
        <v>-4.0000000000000002E-4</v>
      </c>
      <c r="D68" s="151">
        <v>-4.0000000000000002E-4</v>
      </c>
      <c r="E68" s="151">
        <v>-3.3E-4</v>
      </c>
      <c r="F68" s="151">
        <v>-6.3000000000000003E-4</v>
      </c>
      <c r="G68" s="151">
        <v>-6.3000000000000003E-4</v>
      </c>
      <c r="H68" s="151">
        <v>-3.3E-4</v>
      </c>
      <c r="I68" s="151">
        <v>-4.0000000000000002E-4</v>
      </c>
      <c r="J68" s="151">
        <v>-1.2E-4</v>
      </c>
      <c r="K68" s="151">
        <v>-1.2E-4</v>
      </c>
      <c r="L68" s="152">
        <v>-6.9999999999999994E-5</v>
      </c>
      <c r="M68" s="152">
        <v>-6.9999999999999994E-5</v>
      </c>
      <c r="N68" s="152">
        <v>-6.9999999999999994E-5</v>
      </c>
      <c r="O68" s="152">
        <v>-6.9999999999999994E-5</v>
      </c>
      <c r="P68" s="152">
        <v>-6.9999999999999994E-5</v>
      </c>
    </row>
    <row r="69" spans="1:19" hidden="1" x14ac:dyDescent="0.2">
      <c r="A69" s="145">
        <v>43555</v>
      </c>
      <c r="B69" s="151">
        <v>-8.1999999999999998E-4</v>
      </c>
      <c r="C69" s="151">
        <v>-4.0000000000000002E-4</v>
      </c>
      <c r="D69" s="151">
        <v>-4.0000000000000002E-4</v>
      </c>
      <c r="E69" s="151">
        <v>-3.3E-4</v>
      </c>
      <c r="F69" s="151">
        <v>-6.3000000000000003E-4</v>
      </c>
      <c r="G69" s="151">
        <v>-6.3000000000000003E-4</v>
      </c>
      <c r="H69" s="151">
        <v>-3.3E-4</v>
      </c>
      <c r="I69" s="151">
        <v>-4.0000000000000002E-4</v>
      </c>
      <c r="J69" s="151">
        <v>-1.2E-4</v>
      </c>
      <c r="K69" s="151">
        <v>-1.2E-4</v>
      </c>
      <c r="L69" s="152">
        <v>-6.9999999999999994E-5</v>
      </c>
      <c r="M69" s="152">
        <v>-6.9999999999999994E-5</v>
      </c>
      <c r="N69" s="152">
        <v>-6.9999999999999994E-5</v>
      </c>
      <c r="O69" s="152">
        <v>-6.9999999999999994E-5</v>
      </c>
      <c r="P69" s="152">
        <v>-6.9999999999999994E-5</v>
      </c>
    </row>
    <row r="70" spans="1:19" hidden="1" x14ac:dyDescent="0.2">
      <c r="A70" s="145">
        <v>43585</v>
      </c>
      <c r="B70" s="151">
        <v>-8.1999999999999998E-4</v>
      </c>
      <c r="C70" s="151">
        <v>-4.0000000000000002E-4</v>
      </c>
      <c r="D70" s="151">
        <v>-4.0000000000000002E-4</v>
      </c>
      <c r="E70" s="151">
        <v>-3.3E-4</v>
      </c>
      <c r="F70" s="151">
        <v>-6.3000000000000003E-4</v>
      </c>
      <c r="G70" s="151">
        <v>-6.3000000000000003E-4</v>
      </c>
      <c r="H70" s="151">
        <v>-3.3E-4</v>
      </c>
      <c r="I70" s="151">
        <v>-4.0000000000000002E-4</v>
      </c>
      <c r="J70" s="151">
        <v>-1.2E-4</v>
      </c>
      <c r="K70" s="151">
        <v>-1.2E-4</v>
      </c>
      <c r="L70" s="152">
        <v>-6.9999999999999994E-5</v>
      </c>
      <c r="M70" s="152">
        <v>-6.9999999999999994E-5</v>
      </c>
      <c r="N70" s="152">
        <v>-6.9999999999999994E-5</v>
      </c>
      <c r="O70" s="152">
        <v>-6.9999999999999994E-5</v>
      </c>
      <c r="P70" s="152">
        <v>-6.9999999999999994E-5</v>
      </c>
    </row>
    <row r="71" spans="1:19" hidden="1" x14ac:dyDescent="0.2">
      <c r="A71" s="145">
        <v>43616</v>
      </c>
      <c r="B71" s="151">
        <v>-8.1999999999999998E-4</v>
      </c>
      <c r="C71" s="151">
        <v>-4.0000000000000002E-4</v>
      </c>
      <c r="D71" s="151">
        <v>-4.0000000000000002E-4</v>
      </c>
      <c r="E71" s="151">
        <v>-3.3E-4</v>
      </c>
      <c r="F71" s="151">
        <v>-6.3000000000000003E-4</v>
      </c>
      <c r="G71" s="151">
        <v>-6.3000000000000003E-4</v>
      </c>
      <c r="H71" s="151">
        <v>-3.3E-4</v>
      </c>
      <c r="I71" s="151">
        <v>-4.0000000000000002E-4</v>
      </c>
      <c r="J71" s="151">
        <v>-1.2E-4</v>
      </c>
      <c r="K71" s="151">
        <v>-1.2E-4</v>
      </c>
      <c r="L71" s="152">
        <v>-6.9999999999999994E-5</v>
      </c>
      <c r="M71" s="152">
        <v>-6.9999999999999994E-5</v>
      </c>
      <c r="N71" s="152">
        <v>-6.9999999999999994E-5</v>
      </c>
      <c r="O71" s="152">
        <v>-6.9999999999999994E-5</v>
      </c>
      <c r="P71" s="152">
        <v>-6.9999999999999994E-5</v>
      </c>
    </row>
    <row r="72" spans="1:19" hidden="1" x14ac:dyDescent="0.2">
      <c r="A72" s="145">
        <v>43646</v>
      </c>
      <c r="B72" s="151">
        <v>-8.1999999999999998E-4</v>
      </c>
      <c r="C72" s="151">
        <v>-4.0000000000000002E-4</v>
      </c>
      <c r="D72" s="151">
        <v>-4.0000000000000002E-4</v>
      </c>
      <c r="E72" s="151">
        <v>-3.3E-4</v>
      </c>
      <c r="F72" s="151">
        <v>-6.3000000000000003E-4</v>
      </c>
      <c r="G72" s="151">
        <v>-6.3000000000000003E-4</v>
      </c>
      <c r="H72" s="151">
        <v>-3.3E-4</v>
      </c>
      <c r="I72" s="151">
        <v>-4.0000000000000002E-4</v>
      </c>
      <c r="J72" s="151">
        <v>-1.2E-4</v>
      </c>
      <c r="K72" s="151">
        <v>-1.2E-4</v>
      </c>
      <c r="L72" s="152">
        <v>-6.9999999999999994E-5</v>
      </c>
      <c r="M72" s="152">
        <v>-6.9999999999999994E-5</v>
      </c>
      <c r="N72" s="152">
        <v>-6.9999999999999994E-5</v>
      </c>
      <c r="O72" s="152">
        <v>-6.9999999999999994E-5</v>
      </c>
      <c r="P72" s="152">
        <v>-6.9999999999999994E-5</v>
      </c>
    </row>
    <row r="73" spans="1:19" hidden="1" x14ac:dyDescent="0.2">
      <c r="A73" s="145">
        <v>43677</v>
      </c>
      <c r="B73" s="151">
        <v>-8.1999999999999998E-4</v>
      </c>
      <c r="C73" s="151">
        <v>-4.0000000000000002E-4</v>
      </c>
      <c r="D73" s="151">
        <v>-4.0000000000000002E-4</v>
      </c>
      <c r="E73" s="151">
        <v>-3.3E-4</v>
      </c>
      <c r="F73" s="151">
        <v>-6.3000000000000003E-4</v>
      </c>
      <c r="G73" s="151">
        <v>-6.3000000000000003E-4</v>
      </c>
      <c r="H73" s="151">
        <v>-3.3E-4</v>
      </c>
      <c r="I73" s="151">
        <v>-4.0000000000000002E-4</v>
      </c>
      <c r="J73" s="151">
        <v>-1.2E-4</v>
      </c>
      <c r="K73" s="151">
        <v>-1.2E-4</v>
      </c>
      <c r="L73" s="151">
        <v>-6.9999999999999994E-5</v>
      </c>
      <c r="M73" s="151">
        <v>-6.9999999999999994E-5</v>
      </c>
      <c r="N73" s="151">
        <v>-6.9999999999999994E-5</v>
      </c>
      <c r="O73" s="151">
        <v>-6.9999999999999994E-5</v>
      </c>
      <c r="P73" s="151">
        <v>-6.9999999999999994E-5</v>
      </c>
    </row>
    <row r="74" spans="1:19" hidden="1" x14ac:dyDescent="0.2">
      <c r="A74" s="145">
        <v>43708</v>
      </c>
      <c r="B74" s="151">
        <v>-8.1999999999999998E-4</v>
      </c>
      <c r="C74" s="151">
        <v>-4.0000000000000002E-4</v>
      </c>
      <c r="D74" s="151">
        <v>-4.0000000000000002E-4</v>
      </c>
      <c r="E74" s="151">
        <v>-3.3E-4</v>
      </c>
      <c r="F74" s="151">
        <v>-6.3000000000000003E-4</v>
      </c>
      <c r="G74" s="151">
        <v>-6.3000000000000003E-4</v>
      </c>
      <c r="H74" s="151">
        <v>-3.3E-4</v>
      </c>
      <c r="I74" s="151">
        <v>-4.0000000000000002E-4</v>
      </c>
      <c r="J74" s="151">
        <v>-1.2E-4</v>
      </c>
      <c r="K74" s="151">
        <v>-1.2E-4</v>
      </c>
      <c r="L74" s="151">
        <v>-6.9999999999999994E-5</v>
      </c>
      <c r="M74" s="151">
        <v>-6.9999999999999994E-5</v>
      </c>
      <c r="N74" s="151">
        <v>-6.9999999999999994E-5</v>
      </c>
      <c r="O74" s="151">
        <v>-6.9999999999999994E-5</v>
      </c>
      <c r="P74" s="151">
        <v>-6.9999999999999994E-5</v>
      </c>
    </row>
    <row r="75" spans="1:19" hidden="1" x14ac:dyDescent="0.2">
      <c r="A75" s="145">
        <v>43738</v>
      </c>
      <c r="B75" s="151">
        <v>-8.1999999999999998E-4</v>
      </c>
      <c r="C75" s="151">
        <v>-4.0000000000000002E-4</v>
      </c>
      <c r="D75" s="151">
        <v>-4.0000000000000002E-4</v>
      </c>
      <c r="E75" s="151">
        <v>-3.3E-4</v>
      </c>
      <c r="F75" s="151">
        <v>-6.3000000000000003E-4</v>
      </c>
      <c r="G75" s="151">
        <v>-6.3000000000000003E-4</v>
      </c>
      <c r="H75" s="151">
        <v>-3.3E-4</v>
      </c>
      <c r="I75" s="151">
        <v>-4.0000000000000002E-4</v>
      </c>
      <c r="J75" s="151">
        <v>-1.2E-4</v>
      </c>
      <c r="K75" s="151">
        <v>-1.2E-4</v>
      </c>
      <c r="L75" s="151">
        <v>-6.9999999999999994E-5</v>
      </c>
      <c r="M75" s="151">
        <v>-6.9999999999999994E-5</v>
      </c>
      <c r="N75" s="151">
        <v>-6.9999999999999994E-5</v>
      </c>
      <c r="O75" s="151">
        <v>-6.9999999999999994E-5</v>
      </c>
      <c r="P75" s="151">
        <v>-6.9999999999999994E-5</v>
      </c>
    </row>
    <row r="76" spans="1:19" hidden="1" x14ac:dyDescent="0.2">
      <c r="A76" s="145">
        <v>43769</v>
      </c>
      <c r="B76" s="151">
        <v>-8.1999999999999998E-4</v>
      </c>
      <c r="C76" s="151">
        <v>-4.0000000000000002E-4</v>
      </c>
      <c r="D76" s="151">
        <v>-4.0000000000000002E-4</v>
      </c>
      <c r="E76" s="151">
        <v>-3.3E-4</v>
      </c>
      <c r="F76" s="151">
        <v>-6.3000000000000003E-4</v>
      </c>
      <c r="G76" s="151">
        <v>-6.3000000000000003E-4</v>
      </c>
      <c r="H76" s="151">
        <v>-3.3E-4</v>
      </c>
      <c r="I76" s="151">
        <v>-4.0000000000000002E-4</v>
      </c>
      <c r="J76" s="151">
        <v>-1.2E-4</v>
      </c>
      <c r="K76" s="151">
        <v>-1.2E-4</v>
      </c>
      <c r="L76" s="151">
        <v>-6.9999999999999994E-5</v>
      </c>
      <c r="M76" s="151">
        <v>-6.9999999999999994E-5</v>
      </c>
      <c r="N76" s="151">
        <v>-6.9999999999999994E-5</v>
      </c>
      <c r="O76" s="151">
        <v>-6.9999999999999994E-5</v>
      </c>
      <c r="P76" s="151">
        <v>-6.9999999999999994E-5</v>
      </c>
      <c r="R76" s="2" t="s">
        <v>45</v>
      </c>
    </row>
    <row r="77" spans="1:19" hidden="1" x14ac:dyDescent="0.2">
      <c r="A77" s="145">
        <v>43799</v>
      </c>
      <c r="B77" s="151">
        <v>-7.3499999999999998E-4</v>
      </c>
      <c r="C77" s="151">
        <v>-3.5799999999999997E-4</v>
      </c>
      <c r="D77" s="151">
        <v>-3.5799999999999997E-4</v>
      </c>
      <c r="E77" s="151">
        <v>-2.9700000000000001E-4</v>
      </c>
      <c r="F77" s="151">
        <v>-5.6300000000000002E-4</v>
      </c>
      <c r="G77" s="151">
        <v>-5.6300000000000002E-4</v>
      </c>
      <c r="H77" s="151">
        <v>-2.9700000000000001E-4</v>
      </c>
      <c r="I77" s="151">
        <v>-3.5799999999999997E-4</v>
      </c>
      <c r="J77" s="151">
        <v>-1.11E-4</v>
      </c>
      <c r="K77" s="151">
        <v>-1.11E-4</v>
      </c>
      <c r="L77" s="151">
        <v>-6.0999999999999999E-5</v>
      </c>
      <c r="M77" s="151">
        <v>-6.0999999999999999E-5</v>
      </c>
      <c r="N77" s="151">
        <v>-6.0999999999999999E-5</v>
      </c>
      <c r="O77" s="151">
        <v>-6.0999999999999999E-5</v>
      </c>
      <c r="P77" s="151">
        <v>-6.0999999999999999E-5</v>
      </c>
      <c r="R77" s="2" t="s">
        <v>46</v>
      </c>
      <c r="S77" s="2" t="s">
        <v>105</v>
      </c>
    </row>
    <row r="78" spans="1:19" hidden="1" x14ac:dyDescent="0.2">
      <c r="A78" s="145">
        <v>43830</v>
      </c>
      <c r="B78" s="151">
        <v>-7.3499999999999998E-4</v>
      </c>
      <c r="C78" s="151">
        <v>-3.5799999999999997E-4</v>
      </c>
      <c r="D78" s="151">
        <v>-3.5799999999999997E-4</v>
      </c>
      <c r="E78" s="151">
        <v>-2.9700000000000001E-4</v>
      </c>
      <c r="F78" s="151">
        <v>-5.6300000000000002E-4</v>
      </c>
      <c r="G78" s="151">
        <v>-5.6300000000000002E-4</v>
      </c>
      <c r="H78" s="151">
        <v>-2.9700000000000001E-4</v>
      </c>
      <c r="I78" s="151">
        <v>-3.5799999999999997E-4</v>
      </c>
      <c r="J78" s="151">
        <v>-1.11E-4</v>
      </c>
      <c r="K78" s="151">
        <v>-1.11E-4</v>
      </c>
      <c r="L78" s="151">
        <v>-6.0999999999999999E-5</v>
      </c>
      <c r="M78" s="151">
        <v>-6.0999999999999999E-5</v>
      </c>
      <c r="N78" s="151">
        <v>-6.0999999999999999E-5</v>
      </c>
      <c r="O78" s="151">
        <v>-6.0999999999999999E-5</v>
      </c>
      <c r="P78" s="151">
        <v>-6.0999999999999999E-5</v>
      </c>
    </row>
    <row r="79" spans="1:19" hidden="1" x14ac:dyDescent="0.2">
      <c r="A79" s="145">
        <v>43861</v>
      </c>
      <c r="B79" s="151">
        <v>-7.3499999999999998E-4</v>
      </c>
      <c r="C79" s="151">
        <v>-3.5799999999999997E-4</v>
      </c>
      <c r="D79" s="151">
        <v>-3.5799999999999997E-4</v>
      </c>
      <c r="E79" s="151">
        <v>-2.9700000000000001E-4</v>
      </c>
      <c r="F79" s="151">
        <v>-5.6300000000000002E-4</v>
      </c>
      <c r="G79" s="151">
        <v>-5.6300000000000002E-4</v>
      </c>
      <c r="H79" s="151">
        <v>-2.9700000000000001E-4</v>
      </c>
      <c r="I79" s="151">
        <v>-3.5799999999999997E-4</v>
      </c>
      <c r="J79" s="151">
        <v>-1.11E-4</v>
      </c>
      <c r="K79" s="151">
        <v>-1.11E-4</v>
      </c>
      <c r="L79" s="151">
        <v>-6.0999999999999999E-5</v>
      </c>
      <c r="M79" s="151">
        <v>-6.0999999999999999E-5</v>
      </c>
      <c r="N79" s="151">
        <v>-6.0999999999999999E-5</v>
      </c>
      <c r="O79" s="151">
        <v>-6.0999999999999999E-5</v>
      </c>
      <c r="P79" s="151">
        <v>-6.0999999999999999E-5</v>
      </c>
    </row>
    <row r="80" spans="1:19" hidden="1" x14ac:dyDescent="0.2">
      <c r="A80" s="145">
        <v>43890</v>
      </c>
      <c r="B80" s="151">
        <v>-7.3499999999999998E-4</v>
      </c>
      <c r="C80" s="151">
        <v>-3.5799999999999997E-4</v>
      </c>
      <c r="D80" s="151">
        <v>-3.5799999999999997E-4</v>
      </c>
      <c r="E80" s="151">
        <v>-2.9700000000000001E-4</v>
      </c>
      <c r="F80" s="151">
        <v>-5.6300000000000002E-4</v>
      </c>
      <c r="G80" s="151">
        <v>-5.6300000000000002E-4</v>
      </c>
      <c r="H80" s="151">
        <v>-2.9700000000000001E-4</v>
      </c>
      <c r="I80" s="151">
        <v>-3.5799999999999997E-4</v>
      </c>
      <c r="J80" s="151">
        <v>-1.11E-4</v>
      </c>
      <c r="K80" s="151">
        <v>-1.11E-4</v>
      </c>
      <c r="L80" s="151">
        <v>-6.0999999999999999E-5</v>
      </c>
      <c r="M80" s="151">
        <v>-6.0999999999999999E-5</v>
      </c>
      <c r="N80" s="151">
        <v>-6.0999999999999999E-5</v>
      </c>
      <c r="O80" s="151">
        <v>-6.0999999999999999E-5</v>
      </c>
      <c r="P80" s="151">
        <v>-6.0999999999999999E-5</v>
      </c>
    </row>
    <row r="81" spans="1:19" hidden="1" x14ac:dyDescent="0.2">
      <c r="A81" s="145">
        <v>43921</v>
      </c>
      <c r="B81" s="151">
        <v>-7.3499999999999998E-4</v>
      </c>
      <c r="C81" s="151">
        <v>-3.5799999999999997E-4</v>
      </c>
      <c r="D81" s="151">
        <v>-3.5799999999999997E-4</v>
      </c>
      <c r="E81" s="151">
        <v>-2.9700000000000001E-4</v>
      </c>
      <c r="F81" s="151">
        <v>-5.6300000000000002E-4</v>
      </c>
      <c r="G81" s="151">
        <v>-5.6300000000000002E-4</v>
      </c>
      <c r="H81" s="151">
        <v>-2.9700000000000001E-4</v>
      </c>
      <c r="I81" s="151">
        <v>-3.5799999999999997E-4</v>
      </c>
      <c r="J81" s="151">
        <v>-1.11E-4</v>
      </c>
      <c r="K81" s="151">
        <v>-1.11E-4</v>
      </c>
      <c r="L81" s="151">
        <v>-6.0999999999999999E-5</v>
      </c>
      <c r="M81" s="151">
        <v>-6.0999999999999999E-5</v>
      </c>
      <c r="N81" s="151">
        <v>-6.0999999999999999E-5</v>
      </c>
      <c r="O81" s="151">
        <v>-6.0999999999999999E-5</v>
      </c>
      <c r="P81" s="151">
        <v>-6.0999999999999999E-5</v>
      </c>
    </row>
    <row r="82" spans="1:19" hidden="1" x14ac:dyDescent="0.2">
      <c r="A82" s="145">
        <v>43951</v>
      </c>
      <c r="B82" s="151">
        <v>-7.3499999999999998E-4</v>
      </c>
      <c r="C82" s="151">
        <v>-3.5799999999999997E-4</v>
      </c>
      <c r="D82" s="151">
        <v>-3.5799999999999997E-4</v>
      </c>
      <c r="E82" s="151">
        <v>-2.9700000000000001E-4</v>
      </c>
      <c r="F82" s="151">
        <v>-5.6300000000000002E-4</v>
      </c>
      <c r="G82" s="151">
        <v>-5.6300000000000002E-4</v>
      </c>
      <c r="H82" s="151">
        <v>-2.9700000000000001E-4</v>
      </c>
      <c r="I82" s="151">
        <v>-3.5799999999999997E-4</v>
      </c>
      <c r="J82" s="151">
        <v>-1.11E-4</v>
      </c>
      <c r="K82" s="151">
        <v>-1.11E-4</v>
      </c>
      <c r="L82" s="151">
        <v>-6.0999999999999999E-5</v>
      </c>
      <c r="M82" s="151">
        <v>-6.0999999999999999E-5</v>
      </c>
      <c r="N82" s="151">
        <v>-6.0999999999999999E-5</v>
      </c>
      <c r="O82" s="151">
        <v>-6.0999999999999999E-5</v>
      </c>
      <c r="P82" s="151">
        <v>-6.0999999999999999E-5</v>
      </c>
    </row>
    <row r="83" spans="1:19" hidden="1" x14ac:dyDescent="0.2">
      <c r="A83" s="145">
        <v>43982</v>
      </c>
      <c r="B83" s="151">
        <v>-7.3499999999999998E-4</v>
      </c>
      <c r="C83" s="151">
        <v>-3.5799999999999997E-4</v>
      </c>
      <c r="D83" s="151">
        <v>-3.5799999999999997E-4</v>
      </c>
      <c r="E83" s="151">
        <v>-2.9700000000000001E-4</v>
      </c>
      <c r="F83" s="151">
        <v>-5.6300000000000002E-4</v>
      </c>
      <c r="G83" s="151">
        <v>-5.6300000000000002E-4</v>
      </c>
      <c r="H83" s="151">
        <v>-2.9700000000000001E-4</v>
      </c>
      <c r="I83" s="151">
        <v>-3.5799999999999997E-4</v>
      </c>
      <c r="J83" s="151">
        <v>-1.11E-4</v>
      </c>
      <c r="K83" s="151">
        <v>-1.11E-4</v>
      </c>
      <c r="L83" s="151">
        <v>-6.0999999999999999E-5</v>
      </c>
      <c r="M83" s="151">
        <v>-6.0999999999999999E-5</v>
      </c>
      <c r="N83" s="151">
        <v>-6.0999999999999999E-5</v>
      </c>
      <c r="O83" s="151">
        <v>-6.0999999999999999E-5</v>
      </c>
      <c r="P83" s="151">
        <v>-6.0999999999999999E-5</v>
      </c>
    </row>
    <row r="84" spans="1:19" hidden="1" x14ac:dyDescent="0.2">
      <c r="A84" s="145">
        <v>44012</v>
      </c>
      <c r="B84" s="151">
        <v>-7.3499999999999998E-4</v>
      </c>
      <c r="C84" s="151">
        <v>-3.5799999999999997E-4</v>
      </c>
      <c r="D84" s="151">
        <v>-3.5799999999999997E-4</v>
      </c>
      <c r="E84" s="151">
        <v>-2.9700000000000001E-4</v>
      </c>
      <c r="F84" s="151">
        <v>-5.6300000000000002E-4</v>
      </c>
      <c r="G84" s="151">
        <v>-5.6300000000000002E-4</v>
      </c>
      <c r="H84" s="151">
        <v>-2.9700000000000001E-4</v>
      </c>
      <c r="I84" s="151">
        <v>-3.5799999999999997E-4</v>
      </c>
      <c r="J84" s="151">
        <v>-1.11E-4</v>
      </c>
      <c r="K84" s="151">
        <v>-1.11E-4</v>
      </c>
      <c r="L84" s="151">
        <v>-6.0999999999999999E-5</v>
      </c>
      <c r="M84" s="151">
        <v>-6.0999999999999999E-5</v>
      </c>
      <c r="N84" s="151">
        <v>-6.0999999999999999E-5</v>
      </c>
      <c r="O84" s="151">
        <v>-6.0999999999999999E-5</v>
      </c>
      <c r="P84" s="151">
        <v>-6.0999999999999999E-5</v>
      </c>
    </row>
    <row r="85" spans="1:19" hidden="1" x14ac:dyDescent="0.2">
      <c r="A85" s="145">
        <v>44043</v>
      </c>
      <c r="B85" s="151">
        <v>-7.3499999999999998E-4</v>
      </c>
      <c r="C85" s="151">
        <v>-3.5799999999999997E-4</v>
      </c>
      <c r="D85" s="151">
        <v>-3.5799999999999997E-4</v>
      </c>
      <c r="E85" s="151">
        <v>-2.9700000000000001E-4</v>
      </c>
      <c r="F85" s="151">
        <v>-5.6300000000000002E-4</v>
      </c>
      <c r="G85" s="151">
        <v>-5.6300000000000002E-4</v>
      </c>
      <c r="H85" s="151">
        <v>-2.9700000000000001E-4</v>
      </c>
      <c r="I85" s="151">
        <v>-3.5799999999999997E-4</v>
      </c>
      <c r="J85" s="151">
        <v>-1.11E-4</v>
      </c>
      <c r="K85" s="151">
        <v>-1.11E-4</v>
      </c>
      <c r="L85" s="151">
        <v>-6.0999999999999999E-5</v>
      </c>
      <c r="M85" s="151">
        <v>-6.0999999999999999E-5</v>
      </c>
      <c r="N85" s="151">
        <v>-6.0999999999999999E-5</v>
      </c>
      <c r="O85" s="151">
        <v>-6.0999999999999999E-5</v>
      </c>
      <c r="P85" s="151">
        <v>-6.0999999999999999E-5</v>
      </c>
    </row>
    <row r="86" spans="1:19" hidden="1" x14ac:dyDescent="0.2">
      <c r="A86" s="145">
        <v>44074</v>
      </c>
      <c r="B86" s="151">
        <v>-7.3499999999999998E-4</v>
      </c>
      <c r="C86" s="151">
        <v>-3.5799999999999997E-4</v>
      </c>
      <c r="D86" s="151">
        <v>-3.5799999999999997E-4</v>
      </c>
      <c r="E86" s="151">
        <v>-2.9700000000000001E-4</v>
      </c>
      <c r="F86" s="151">
        <v>-5.6300000000000002E-4</v>
      </c>
      <c r="G86" s="151">
        <v>-5.6300000000000002E-4</v>
      </c>
      <c r="H86" s="151">
        <v>-2.9700000000000001E-4</v>
      </c>
      <c r="I86" s="151">
        <v>-3.5799999999999997E-4</v>
      </c>
      <c r="J86" s="151">
        <v>-1.11E-4</v>
      </c>
      <c r="K86" s="151">
        <v>-1.11E-4</v>
      </c>
      <c r="L86" s="151">
        <v>-6.0999999999999999E-5</v>
      </c>
      <c r="M86" s="151">
        <v>-6.0999999999999999E-5</v>
      </c>
      <c r="N86" s="151">
        <v>-6.0999999999999999E-5</v>
      </c>
      <c r="O86" s="151">
        <v>-6.0999999999999999E-5</v>
      </c>
      <c r="P86" s="151">
        <v>-6.0999999999999999E-5</v>
      </c>
    </row>
    <row r="87" spans="1:19" hidden="1" x14ac:dyDescent="0.2">
      <c r="A87" s="145">
        <v>44104</v>
      </c>
      <c r="B87" s="151">
        <v>-7.3499999999999998E-4</v>
      </c>
      <c r="C87" s="151">
        <v>-3.5799999999999997E-4</v>
      </c>
      <c r="D87" s="151">
        <v>-3.5799999999999997E-4</v>
      </c>
      <c r="E87" s="151">
        <v>-2.9700000000000001E-4</v>
      </c>
      <c r="F87" s="151">
        <v>-5.6300000000000002E-4</v>
      </c>
      <c r="G87" s="151">
        <v>-5.6300000000000002E-4</v>
      </c>
      <c r="H87" s="151">
        <v>-2.9700000000000001E-4</v>
      </c>
      <c r="I87" s="151">
        <v>-3.5799999999999997E-4</v>
      </c>
      <c r="J87" s="151">
        <v>-1.11E-4</v>
      </c>
      <c r="K87" s="151">
        <v>-1.11E-4</v>
      </c>
      <c r="L87" s="151">
        <v>-6.0999999999999999E-5</v>
      </c>
      <c r="M87" s="151">
        <v>-6.0999999999999999E-5</v>
      </c>
      <c r="N87" s="151">
        <v>-6.0999999999999999E-5</v>
      </c>
      <c r="O87" s="151">
        <v>-6.0999999999999999E-5</v>
      </c>
      <c r="P87" s="151">
        <v>-6.0999999999999999E-5</v>
      </c>
    </row>
    <row r="88" spans="1:19" hidden="1" x14ac:dyDescent="0.2">
      <c r="A88" s="145">
        <v>44135</v>
      </c>
      <c r="B88" s="151">
        <v>-7.3499999999999998E-4</v>
      </c>
      <c r="C88" s="151">
        <v>-3.5799999999999997E-4</v>
      </c>
      <c r="D88" s="151">
        <v>-3.5799999999999997E-4</v>
      </c>
      <c r="E88" s="151">
        <v>-2.9700000000000001E-4</v>
      </c>
      <c r="F88" s="151">
        <v>-5.6300000000000002E-4</v>
      </c>
      <c r="G88" s="151">
        <v>-5.6300000000000002E-4</v>
      </c>
      <c r="H88" s="151">
        <v>-2.9700000000000001E-4</v>
      </c>
      <c r="I88" s="151">
        <v>-3.5799999999999997E-4</v>
      </c>
      <c r="J88" s="151">
        <v>-1.11E-4</v>
      </c>
      <c r="K88" s="151">
        <v>-1.11E-4</v>
      </c>
      <c r="L88" s="151">
        <v>-6.0999999999999999E-5</v>
      </c>
      <c r="M88" s="151">
        <v>-6.0999999999999999E-5</v>
      </c>
      <c r="N88" s="151">
        <v>-6.0999999999999999E-5</v>
      </c>
      <c r="O88" s="151">
        <v>-6.0999999999999999E-5</v>
      </c>
      <c r="P88" s="151">
        <v>-6.0999999999999999E-5</v>
      </c>
      <c r="R88" s="2" t="s">
        <v>45</v>
      </c>
    </row>
    <row r="89" spans="1:19" hidden="1" x14ac:dyDescent="0.2">
      <c r="A89" s="145">
        <v>44165</v>
      </c>
      <c r="B89" s="151">
        <v>-9.2000000000000003E-4</v>
      </c>
      <c r="C89" s="151">
        <v>-4.4999999999999999E-4</v>
      </c>
      <c r="D89" s="151">
        <v>-4.4999999999999999E-4</v>
      </c>
      <c r="E89" s="151">
        <v>-3.6999999999999999E-4</v>
      </c>
      <c r="F89" s="151">
        <v>-6.9999999999999999E-4</v>
      </c>
      <c r="G89" s="151">
        <v>-6.9999999999999999E-4</v>
      </c>
      <c r="H89" s="151">
        <v>-3.6999999999999999E-4</v>
      </c>
      <c r="I89" s="151">
        <v>-4.4999999999999999E-4</v>
      </c>
      <c r="J89" s="151">
        <v>-1.2999999999999999E-4</v>
      </c>
      <c r="K89" s="151">
        <v>-1.2999999999999999E-4</v>
      </c>
      <c r="L89" s="151">
        <v>-8.0000000000000007E-5</v>
      </c>
      <c r="M89" s="151">
        <v>-8.0000000000000007E-5</v>
      </c>
      <c r="N89" s="151">
        <v>-8.0000000000000007E-5</v>
      </c>
      <c r="O89" s="151">
        <v>-8.0000000000000007E-5</v>
      </c>
      <c r="P89" s="152"/>
      <c r="R89" s="2" t="s">
        <v>46</v>
      </c>
      <c r="S89" s="2" t="s">
        <v>105</v>
      </c>
    </row>
    <row r="90" spans="1:19" hidden="1" x14ac:dyDescent="0.2">
      <c r="A90" s="145">
        <v>44196</v>
      </c>
      <c r="B90" s="151">
        <v>-9.2000000000000003E-4</v>
      </c>
      <c r="C90" s="151">
        <v>-4.4999999999999999E-4</v>
      </c>
      <c r="D90" s="151">
        <v>-4.4999999999999999E-4</v>
      </c>
      <c r="E90" s="151">
        <v>-3.6999999999999999E-4</v>
      </c>
      <c r="F90" s="151">
        <v>-6.9999999999999999E-4</v>
      </c>
      <c r="G90" s="151">
        <v>-6.9999999999999999E-4</v>
      </c>
      <c r="H90" s="151">
        <v>-3.6999999999999999E-4</v>
      </c>
      <c r="I90" s="151">
        <v>-4.4999999999999999E-4</v>
      </c>
      <c r="J90" s="151">
        <v>-1.2999999999999999E-4</v>
      </c>
      <c r="K90" s="151">
        <v>-1.2999999999999999E-4</v>
      </c>
      <c r="L90" s="151">
        <v>-8.0000000000000007E-5</v>
      </c>
      <c r="M90" s="151">
        <v>-8.0000000000000007E-5</v>
      </c>
      <c r="N90" s="151">
        <v>-8.0000000000000007E-5</v>
      </c>
      <c r="O90" s="151">
        <v>-8.0000000000000007E-5</v>
      </c>
      <c r="P90" s="152"/>
    </row>
    <row r="91" spans="1:19" hidden="1" x14ac:dyDescent="0.2">
      <c r="A91" s="145">
        <v>44227</v>
      </c>
      <c r="B91" s="151">
        <v>-9.2000000000000003E-4</v>
      </c>
      <c r="C91" s="151">
        <v>-4.4999999999999999E-4</v>
      </c>
      <c r="D91" s="151">
        <v>-4.4999999999999999E-4</v>
      </c>
      <c r="E91" s="151">
        <v>-3.6999999999999999E-4</v>
      </c>
      <c r="F91" s="151">
        <v>-6.9999999999999999E-4</v>
      </c>
      <c r="G91" s="151">
        <v>-6.9999999999999999E-4</v>
      </c>
      <c r="H91" s="151">
        <v>-3.6999999999999999E-4</v>
      </c>
      <c r="I91" s="151">
        <v>-4.4999999999999999E-4</v>
      </c>
      <c r="J91" s="151">
        <v>-1.2999999999999999E-4</v>
      </c>
      <c r="K91" s="151">
        <v>-1.2999999999999999E-4</v>
      </c>
      <c r="L91" s="151">
        <v>-8.0000000000000007E-5</v>
      </c>
      <c r="M91" s="151">
        <v>-8.0000000000000007E-5</v>
      </c>
      <c r="N91" s="151">
        <v>-8.0000000000000007E-5</v>
      </c>
      <c r="O91" s="151">
        <v>-8.0000000000000007E-5</v>
      </c>
      <c r="P91" s="152"/>
    </row>
    <row r="92" spans="1:19" hidden="1" x14ac:dyDescent="0.2">
      <c r="A92" s="145">
        <v>44255</v>
      </c>
      <c r="B92" s="151">
        <v>-9.2000000000000003E-4</v>
      </c>
      <c r="C92" s="151">
        <v>-4.4999999999999999E-4</v>
      </c>
      <c r="D92" s="151">
        <v>-4.4999999999999999E-4</v>
      </c>
      <c r="E92" s="151">
        <v>-3.6999999999999999E-4</v>
      </c>
      <c r="F92" s="151">
        <v>-6.9999999999999999E-4</v>
      </c>
      <c r="G92" s="151">
        <v>-6.9999999999999999E-4</v>
      </c>
      <c r="H92" s="151">
        <v>-3.6999999999999999E-4</v>
      </c>
      <c r="I92" s="151">
        <v>-4.4999999999999999E-4</v>
      </c>
      <c r="J92" s="151">
        <v>-1.2999999999999999E-4</v>
      </c>
      <c r="K92" s="151">
        <v>-1.2999999999999999E-4</v>
      </c>
      <c r="L92" s="151">
        <v>-8.0000000000000007E-5</v>
      </c>
      <c r="M92" s="151">
        <v>-8.0000000000000007E-5</v>
      </c>
      <c r="N92" s="151">
        <v>-8.0000000000000007E-5</v>
      </c>
      <c r="O92" s="151">
        <v>-8.0000000000000007E-5</v>
      </c>
      <c r="P92" s="152"/>
    </row>
    <row r="93" spans="1:19" hidden="1" x14ac:dyDescent="0.2">
      <c r="A93" s="145">
        <v>44286</v>
      </c>
      <c r="B93" s="151">
        <v>-9.2000000000000003E-4</v>
      </c>
      <c r="C93" s="151">
        <v>-4.4999999999999999E-4</v>
      </c>
      <c r="D93" s="151">
        <v>-4.4999999999999999E-4</v>
      </c>
      <c r="E93" s="151">
        <v>-3.6999999999999999E-4</v>
      </c>
      <c r="F93" s="151">
        <v>-6.9999999999999999E-4</v>
      </c>
      <c r="G93" s="151">
        <v>-6.9999999999999999E-4</v>
      </c>
      <c r="H93" s="151">
        <v>-3.6999999999999999E-4</v>
      </c>
      <c r="I93" s="151">
        <v>-4.4999999999999999E-4</v>
      </c>
      <c r="J93" s="151">
        <v>-1.2999999999999999E-4</v>
      </c>
      <c r="K93" s="151">
        <v>-1.2999999999999999E-4</v>
      </c>
      <c r="L93" s="151">
        <v>-8.0000000000000007E-5</v>
      </c>
      <c r="M93" s="151">
        <v>-8.0000000000000007E-5</v>
      </c>
      <c r="N93" s="151">
        <v>-8.0000000000000007E-5</v>
      </c>
      <c r="O93" s="151">
        <v>-8.0000000000000007E-5</v>
      </c>
      <c r="P93" s="152"/>
    </row>
    <row r="94" spans="1:19" hidden="1" x14ac:dyDescent="0.2">
      <c r="A94" s="145">
        <v>44316</v>
      </c>
      <c r="B94" s="151">
        <v>-9.2000000000000003E-4</v>
      </c>
      <c r="C94" s="151">
        <v>-4.4999999999999999E-4</v>
      </c>
      <c r="D94" s="151">
        <v>-4.4999999999999999E-4</v>
      </c>
      <c r="E94" s="151">
        <v>-3.6999999999999999E-4</v>
      </c>
      <c r="F94" s="151">
        <v>-6.9999999999999999E-4</v>
      </c>
      <c r="G94" s="151">
        <v>-6.9999999999999999E-4</v>
      </c>
      <c r="H94" s="151">
        <v>-3.6999999999999999E-4</v>
      </c>
      <c r="I94" s="151">
        <v>-4.4999999999999999E-4</v>
      </c>
      <c r="J94" s="151">
        <v>-1.2999999999999999E-4</v>
      </c>
      <c r="K94" s="151">
        <v>-1.2999999999999999E-4</v>
      </c>
      <c r="L94" s="151">
        <v>-8.0000000000000007E-5</v>
      </c>
      <c r="M94" s="151">
        <v>-8.0000000000000007E-5</v>
      </c>
      <c r="N94" s="151">
        <v>-8.0000000000000007E-5</v>
      </c>
      <c r="O94" s="151">
        <v>-8.0000000000000007E-5</v>
      </c>
      <c r="P94" s="152"/>
    </row>
    <row r="95" spans="1:19" hidden="1" x14ac:dyDescent="0.2">
      <c r="A95" s="145">
        <v>44347</v>
      </c>
      <c r="B95" s="151">
        <v>-9.2000000000000003E-4</v>
      </c>
      <c r="C95" s="151">
        <v>-4.4999999999999999E-4</v>
      </c>
      <c r="D95" s="151">
        <v>-4.4999999999999999E-4</v>
      </c>
      <c r="E95" s="151">
        <v>-3.6999999999999999E-4</v>
      </c>
      <c r="F95" s="151">
        <v>-6.9999999999999999E-4</v>
      </c>
      <c r="G95" s="151">
        <v>-6.9999999999999999E-4</v>
      </c>
      <c r="H95" s="151">
        <v>-3.6999999999999999E-4</v>
      </c>
      <c r="I95" s="151">
        <v>-4.4999999999999999E-4</v>
      </c>
      <c r="J95" s="151">
        <v>-1.2999999999999999E-4</v>
      </c>
      <c r="K95" s="151">
        <v>-1.2999999999999999E-4</v>
      </c>
      <c r="L95" s="151">
        <v>-8.0000000000000007E-5</v>
      </c>
      <c r="M95" s="151">
        <v>-8.0000000000000007E-5</v>
      </c>
      <c r="N95" s="151">
        <v>-8.0000000000000007E-5</v>
      </c>
      <c r="O95" s="151">
        <v>-8.0000000000000007E-5</v>
      </c>
      <c r="P95" s="152"/>
    </row>
    <row r="96" spans="1:19" hidden="1" x14ac:dyDescent="0.2">
      <c r="A96" s="145">
        <v>44377</v>
      </c>
      <c r="B96" s="151">
        <v>-9.2000000000000003E-4</v>
      </c>
      <c r="C96" s="151">
        <v>-4.4999999999999999E-4</v>
      </c>
      <c r="D96" s="151">
        <v>-4.4999999999999999E-4</v>
      </c>
      <c r="E96" s="151">
        <v>-3.6999999999999999E-4</v>
      </c>
      <c r="F96" s="151">
        <v>-6.9999999999999999E-4</v>
      </c>
      <c r="G96" s="151">
        <v>-6.9999999999999999E-4</v>
      </c>
      <c r="H96" s="151">
        <v>-3.6999999999999999E-4</v>
      </c>
      <c r="I96" s="151">
        <v>-4.4999999999999999E-4</v>
      </c>
      <c r="J96" s="151">
        <v>-1.2999999999999999E-4</v>
      </c>
      <c r="K96" s="151">
        <v>-1.2999999999999999E-4</v>
      </c>
      <c r="L96" s="151">
        <v>-8.0000000000000007E-5</v>
      </c>
      <c r="M96" s="151">
        <v>-8.0000000000000007E-5</v>
      </c>
      <c r="N96" s="151">
        <v>-8.0000000000000007E-5</v>
      </c>
      <c r="O96" s="151">
        <v>-8.0000000000000007E-5</v>
      </c>
      <c r="P96" s="152"/>
    </row>
    <row r="97" spans="1:19" hidden="1" x14ac:dyDescent="0.2">
      <c r="A97" s="145">
        <v>44408</v>
      </c>
      <c r="B97" s="151">
        <v>-9.2000000000000003E-4</v>
      </c>
      <c r="C97" s="151">
        <v>-4.4999999999999999E-4</v>
      </c>
      <c r="D97" s="151">
        <v>-4.4999999999999999E-4</v>
      </c>
      <c r="E97" s="151">
        <v>-3.6999999999999999E-4</v>
      </c>
      <c r="F97" s="151">
        <v>-6.9999999999999999E-4</v>
      </c>
      <c r="G97" s="151">
        <v>-6.9999999999999999E-4</v>
      </c>
      <c r="H97" s="151">
        <v>-3.6999999999999999E-4</v>
      </c>
      <c r="I97" s="151">
        <v>-4.4999999999999999E-4</v>
      </c>
      <c r="J97" s="151">
        <v>-1.2999999999999999E-4</v>
      </c>
      <c r="K97" s="151">
        <v>-1.2999999999999999E-4</v>
      </c>
      <c r="L97" s="151">
        <v>-8.0000000000000007E-5</v>
      </c>
      <c r="M97" s="151">
        <v>-8.0000000000000007E-5</v>
      </c>
      <c r="N97" s="151">
        <v>-8.0000000000000007E-5</v>
      </c>
      <c r="O97" s="151">
        <v>-8.0000000000000007E-5</v>
      </c>
      <c r="P97" s="152"/>
    </row>
    <row r="98" spans="1:19" hidden="1" x14ac:dyDescent="0.2">
      <c r="A98" s="145">
        <v>44439</v>
      </c>
      <c r="B98" s="151">
        <v>-9.2000000000000003E-4</v>
      </c>
      <c r="C98" s="151">
        <v>-4.4999999999999999E-4</v>
      </c>
      <c r="D98" s="151">
        <v>-4.4999999999999999E-4</v>
      </c>
      <c r="E98" s="151">
        <v>-3.6999999999999999E-4</v>
      </c>
      <c r="F98" s="151">
        <v>-6.9999999999999999E-4</v>
      </c>
      <c r="G98" s="151">
        <v>-6.9999999999999999E-4</v>
      </c>
      <c r="H98" s="151">
        <v>-3.6999999999999999E-4</v>
      </c>
      <c r="I98" s="151">
        <v>-4.4999999999999999E-4</v>
      </c>
      <c r="J98" s="151">
        <v>-1.2999999999999999E-4</v>
      </c>
      <c r="K98" s="151">
        <v>-1.2999999999999999E-4</v>
      </c>
      <c r="L98" s="151">
        <v>-8.0000000000000007E-5</v>
      </c>
      <c r="M98" s="151">
        <v>-8.0000000000000007E-5</v>
      </c>
      <c r="N98" s="151">
        <v>-8.0000000000000007E-5</v>
      </c>
      <c r="O98" s="151">
        <v>-8.0000000000000007E-5</v>
      </c>
      <c r="P98" s="152"/>
    </row>
    <row r="99" spans="1:19" hidden="1" x14ac:dyDescent="0.2">
      <c r="A99" s="145">
        <v>44469</v>
      </c>
      <c r="B99" s="151">
        <v>-9.2000000000000003E-4</v>
      </c>
      <c r="C99" s="151">
        <v>-4.4999999999999999E-4</v>
      </c>
      <c r="D99" s="151">
        <v>-4.4999999999999999E-4</v>
      </c>
      <c r="E99" s="151">
        <v>-3.6999999999999999E-4</v>
      </c>
      <c r="F99" s="151">
        <v>-6.9999999999999999E-4</v>
      </c>
      <c r="G99" s="151">
        <v>-6.9999999999999999E-4</v>
      </c>
      <c r="H99" s="151">
        <v>-3.6999999999999999E-4</v>
      </c>
      <c r="I99" s="151">
        <v>-4.4999999999999999E-4</v>
      </c>
      <c r="J99" s="151">
        <v>-1.2999999999999999E-4</v>
      </c>
      <c r="K99" s="151">
        <v>-1.2999999999999999E-4</v>
      </c>
      <c r="L99" s="151">
        <v>-8.0000000000000007E-5</v>
      </c>
      <c r="M99" s="151">
        <v>-8.0000000000000007E-5</v>
      </c>
      <c r="N99" s="151">
        <v>-8.0000000000000007E-5</v>
      </c>
      <c r="O99" s="151">
        <v>-8.0000000000000007E-5</v>
      </c>
      <c r="P99" s="152"/>
    </row>
    <row r="100" spans="1:19" x14ac:dyDescent="0.2">
      <c r="A100" s="145">
        <v>44500</v>
      </c>
      <c r="B100" s="151">
        <v>-9.2000000000000003E-4</v>
      </c>
      <c r="C100" s="151">
        <v>-4.4999999999999999E-4</v>
      </c>
      <c r="D100" s="151">
        <v>-4.4999999999999999E-4</v>
      </c>
      <c r="E100" s="151">
        <v>-3.6999999999999999E-4</v>
      </c>
      <c r="F100" s="151">
        <v>-6.9999999999999999E-4</v>
      </c>
      <c r="G100" s="151">
        <v>-6.9999999999999999E-4</v>
      </c>
      <c r="H100" s="151">
        <v>-3.6999999999999999E-4</v>
      </c>
      <c r="I100" s="151">
        <v>-4.4999999999999999E-4</v>
      </c>
      <c r="J100" s="151">
        <v>-1.2999999999999999E-4</v>
      </c>
      <c r="K100" s="151">
        <v>-1.2999999999999999E-4</v>
      </c>
      <c r="L100" s="151">
        <v>-8.0000000000000007E-5</v>
      </c>
      <c r="M100" s="151">
        <v>-8.0000000000000007E-5</v>
      </c>
      <c r="N100" s="151">
        <v>-8.0000000000000007E-5</v>
      </c>
      <c r="O100" s="151">
        <v>-8.0000000000000007E-5</v>
      </c>
      <c r="P100" s="152"/>
    </row>
    <row r="101" spans="1:19" x14ac:dyDescent="0.2">
      <c r="A101" s="145">
        <v>44530</v>
      </c>
      <c r="B101" s="151">
        <v>-6.7000000000000002E-4</v>
      </c>
      <c r="C101" s="151">
        <v>-3.3E-4</v>
      </c>
      <c r="D101" s="151">
        <v>-3.3E-4</v>
      </c>
      <c r="E101" s="151">
        <v>-2.7E-4</v>
      </c>
      <c r="F101" s="151">
        <v>-5.1000000000000004E-4</v>
      </c>
      <c r="G101" s="151">
        <v>-5.1000000000000004E-4</v>
      </c>
      <c r="H101" s="151">
        <v>-2.7E-4</v>
      </c>
      <c r="I101" s="151">
        <v>-3.3E-4</v>
      </c>
      <c r="J101" s="151">
        <v>-1E-4</v>
      </c>
      <c r="K101" s="151">
        <v>-1E-4</v>
      </c>
      <c r="L101" s="151">
        <v>-6.0000000000000002E-5</v>
      </c>
      <c r="M101" s="151">
        <v>-6.0000000000000002E-5</v>
      </c>
      <c r="N101" s="151">
        <v>-6.0000000000000002E-5</v>
      </c>
      <c r="O101" s="151">
        <v>-6.0000000000000002E-5</v>
      </c>
      <c r="P101" s="152"/>
      <c r="R101" s="2" t="s">
        <v>46</v>
      </c>
      <c r="S101" s="2" t="s">
        <v>105</v>
      </c>
    </row>
    <row r="102" spans="1:19" x14ac:dyDescent="0.2">
      <c r="A102" s="145">
        <v>44561</v>
      </c>
      <c r="B102" s="151">
        <v>-6.7000000000000002E-4</v>
      </c>
      <c r="C102" s="151">
        <v>-3.3E-4</v>
      </c>
      <c r="D102" s="151">
        <v>-3.3E-4</v>
      </c>
      <c r="E102" s="151">
        <v>-2.7E-4</v>
      </c>
      <c r="F102" s="151">
        <v>-5.1000000000000004E-4</v>
      </c>
      <c r="G102" s="151">
        <v>-5.1000000000000004E-4</v>
      </c>
      <c r="H102" s="151">
        <v>-2.7E-4</v>
      </c>
      <c r="I102" s="151">
        <v>-3.3E-4</v>
      </c>
      <c r="J102" s="151">
        <v>-1E-4</v>
      </c>
      <c r="K102" s="151">
        <v>-1E-4</v>
      </c>
      <c r="L102" s="151">
        <v>-6.0000000000000002E-5</v>
      </c>
      <c r="M102" s="151">
        <v>-6.0000000000000002E-5</v>
      </c>
      <c r="N102" s="151">
        <v>-6.0000000000000002E-5</v>
      </c>
      <c r="O102" s="151">
        <v>-6.0000000000000002E-5</v>
      </c>
      <c r="P102" s="152"/>
    </row>
    <row r="103" spans="1:19" x14ac:dyDescent="0.2">
      <c r="A103" s="145">
        <v>44592</v>
      </c>
      <c r="B103" s="151">
        <v>-6.7000000000000002E-4</v>
      </c>
      <c r="C103" s="151">
        <v>-3.3E-4</v>
      </c>
      <c r="D103" s="151">
        <v>-3.3E-4</v>
      </c>
      <c r="E103" s="151">
        <v>-2.7E-4</v>
      </c>
      <c r="F103" s="151">
        <v>-5.1000000000000004E-4</v>
      </c>
      <c r="G103" s="151">
        <v>-5.1000000000000004E-4</v>
      </c>
      <c r="H103" s="151">
        <v>-2.7E-4</v>
      </c>
      <c r="I103" s="151">
        <v>-3.3E-4</v>
      </c>
      <c r="J103" s="151">
        <v>-1E-4</v>
      </c>
      <c r="K103" s="151">
        <v>-1E-4</v>
      </c>
      <c r="L103" s="151">
        <v>-6.0000000000000002E-5</v>
      </c>
      <c r="M103" s="151">
        <v>-6.0000000000000002E-5</v>
      </c>
      <c r="N103" s="151">
        <v>-6.0000000000000002E-5</v>
      </c>
      <c r="O103" s="151">
        <v>-6.0000000000000002E-5</v>
      </c>
      <c r="P103" s="152"/>
    </row>
    <row r="104" spans="1:19" x14ac:dyDescent="0.2">
      <c r="A104" s="145">
        <v>44620</v>
      </c>
      <c r="B104" s="151">
        <v>-6.7000000000000002E-4</v>
      </c>
      <c r="C104" s="151">
        <v>-3.3E-4</v>
      </c>
      <c r="D104" s="151">
        <v>-3.3E-4</v>
      </c>
      <c r="E104" s="151">
        <v>-2.7E-4</v>
      </c>
      <c r="F104" s="151">
        <v>-5.1000000000000004E-4</v>
      </c>
      <c r="G104" s="151">
        <v>-5.1000000000000004E-4</v>
      </c>
      <c r="H104" s="151">
        <v>-2.7E-4</v>
      </c>
      <c r="I104" s="151">
        <v>-3.3E-4</v>
      </c>
      <c r="J104" s="151">
        <v>-1E-4</v>
      </c>
      <c r="K104" s="151">
        <v>-1E-4</v>
      </c>
      <c r="L104" s="151">
        <v>-6.0000000000000002E-5</v>
      </c>
      <c r="M104" s="151">
        <v>-6.0000000000000002E-5</v>
      </c>
      <c r="N104" s="151">
        <v>-6.0000000000000002E-5</v>
      </c>
      <c r="O104" s="151">
        <v>-6.0000000000000002E-5</v>
      </c>
      <c r="P104" s="152"/>
    </row>
    <row r="105" spans="1:19" x14ac:dyDescent="0.2">
      <c r="A105" s="145">
        <v>44651</v>
      </c>
      <c r="B105" s="151">
        <v>-6.7000000000000002E-4</v>
      </c>
      <c r="C105" s="151">
        <v>-3.3E-4</v>
      </c>
      <c r="D105" s="151">
        <v>-3.3E-4</v>
      </c>
      <c r="E105" s="151">
        <v>-2.7E-4</v>
      </c>
      <c r="F105" s="151">
        <v>-5.1000000000000004E-4</v>
      </c>
      <c r="G105" s="151">
        <v>-5.1000000000000004E-4</v>
      </c>
      <c r="H105" s="151">
        <v>-2.7E-4</v>
      </c>
      <c r="I105" s="151">
        <v>-3.3E-4</v>
      </c>
      <c r="J105" s="151">
        <v>-1E-4</v>
      </c>
      <c r="K105" s="151">
        <v>-1E-4</v>
      </c>
      <c r="L105" s="151">
        <v>-6.0000000000000002E-5</v>
      </c>
      <c r="M105" s="151">
        <v>-6.0000000000000002E-5</v>
      </c>
      <c r="N105" s="151">
        <v>-6.0000000000000002E-5</v>
      </c>
      <c r="O105" s="151">
        <v>-6.0000000000000002E-5</v>
      </c>
      <c r="P105" s="152"/>
    </row>
    <row r="106" spans="1:19" x14ac:dyDescent="0.2">
      <c r="A106" s="145">
        <v>44681</v>
      </c>
      <c r="B106" s="151">
        <v>-6.7000000000000002E-4</v>
      </c>
      <c r="C106" s="151">
        <v>-3.3E-4</v>
      </c>
      <c r="D106" s="151">
        <v>-3.3E-4</v>
      </c>
      <c r="E106" s="151">
        <v>-2.7E-4</v>
      </c>
      <c r="F106" s="151">
        <v>-5.1000000000000004E-4</v>
      </c>
      <c r="G106" s="151">
        <v>-5.1000000000000004E-4</v>
      </c>
      <c r="H106" s="151">
        <v>-2.7E-4</v>
      </c>
      <c r="I106" s="151">
        <v>-3.3E-4</v>
      </c>
      <c r="J106" s="151">
        <v>-1E-4</v>
      </c>
      <c r="K106" s="151">
        <v>-1E-4</v>
      </c>
      <c r="L106" s="151">
        <v>-6.0000000000000002E-5</v>
      </c>
      <c r="M106" s="151">
        <v>-6.0000000000000002E-5</v>
      </c>
      <c r="N106" s="151">
        <v>-6.0000000000000002E-5</v>
      </c>
      <c r="O106" s="151">
        <v>-6.0000000000000002E-5</v>
      </c>
      <c r="P106" s="152"/>
    </row>
    <row r="107" spans="1:19" x14ac:dyDescent="0.2">
      <c r="A107" s="145">
        <v>44712</v>
      </c>
      <c r="B107" s="151">
        <v>-6.7000000000000002E-4</v>
      </c>
      <c r="C107" s="151">
        <v>-3.3E-4</v>
      </c>
      <c r="D107" s="151">
        <v>-3.3E-4</v>
      </c>
      <c r="E107" s="151">
        <v>-2.7E-4</v>
      </c>
      <c r="F107" s="151">
        <v>-5.1000000000000004E-4</v>
      </c>
      <c r="G107" s="151">
        <v>-5.1000000000000004E-4</v>
      </c>
      <c r="H107" s="151">
        <v>-2.7E-4</v>
      </c>
      <c r="I107" s="151">
        <v>-3.3E-4</v>
      </c>
      <c r="J107" s="151">
        <v>-1E-4</v>
      </c>
      <c r="K107" s="151">
        <v>-1E-4</v>
      </c>
      <c r="L107" s="151">
        <v>-6.0000000000000002E-5</v>
      </c>
      <c r="M107" s="151">
        <v>-6.0000000000000002E-5</v>
      </c>
      <c r="N107" s="151">
        <v>-6.0000000000000002E-5</v>
      </c>
      <c r="O107" s="151">
        <v>-6.0000000000000002E-5</v>
      </c>
      <c r="P107" s="152"/>
    </row>
    <row r="108" spans="1:19" x14ac:dyDescent="0.2">
      <c r="A108" s="145">
        <v>44742</v>
      </c>
      <c r="B108" s="151">
        <v>-6.7000000000000002E-4</v>
      </c>
      <c r="C108" s="151">
        <v>-3.3E-4</v>
      </c>
      <c r="D108" s="151">
        <v>-3.3E-4</v>
      </c>
      <c r="E108" s="151">
        <v>-2.7E-4</v>
      </c>
      <c r="F108" s="151">
        <v>-5.1000000000000004E-4</v>
      </c>
      <c r="G108" s="151">
        <v>-5.1000000000000004E-4</v>
      </c>
      <c r="H108" s="151">
        <v>-2.7E-4</v>
      </c>
      <c r="I108" s="151">
        <v>-3.3E-4</v>
      </c>
      <c r="J108" s="151">
        <v>-1E-4</v>
      </c>
      <c r="K108" s="151">
        <v>-1E-4</v>
      </c>
      <c r="L108" s="151">
        <v>-6.0000000000000002E-5</v>
      </c>
      <c r="M108" s="151">
        <v>-6.0000000000000002E-5</v>
      </c>
      <c r="N108" s="151">
        <v>-6.0000000000000002E-5</v>
      </c>
      <c r="O108" s="151">
        <v>-6.0000000000000002E-5</v>
      </c>
      <c r="P108" s="152"/>
    </row>
    <row r="109" spans="1:19" x14ac:dyDescent="0.2">
      <c r="A109" s="145">
        <v>44773</v>
      </c>
      <c r="B109" s="151">
        <v>-6.7000000000000002E-4</v>
      </c>
      <c r="C109" s="151">
        <v>-3.3E-4</v>
      </c>
      <c r="D109" s="151">
        <v>-3.3E-4</v>
      </c>
      <c r="E109" s="151">
        <v>-2.7E-4</v>
      </c>
      <c r="F109" s="151">
        <v>-5.1000000000000004E-4</v>
      </c>
      <c r="G109" s="151">
        <v>-5.1000000000000004E-4</v>
      </c>
      <c r="H109" s="151">
        <v>-2.7E-4</v>
      </c>
      <c r="I109" s="151">
        <v>-3.3E-4</v>
      </c>
      <c r="J109" s="151">
        <v>-1E-4</v>
      </c>
      <c r="K109" s="151">
        <v>-1E-4</v>
      </c>
      <c r="L109" s="151">
        <v>-6.0000000000000002E-5</v>
      </c>
      <c r="M109" s="151">
        <v>-6.0000000000000002E-5</v>
      </c>
      <c r="N109" s="151">
        <v>-6.0000000000000002E-5</v>
      </c>
      <c r="O109" s="151">
        <v>-6.0000000000000002E-5</v>
      </c>
      <c r="P109" s="152"/>
    </row>
    <row r="110" spans="1:19" x14ac:dyDescent="0.2">
      <c r="A110" s="145">
        <v>44804</v>
      </c>
      <c r="B110" s="151">
        <v>-6.7000000000000002E-4</v>
      </c>
      <c r="C110" s="151">
        <v>-3.3E-4</v>
      </c>
      <c r="D110" s="151">
        <v>-3.3E-4</v>
      </c>
      <c r="E110" s="151">
        <v>-2.7E-4</v>
      </c>
      <c r="F110" s="151">
        <v>-5.1000000000000004E-4</v>
      </c>
      <c r="G110" s="151">
        <v>-5.1000000000000004E-4</v>
      </c>
      <c r="H110" s="151">
        <v>-2.7E-4</v>
      </c>
      <c r="I110" s="151">
        <v>-3.3E-4</v>
      </c>
      <c r="J110" s="151">
        <v>-1E-4</v>
      </c>
      <c r="K110" s="151">
        <v>-1E-4</v>
      </c>
      <c r="L110" s="151">
        <v>-6.0000000000000002E-5</v>
      </c>
      <c r="M110" s="151">
        <v>-6.0000000000000002E-5</v>
      </c>
      <c r="N110" s="151">
        <v>-6.0000000000000002E-5</v>
      </c>
      <c r="O110" s="151">
        <v>-6.0000000000000002E-5</v>
      </c>
      <c r="P110" s="152"/>
    </row>
    <row r="111" spans="1:19" x14ac:dyDescent="0.2">
      <c r="A111" s="145">
        <v>44834</v>
      </c>
      <c r="B111" s="151">
        <v>-6.7000000000000002E-4</v>
      </c>
      <c r="C111" s="151">
        <v>-3.3E-4</v>
      </c>
      <c r="D111" s="151">
        <v>-3.3E-4</v>
      </c>
      <c r="E111" s="151">
        <v>-2.7E-4</v>
      </c>
      <c r="F111" s="151">
        <v>-5.1000000000000004E-4</v>
      </c>
      <c r="G111" s="151">
        <v>-5.1000000000000004E-4</v>
      </c>
      <c r="H111" s="151">
        <v>-2.7E-4</v>
      </c>
      <c r="I111" s="151">
        <v>-3.3E-4</v>
      </c>
      <c r="J111" s="151">
        <v>-1E-4</v>
      </c>
      <c r="K111" s="151">
        <v>-1E-4</v>
      </c>
      <c r="L111" s="151">
        <v>-6.0000000000000002E-5</v>
      </c>
      <c r="M111" s="151">
        <v>-6.0000000000000002E-5</v>
      </c>
      <c r="N111" s="151">
        <v>-6.0000000000000002E-5</v>
      </c>
      <c r="O111" s="151">
        <v>-6.0000000000000002E-5</v>
      </c>
      <c r="P111" s="152"/>
    </row>
    <row r="112" spans="1:19" x14ac:dyDescent="0.2">
      <c r="A112" s="145">
        <v>44865</v>
      </c>
      <c r="B112" s="151">
        <v>-6.7000000000000002E-4</v>
      </c>
      <c r="C112" s="151">
        <v>-3.3E-4</v>
      </c>
      <c r="D112" s="151">
        <v>-3.3E-4</v>
      </c>
      <c r="E112" s="151">
        <v>-2.7E-4</v>
      </c>
      <c r="F112" s="151">
        <v>-5.1000000000000004E-4</v>
      </c>
      <c r="G112" s="151">
        <v>-5.1000000000000004E-4</v>
      </c>
      <c r="H112" s="151">
        <v>-2.7E-4</v>
      </c>
      <c r="I112" s="151">
        <v>-3.3E-4</v>
      </c>
      <c r="J112" s="151">
        <v>-1E-4</v>
      </c>
      <c r="K112" s="151">
        <v>-1E-4</v>
      </c>
      <c r="L112" s="151">
        <v>-6.0000000000000002E-5</v>
      </c>
      <c r="M112" s="151">
        <v>-6.0000000000000002E-5</v>
      </c>
      <c r="N112" s="151">
        <v>-6.0000000000000002E-5</v>
      </c>
      <c r="O112" s="151">
        <v>-6.0000000000000002E-5</v>
      </c>
      <c r="P112" s="152"/>
    </row>
    <row r="113" spans="1:30" x14ac:dyDescent="0.2">
      <c r="L113" s="151"/>
      <c r="M113" s="151"/>
      <c r="N113" s="151"/>
      <c r="O113" s="151"/>
      <c r="P113" s="151"/>
    </row>
    <row r="114" spans="1:30" x14ac:dyDescent="0.2">
      <c r="B114" s="150"/>
      <c r="C114" s="150"/>
      <c r="D114" s="150"/>
      <c r="E114" s="150"/>
      <c r="F114" s="150"/>
      <c r="G114" s="150"/>
      <c r="H114" s="150"/>
      <c r="I114" s="150"/>
      <c r="J114" s="150"/>
      <c r="K114" s="25"/>
      <c r="L114" s="25"/>
      <c r="M114" s="25"/>
      <c r="N114" s="25"/>
      <c r="O114" s="25"/>
      <c r="P114" s="25"/>
    </row>
    <row r="115" spans="1:30" x14ac:dyDescent="0.2">
      <c r="B115" s="139">
        <v>503</v>
      </c>
      <c r="C115" s="139" t="s">
        <v>38</v>
      </c>
      <c r="D115" s="139">
        <v>505</v>
      </c>
      <c r="E115" s="139">
        <v>511</v>
      </c>
      <c r="F115" s="139" t="s">
        <v>39</v>
      </c>
      <c r="G115" s="139">
        <v>504</v>
      </c>
      <c r="H115" s="139" t="s">
        <v>41</v>
      </c>
      <c r="I115" s="139" t="s">
        <v>38</v>
      </c>
      <c r="J115" s="139">
        <v>570</v>
      </c>
      <c r="K115" s="139">
        <v>570</v>
      </c>
      <c r="L115" s="142" t="s">
        <v>42</v>
      </c>
      <c r="M115" s="142">
        <v>6631</v>
      </c>
      <c r="N115" s="142">
        <v>6633</v>
      </c>
      <c r="O115" s="142">
        <v>6635</v>
      </c>
      <c r="P115" s="142">
        <v>916</v>
      </c>
      <c r="R115" s="144" t="s">
        <v>51</v>
      </c>
      <c r="T115" s="142">
        <v>4800</v>
      </c>
      <c r="U115" s="142">
        <v>4809</v>
      </c>
      <c r="V115" s="142">
        <v>4810</v>
      </c>
      <c r="W115" s="142">
        <v>4811</v>
      </c>
      <c r="X115" s="142">
        <v>4813</v>
      </c>
      <c r="Y115" s="142" t="s">
        <v>12</v>
      </c>
      <c r="Z115" s="142">
        <v>4861</v>
      </c>
      <c r="AA115" s="142">
        <v>4863</v>
      </c>
      <c r="AB115" s="142" t="s">
        <v>14</v>
      </c>
      <c r="AC115" s="144" t="s">
        <v>51</v>
      </c>
    </row>
    <row r="116" spans="1:30" hidden="1" x14ac:dyDescent="0.2">
      <c r="A116" s="145">
        <f>'TAX Interest Rates'!A17</f>
        <v>43343</v>
      </c>
      <c r="B116" s="153">
        <f t="shared" ref="B116:P116" si="7">ROUND(-B4*B62,2)</f>
        <v>757.64</v>
      </c>
      <c r="C116" s="153">
        <f t="shared" si="7"/>
        <v>0</v>
      </c>
      <c r="D116" s="153">
        <f t="shared" si="7"/>
        <v>59.23</v>
      </c>
      <c r="E116" s="153">
        <f t="shared" si="7"/>
        <v>26.55</v>
      </c>
      <c r="F116" s="153">
        <f t="shared" si="7"/>
        <v>0.09</v>
      </c>
      <c r="G116" s="153">
        <f t="shared" si="7"/>
        <v>571.9</v>
      </c>
      <c r="H116" s="153">
        <f t="shared" si="7"/>
        <v>41.2</v>
      </c>
      <c r="I116" s="153">
        <f t="shared" si="7"/>
        <v>0.13</v>
      </c>
      <c r="J116" s="153">
        <f t="shared" si="7"/>
        <v>0</v>
      </c>
      <c r="K116" s="153">
        <f t="shared" si="7"/>
        <v>10.27</v>
      </c>
      <c r="L116" s="153">
        <f t="shared" si="7"/>
        <v>1884.75</v>
      </c>
      <c r="M116" s="153">
        <f t="shared" si="7"/>
        <v>0</v>
      </c>
      <c r="N116" s="153">
        <f t="shared" si="7"/>
        <v>893.38</v>
      </c>
      <c r="O116" s="153">
        <f t="shared" si="7"/>
        <v>370.54</v>
      </c>
      <c r="P116" s="153">
        <f t="shared" si="7"/>
        <v>1007.5</v>
      </c>
      <c r="R116" s="2">
        <f t="shared" ref="R116:R127" si="8">SUM(B116:Q116)</f>
        <v>5623.18</v>
      </c>
      <c r="T116" s="2">
        <f>+B116</f>
        <v>757.64</v>
      </c>
      <c r="U116" s="2">
        <f>+C116+D116+E116</f>
        <v>85.78</v>
      </c>
      <c r="V116" s="2">
        <f>+F116+G116+H116</f>
        <v>613.19000000000005</v>
      </c>
      <c r="W116" s="2">
        <f>+I116+J116</f>
        <v>0.13</v>
      </c>
      <c r="X116" s="2">
        <f>+K116</f>
        <v>10.27</v>
      </c>
      <c r="Y116" s="2">
        <f>SUM(T116:X116)</f>
        <v>1467.0100000000002</v>
      </c>
      <c r="Z116" s="2">
        <f>+L116</f>
        <v>1884.75</v>
      </c>
      <c r="AA116" s="2">
        <f>+M116+N116+O116+P116</f>
        <v>2271.42</v>
      </c>
      <c r="AB116" s="2">
        <f>SUM(Z116:AA116)</f>
        <v>4156.17</v>
      </c>
      <c r="AC116" s="2">
        <f>+Y116+AB116</f>
        <v>5623.18</v>
      </c>
      <c r="AD116" s="2">
        <f>+R116-Y116-AB116</f>
        <v>0</v>
      </c>
    </row>
    <row r="117" spans="1:30" hidden="1" x14ac:dyDescent="0.2">
      <c r="A117" s="145">
        <f>'TAX Interest Rates'!A18</f>
        <v>43373</v>
      </c>
      <c r="B117" s="153">
        <f t="shared" ref="B117:O117" si="9">ROUND(-B5*B63,2)</f>
        <v>2134.98</v>
      </c>
      <c r="C117" s="153">
        <f t="shared" si="9"/>
        <v>-0.13</v>
      </c>
      <c r="D117" s="153">
        <f t="shared" si="9"/>
        <v>239.77</v>
      </c>
      <c r="E117" s="153">
        <f t="shared" si="9"/>
        <v>72.3</v>
      </c>
      <c r="F117" s="153">
        <f t="shared" si="9"/>
        <v>0.28999999999999998</v>
      </c>
      <c r="G117" s="153">
        <f t="shared" si="9"/>
        <v>1614.83</v>
      </c>
      <c r="H117" s="153">
        <f t="shared" si="9"/>
        <v>115.26</v>
      </c>
      <c r="I117" s="153">
        <f t="shared" si="9"/>
        <v>0.2</v>
      </c>
      <c r="J117" s="153">
        <f t="shared" si="9"/>
        <v>0</v>
      </c>
      <c r="K117" s="153">
        <f t="shared" si="9"/>
        <v>13.05</v>
      </c>
      <c r="L117" s="153">
        <f t="shared" si="9"/>
        <v>2132.2800000000002</v>
      </c>
      <c r="M117" s="153">
        <f t="shared" si="9"/>
        <v>1071.9000000000001</v>
      </c>
      <c r="N117" s="153">
        <f t="shared" si="9"/>
        <v>1006.67</v>
      </c>
      <c r="O117" s="153">
        <f t="shared" si="9"/>
        <v>145.66</v>
      </c>
      <c r="P117" s="153">
        <f>ROUND(-P5*P63,2)</f>
        <v>0</v>
      </c>
      <c r="R117" s="2">
        <f t="shared" si="8"/>
        <v>8547.06</v>
      </c>
      <c r="T117" s="2">
        <f t="shared" ref="T117:T127" si="10">+B117</f>
        <v>2134.98</v>
      </c>
      <c r="U117" s="2">
        <f t="shared" ref="U117:U127" si="11">+C117+D117+E117</f>
        <v>311.94</v>
      </c>
      <c r="V117" s="2">
        <f t="shared" ref="V117:V127" si="12">+F117+G117+H117</f>
        <v>1730.3799999999999</v>
      </c>
      <c r="W117" s="2">
        <f t="shared" ref="W117:W127" si="13">+I117+J117</f>
        <v>0.2</v>
      </c>
      <c r="X117" s="2">
        <f t="shared" ref="X117:X127" si="14">+K117</f>
        <v>13.05</v>
      </c>
      <c r="Y117" s="2">
        <f t="shared" ref="Y117:Y127" si="15">SUM(T117:X117)</f>
        <v>4190.55</v>
      </c>
      <c r="Z117" s="2">
        <f t="shared" ref="Z117:Z127" si="16">+L117</f>
        <v>2132.2800000000002</v>
      </c>
      <c r="AA117" s="2">
        <f t="shared" ref="AA117:AA127" si="17">+M117+N117+O117+P117</f>
        <v>2224.23</v>
      </c>
      <c r="AB117" s="2">
        <f t="shared" ref="AB117:AB127" si="18">SUM(Z117:AA117)</f>
        <v>4356.51</v>
      </c>
      <c r="AC117" s="2">
        <f t="shared" ref="AC117:AC127" si="19">+Y117+AB117</f>
        <v>8547.0600000000013</v>
      </c>
      <c r="AD117" s="2">
        <f t="shared" ref="AD117:AD127" si="20">+R117-Y117-AB117</f>
        <v>0</v>
      </c>
    </row>
    <row r="118" spans="1:30" hidden="1" x14ac:dyDescent="0.2">
      <c r="A118" s="145">
        <f>'TAX Interest Rates'!A19</f>
        <v>43404</v>
      </c>
      <c r="B118" s="153">
        <f t="shared" ref="B118:O118" si="21">ROUND(-B6*B64,2)</f>
        <v>4033.41</v>
      </c>
      <c r="C118" s="153">
        <f t="shared" si="21"/>
        <v>0</v>
      </c>
      <c r="D118" s="153">
        <f t="shared" si="21"/>
        <v>381.69</v>
      </c>
      <c r="E118" s="153">
        <f t="shared" si="21"/>
        <v>134.13999999999999</v>
      </c>
      <c r="F118" s="153">
        <f t="shared" si="21"/>
        <v>1.21</v>
      </c>
      <c r="G118" s="153">
        <f t="shared" si="21"/>
        <v>2470.66</v>
      </c>
      <c r="H118" s="153">
        <f t="shared" si="21"/>
        <v>202.39</v>
      </c>
      <c r="I118" s="153">
        <f t="shared" si="21"/>
        <v>0.01</v>
      </c>
      <c r="J118" s="153">
        <f t="shared" si="21"/>
        <v>0</v>
      </c>
      <c r="K118" s="153">
        <f t="shared" si="21"/>
        <v>21.75</v>
      </c>
      <c r="L118" s="153">
        <f t="shared" si="21"/>
        <v>2271.4</v>
      </c>
      <c r="M118" s="153">
        <f t="shared" si="21"/>
        <v>540</v>
      </c>
      <c r="N118" s="153">
        <f t="shared" si="21"/>
        <v>282.39</v>
      </c>
      <c r="O118" s="153">
        <f t="shared" si="21"/>
        <v>140.11000000000001</v>
      </c>
      <c r="P118" s="153">
        <f>ROUND(-P6*P64,2)</f>
        <v>0</v>
      </c>
      <c r="R118" s="2">
        <f t="shared" si="8"/>
        <v>10479.16</v>
      </c>
      <c r="T118" s="2">
        <f t="shared" si="10"/>
        <v>4033.41</v>
      </c>
      <c r="U118" s="2">
        <f t="shared" si="11"/>
        <v>515.82999999999993</v>
      </c>
      <c r="V118" s="2">
        <f t="shared" si="12"/>
        <v>2674.2599999999998</v>
      </c>
      <c r="W118" s="2">
        <f t="shared" si="13"/>
        <v>0.01</v>
      </c>
      <c r="X118" s="2">
        <f t="shared" si="14"/>
        <v>21.75</v>
      </c>
      <c r="Y118" s="2">
        <f t="shared" si="15"/>
        <v>7245.26</v>
      </c>
      <c r="Z118" s="2">
        <f t="shared" si="16"/>
        <v>2271.4</v>
      </c>
      <c r="AA118" s="2">
        <f t="shared" si="17"/>
        <v>962.5</v>
      </c>
      <c r="AB118" s="2">
        <f t="shared" si="18"/>
        <v>3233.9</v>
      </c>
      <c r="AC118" s="2">
        <f t="shared" si="19"/>
        <v>10479.16</v>
      </c>
      <c r="AD118" s="2">
        <f t="shared" si="20"/>
        <v>0</v>
      </c>
    </row>
    <row r="119" spans="1:30" hidden="1" x14ac:dyDescent="0.2">
      <c r="A119" s="145">
        <f>'TAX Interest Rates'!A20</f>
        <v>43434</v>
      </c>
      <c r="B119" s="153">
        <f t="shared" ref="B119:P119" si="22">ROUND(-B7*B64,2)</f>
        <v>4352.8900000000003</v>
      </c>
      <c r="C119" s="153">
        <f t="shared" si="22"/>
        <v>0</v>
      </c>
      <c r="D119" s="153">
        <f t="shared" si="22"/>
        <v>255.77</v>
      </c>
      <c r="E119" s="153">
        <f t="shared" si="22"/>
        <v>32.24</v>
      </c>
      <c r="F119" s="153">
        <f t="shared" si="22"/>
        <v>0</v>
      </c>
      <c r="G119" s="153">
        <f t="shared" si="22"/>
        <v>2338.1799999999998</v>
      </c>
      <c r="H119" s="153">
        <f t="shared" si="22"/>
        <v>137.94999999999999</v>
      </c>
      <c r="I119" s="153">
        <f t="shared" si="22"/>
        <v>0</v>
      </c>
      <c r="J119" s="153">
        <f t="shared" si="22"/>
        <v>0</v>
      </c>
      <c r="K119" s="153">
        <f t="shared" si="22"/>
        <v>0</v>
      </c>
      <c r="L119" s="153">
        <f t="shared" si="22"/>
        <v>0</v>
      </c>
      <c r="M119" s="153">
        <f t="shared" si="22"/>
        <v>0</v>
      </c>
      <c r="N119" s="153">
        <f t="shared" si="22"/>
        <v>0</v>
      </c>
      <c r="O119" s="153">
        <f t="shared" si="22"/>
        <v>0</v>
      </c>
      <c r="P119" s="153">
        <f t="shared" si="22"/>
        <v>0</v>
      </c>
      <c r="R119" s="2">
        <f t="shared" ref="R119" si="23">SUM(B119:Q119)</f>
        <v>7117.03</v>
      </c>
      <c r="S119" s="2" t="s">
        <v>45</v>
      </c>
      <c r="T119" s="2">
        <f t="shared" ref="T119" si="24">+B119</f>
        <v>4352.8900000000003</v>
      </c>
      <c r="U119" s="2">
        <f t="shared" ref="U119" si="25">+C119+D119+E119</f>
        <v>288.01</v>
      </c>
      <c r="V119" s="2">
        <f t="shared" ref="V119" si="26">+F119+G119+H119</f>
        <v>2476.1299999999997</v>
      </c>
      <c r="W119" s="2">
        <f t="shared" ref="W119" si="27">+I119+J119</f>
        <v>0</v>
      </c>
      <c r="X119" s="2">
        <f t="shared" ref="X119" si="28">+K119</f>
        <v>0</v>
      </c>
      <c r="Y119" s="2">
        <f t="shared" si="15"/>
        <v>7117.0300000000007</v>
      </c>
      <c r="Z119" s="2">
        <f t="shared" si="16"/>
        <v>0</v>
      </c>
      <c r="AA119" s="2">
        <f t="shared" si="17"/>
        <v>0</v>
      </c>
      <c r="AB119" s="2">
        <f t="shared" si="18"/>
        <v>0</v>
      </c>
      <c r="AC119" s="2">
        <f t="shared" si="19"/>
        <v>7117.0300000000007</v>
      </c>
      <c r="AD119" s="2">
        <f t="shared" si="20"/>
        <v>-9.0949470177292824E-13</v>
      </c>
    </row>
    <row r="120" spans="1:30" hidden="1" x14ac:dyDescent="0.2">
      <c r="A120" s="145">
        <f>'TAX Interest Rates'!A20</f>
        <v>43434</v>
      </c>
      <c r="B120" s="153">
        <f t="shared" ref="B120:P120" si="29">ROUND(-B8*B65,2)</f>
        <v>2651.42</v>
      </c>
      <c r="C120" s="153">
        <f t="shared" si="29"/>
        <v>0.03</v>
      </c>
      <c r="D120" s="153">
        <f t="shared" si="29"/>
        <v>119.23</v>
      </c>
      <c r="E120" s="153">
        <f t="shared" si="29"/>
        <v>25.6</v>
      </c>
      <c r="F120" s="153">
        <f t="shared" si="29"/>
        <v>2.1800000000000002</v>
      </c>
      <c r="G120" s="153">
        <f t="shared" si="29"/>
        <v>1337.2</v>
      </c>
      <c r="H120" s="153">
        <f t="shared" si="29"/>
        <v>109.54</v>
      </c>
      <c r="I120" s="153">
        <f t="shared" si="29"/>
        <v>0</v>
      </c>
      <c r="J120" s="153">
        <f t="shared" si="29"/>
        <v>0</v>
      </c>
      <c r="K120" s="153">
        <f t="shared" si="29"/>
        <v>26.12</v>
      </c>
      <c r="L120" s="153">
        <f t="shared" si="29"/>
        <v>1816.41</v>
      </c>
      <c r="M120" s="153">
        <f t="shared" si="29"/>
        <v>5.37</v>
      </c>
      <c r="N120" s="153">
        <f t="shared" si="29"/>
        <v>1.97</v>
      </c>
      <c r="O120" s="153">
        <f t="shared" si="29"/>
        <v>2.37</v>
      </c>
      <c r="P120" s="153">
        <f t="shared" si="29"/>
        <v>0</v>
      </c>
      <c r="R120" s="2">
        <f t="shared" si="8"/>
        <v>6097.44</v>
      </c>
      <c r="S120" s="2" t="s">
        <v>46</v>
      </c>
      <c r="T120" s="2">
        <f t="shared" si="10"/>
        <v>2651.42</v>
      </c>
      <c r="U120" s="2">
        <f t="shared" si="11"/>
        <v>144.86000000000001</v>
      </c>
      <c r="V120" s="2">
        <f t="shared" si="12"/>
        <v>1448.92</v>
      </c>
      <c r="W120" s="2">
        <f t="shared" si="13"/>
        <v>0</v>
      </c>
      <c r="X120" s="2">
        <f t="shared" si="14"/>
        <v>26.12</v>
      </c>
      <c r="Y120" s="2">
        <f t="shared" si="15"/>
        <v>4271.3200000000006</v>
      </c>
      <c r="Z120" s="2">
        <f t="shared" si="16"/>
        <v>1816.41</v>
      </c>
      <c r="AA120" s="2">
        <f t="shared" si="17"/>
        <v>9.7100000000000009</v>
      </c>
      <c r="AB120" s="2">
        <f t="shared" si="18"/>
        <v>1826.1200000000001</v>
      </c>
      <c r="AC120" s="2">
        <f t="shared" si="19"/>
        <v>6097.4400000000005</v>
      </c>
      <c r="AD120" s="2">
        <f t="shared" si="20"/>
        <v>0</v>
      </c>
    </row>
    <row r="121" spans="1:30" hidden="1" x14ac:dyDescent="0.2">
      <c r="A121" s="145">
        <f>'TAX Interest Rates'!A21</f>
        <v>43465</v>
      </c>
      <c r="B121" s="153">
        <f t="shared" ref="B121:O121" si="30">ROUND(-B9*B66,2)</f>
        <v>13965.59</v>
      </c>
      <c r="C121" s="153">
        <f t="shared" si="30"/>
        <v>-0.03</v>
      </c>
      <c r="D121" s="153">
        <f t="shared" si="30"/>
        <v>590.12</v>
      </c>
      <c r="E121" s="153">
        <f t="shared" si="30"/>
        <v>100.75</v>
      </c>
      <c r="F121" s="153">
        <f t="shared" si="30"/>
        <v>3.1</v>
      </c>
      <c r="G121" s="153">
        <f t="shared" si="30"/>
        <v>7219.92</v>
      </c>
      <c r="H121" s="153">
        <f t="shared" si="30"/>
        <v>456.6</v>
      </c>
      <c r="I121" s="153">
        <f t="shared" si="30"/>
        <v>0.06</v>
      </c>
      <c r="J121" s="153">
        <f t="shared" si="30"/>
        <v>0</v>
      </c>
      <c r="K121" s="153">
        <f t="shared" si="30"/>
        <v>31.26</v>
      </c>
      <c r="L121" s="153">
        <f t="shared" si="30"/>
        <v>2054.2800000000002</v>
      </c>
      <c r="M121" s="153">
        <f t="shared" si="30"/>
        <v>1006.78</v>
      </c>
      <c r="N121" s="153">
        <f t="shared" si="30"/>
        <v>311.54000000000002</v>
      </c>
      <c r="O121" s="153">
        <f t="shared" si="30"/>
        <v>4.0199999999999996</v>
      </c>
      <c r="P121" s="153">
        <f t="shared" ref="P121:P127" si="31">ROUND(-P9*P66,2)</f>
        <v>0</v>
      </c>
      <c r="R121" s="2">
        <f t="shared" si="8"/>
        <v>25743.989999999998</v>
      </c>
      <c r="T121" s="2">
        <f t="shared" si="10"/>
        <v>13965.59</v>
      </c>
      <c r="U121" s="2">
        <f t="shared" si="11"/>
        <v>690.84</v>
      </c>
      <c r="V121" s="2">
        <f t="shared" si="12"/>
        <v>7679.6200000000008</v>
      </c>
      <c r="W121" s="2">
        <f t="shared" si="13"/>
        <v>0.06</v>
      </c>
      <c r="X121" s="2">
        <f t="shared" si="14"/>
        <v>31.26</v>
      </c>
      <c r="Y121" s="2">
        <f t="shared" si="15"/>
        <v>22367.370000000003</v>
      </c>
      <c r="Z121" s="2">
        <f t="shared" si="16"/>
        <v>2054.2800000000002</v>
      </c>
      <c r="AA121" s="2">
        <f t="shared" si="17"/>
        <v>1322.34</v>
      </c>
      <c r="AB121" s="2">
        <f t="shared" si="18"/>
        <v>3376.62</v>
      </c>
      <c r="AC121" s="2">
        <f t="shared" si="19"/>
        <v>25743.99</v>
      </c>
      <c r="AD121" s="2">
        <f t="shared" si="20"/>
        <v>-4.5474735088646412E-12</v>
      </c>
    </row>
    <row r="122" spans="1:30" hidden="1" x14ac:dyDescent="0.2">
      <c r="A122" s="145">
        <f>'TAX Interest Rates'!A22</f>
        <v>43496</v>
      </c>
      <c r="B122" s="153">
        <f t="shared" ref="B122:O122" si="32">ROUND(-B10*B67,2)</f>
        <v>15928.97</v>
      </c>
      <c r="C122" s="153">
        <f t="shared" si="32"/>
        <v>0</v>
      </c>
      <c r="D122" s="153">
        <f t="shared" si="32"/>
        <v>573.49</v>
      </c>
      <c r="E122" s="153">
        <f t="shared" si="32"/>
        <v>109.22</v>
      </c>
      <c r="F122" s="153">
        <f t="shared" si="32"/>
        <v>2.91</v>
      </c>
      <c r="G122" s="153">
        <f t="shared" si="32"/>
        <v>8264.32</v>
      </c>
      <c r="H122" s="153">
        <f t="shared" si="32"/>
        <v>487.62</v>
      </c>
      <c r="I122" s="153">
        <f t="shared" si="32"/>
        <v>0</v>
      </c>
      <c r="J122" s="153">
        <f t="shared" si="32"/>
        <v>0</v>
      </c>
      <c r="K122" s="153">
        <f t="shared" si="32"/>
        <v>31.06</v>
      </c>
      <c r="L122" s="153">
        <f t="shared" si="32"/>
        <v>2175.39</v>
      </c>
      <c r="M122" s="153">
        <f t="shared" si="32"/>
        <v>1046.1099999999999</v>
      </c>
      <c r="N122" s="153">
        <f t="shared" si="32"/>
        <v>286.17</v>
      </c>
      <c r="O122" s="153">
        <f t="shared" si="32"/>
        <v>7.43</v>
      </c>
      <c r="P122" s="153">
        <f t="shared" si="31"/>
        <v>0</v>
      </c>
      <c r="R122" s="2">
        <f t="shared" si="8"/>
        <v>28912.69</v>
      </c>
      <c r="T122" s="2">
        <f t="shared" si="10"/>
        <v>15928.97</v>
      </c>
      <c r="U122" s="2">
        <f t="shared" si="11"/>
        <v>682.71</v>
      </c>
      <c r="V122" s="2">
        <f t="shared" si="12"/>
        <v>8754.85</v>
      </c>
      <c r="W122" s="2">
        <f t="shared" si="13"/>
        <v>0</v>
      </c>
      <c r="X122" s="2">
        <f t="shared" si="14"/>
        <v>31.06</v>
      </c>
      <c r="Y122" s="2">
        <f t="shared" si="15"/>
        <v>25397.59</v>
      </c>
      <c r="Z122" s="2">
        <f t="shared" si="16"/>
        <v>2175.39</v>
      </c>
      <c r="AA122" s="2">
        <f t="shared" si="17"/>
        <v>1339.71</v>
      </c>
      <c r="AB122" s="2">
        <f t="shared" si="18"/>
        <v>3515.1</v>
      </c>
      <c r="AC122" s="2">
        <f t="shared" si="19"/>
        <v>28912.69</v>
      </c>
      <c r="AD122" s="2">
        <f t="shared" si="20"/>
        <v>0</v>
      </c>
    </row>
    <row r="123" spans="1:30" hidden="1" x14ac:dyDescent="0.2">
      <c r="A123" s="145">
        <f>'TAX Interest Rates'!A23</f>
        <v>43524</v>
      </c>
      <c r="B123" s="153">
        <f t="shared" ref="B123:O123" si="33">ROUND(-B11*B68,2)</f>
        <v>17077.72</v>
      </c>
      <c r="C123" s="153">
        <f t="shared" si="33"/>
        <v>0</v>
      </c>
      <c r="D123" s="153">
        <f t="shared" si="33"/>
        <v>646.46</v>
      </c>
      <c r="E123" s="153">
        <f t="shared" si="33"/>
        <v>107.57</v>
      </c>
      <c r="F123" s="153">
        <f t="shared" si="33"/>
        <v>3.46</v>
      </c>
      <c r="G123" s="153">
        <f t="shared" si="33"/>
        <v>8812.58</v>
      </c>
      <c r="H123" s="153">
        <f t="shared" si="33"/>
        <v>504.07</v>
      </c>
      <c r="I123" s="153">
        <f t="shared" si="33"/>
        <v>0</v>
      </c>
      <c r="J123" s="153">
        <f t="shared" si="33"/>
        <v>0</v>
      </c>
      <c r="K123" s="153">
        <f t="shared" si="33"/>
        <v>32.42</v>
      </c>
      <c r="L123" s="153">
        <f t="shared" si="33"/>
        <v>2115.77</v>
      </c>
      <c r="M123" s="153">
        <f t="shared" si="33"/>
        <v>518.62</v>
      </c>
      <c r="N123" s="153">
        <f t="shared" si="33"/>
        <v>409.27</v>
      </c>
      <c r="O123" s="153">
        <f t="shared" si="33"/>
        <v>16.010000000000002</v>
      </c>
      <c r="P123" s="153">
        <f t="shared" si="31"/>
        <v>0</v>
      </c>
      <c r="R123" s="2">
        <f t="shared" si="8"/>
        <v>30243.949999999997</v>
      </c>
      <c r="T123" s="2">
        <f t="shared" si="10"/>
        <v>17077.72</v>
      </c>
      <c r="U123" s="2">
        <f t="shared" si="11"/>
        <v>754.03</v>
      </c>
      <c r="V123" s="2">
        <f t="shared" si="12"/>
        <v>9320.1099999999988</v>
      </c>
      <c r="W123" s="2">
        <f t="shared" si="13"/>
        <v>0</v>
      </c>
      <c r="X123" s="2">
        <f t="shared" si="14"/>
        <v>32.42</v>
      </c>
      <c r="Y123" s="2">
        <f t="shared" si="15"/>
        <v>27184.28</v>
      </c>
      <c r="Z123" s="2">
        <f t="shared" si="16"/>
        <v>2115.77</v>
      </c>
      <c r="AA123" s="2">
        <f t="shared" si="17"/>
        <v>943.9</v>
      </c>
      <c r="AB123" s="2">
        <f t="shared" si="18"/>
        <v>3059.67</v>
      </c>
      <c r="AC123" s="2">
        <f t="shared" si="19"/>
        <v>30243.949999999997</v>
      </c>
      <c r="AD123" s="2">
        <f t="shared" si="20"/>
        <v>0</v>
      </c>
    </row>
    <row r="124" spans="1:30" hidden="1" x14ac:dyDescent="0.2">
      <c r="A124" s="145">
        <f>'TAX Interest Rates'!A24</f>
        <v>43555</v>
      </c>
      <c r="B124" s="153">
        <f t="shared" ref="B124:O124" si="34">ROUND(-B12*B69,2)</f>
        <v>18373.47</v>
      </c>
      <c r="C124" s="153">
        <f t="shared" si="34"/>
        <v>0</v>
      </c>
      <c r="D124" s="153">
        <f t="shared" si="34"/>
        <v>717.89</v>
      </c>
      <c r="E124" s="153">
        <f t="shared" si="34"/>
        <v>113.67</v>
      </c>
      <c r="F124" s="153">
        <f t="shared" si="34"/>
        <v>2.2200000000000002</v>
      </c>
      <c r="G124" s="153">
        <f t="shared" si="34"/>
        <v>10043.35</v>
      </c>
      <c r="H124" s="153">
        <f t="shared" si="34"/>
        <v>544.54</v>
      </c>
      <c r="I124" s="153">
        <f t="shared" si="34"/>
        <v>0</v>
      </c>
      <c r="J124" s="153">
        <f t="shared" si="34"/>
        <v>0</v>
      </c>
      <c r="K124" s="153">
        <f t="shared" si="34"/>
        <v>29.78</v>
      </c>
      <c r="L124" s="153">
        <f t="shared" si="34"/>
        <v>2060.88</v>
      </c>
      <c r="M124" s="153">
        <f t="shared" si="34"/>
        <v>687.24</v>
      </c>
      <c r="N124" s="153">
        <f t="shared" si="34"/>
        <v>216.17</v>
      </c>
      <c r="O124" s="153">
        <f t="shared" si="34"/>
        <v>0</v>
      </c>
      <c r="P124" s="153">
        <f t="shared" si="31"/>
        <v>0</v>
      </c>
      <c r="R124" s="2">
        <f t="shared" si="8"/>
        <v>32789.21</v>
      </c>
      <c r="T124" s="2">
        <f t="shared" si="10"/>
        <v>18373.47</v>
      </c>
      <c r="U124" s="2">
        <f t="shared" si="11"/>
        <v>831.56</v>
      </c>
      <c r="V124" s="2">
        <f t="shared" si="12"/>
        <v>10590.11</v>
      </c>
      <c r="W124" s="2">
        <f t="shared" si="13"/>
        <v>0</v>
      </c>
      <c r="X124" s="2">
        <f t="shared" si="14"/>
        <v>29.78</v>
      </c>
      <c r="Y124" s="2">
        <f t="shared" si="15"/>
        <v>29824.920000000002</v>
      </c>
      <c r="Z124" s="2">
        <f t="shared" si="16"/>
        <v>2060.88</v>
      </c>
      <c r="AA124" s="2">
        <f t="shared" si="17"/>
        <v>903.41</v>
      </c>
      <c r="AB124" s="2">
        <f t="shared" si="18"/>
        <v>2964.29</v>
      </c>
      <c r="AC124" s="2">
        <f t="shared" si="19"/>
        <v>32789.21</v>
      </c>
      <c r="AD124" s="2">
        <f t="shared" si="20"/>
        <v>0</v>
      </c>
    </row>
    <row r="125" spans="1:30" hidden="1" x14ac:dyDescent="0.2">
      <c r="A125" s="145">
        <f>'TAX Interest Rates'!A25</f>
        <v>43585</v>
      </c>
      <c r="B125" s="153">
        <f t="shared" ref="B125:O125" si="35">ROUND(-B13*B70,2)</f>
        <v>10055.129999999999</v>
      </c>
      <c r="C125" s="153">
        <f t="shared" si="35"/>
        <v>0</v>
      </c>
      <c r="D125" s="153">
        <f t="shared" si="35"/>
        <v>532.52</v>
      </c>
      <c r="E125" s="153">
        <f t="shared" si="35"/>
        <v>111.89</v>
      </c>
      <c r="F125" s="153">
        <f t="shared" si="35"/>
        <v>1.42</v>
      </c>
      <c r="G125" s="153">
        <f t="shared" si="35"/>
        <v>5730.82</v>
      </c>
      <c r="H125" s="153">
        <f t="shared" si="35"/>
        <v>339.52</v>
      </c>
      <c r="I125" s="153">
        <f t="shared" si="35"/>
        <v>0.05</v>
      </c>
      <c r="J125" s="153">
        <f t="shared" si="35"/>
        <v>0</v>
      </c>
      <c r="K125" s="153">
        <f t="shared" si="35"/>
        <v>22.98</v>
      </c>
      <c r="L125" s="153">
        <f t="shared" si="35"/>
        <v>1946.62</v>
      </c>
      <c r="M125" s="153">
        <f t="shared" si="35"/>
        <v>531.59</v>
      </c>
      <c r="N125" s="153">
        <f t="shared" si="35"/>
        <v>178.58</v>
      </c>
      <c r="O125" s="153">
        <f t="shared" si="35"/>
        <v>1.7</v>
      </c>
      <c r="P125" s="153">
        <f t="shared" si="31"/>
        <v>0</v>
      </c>
      <c r="R125" s="2">
        <f t="shared" si="8"/>
        <v>19452.82</v>
      </c>
      <c r="T125" s="2">
        <f t="shared" si="10"/>
        <v>10055.129999999999</v>
      </c>
      <c r="U125" s="2">
        <f t="shared" si="11"/>
        <v>644.41</v>
      </c>
      <c r="V125" s="2">
        <f t="shared" si="12"/>
        <v>6071.76</v>
      </c>
      <c r="W125" s="2">
        <f t="shared" si="13"/>
        <v>0.05</v>
      </c>
      <c r="X125" s="2">
        <f t="shared" si="14"/>
        <v>22.98</v>
      </c>
      <c r="Y125" s="2">
        <f t="shared" si="15"/>
        <v>16794.329999999998</v>
      </c>
      <c r="Z125" s="2">
        <f t="shared" si="16"/>
        <v>1946.62</v>
      </c>
      <c r="AA125" s="2">
        <f t="shared" si="17"/>
        <v>711.87000000000012</v>
      </c>
      <c r="AB125" s="2">
        <f t="shared" si="18"/>
        <v>2658.49</v>
      </c>
      <c r="AC125" s="2">
        <f t="shared" si="19"/>
        <v>19452.82</v>
      </c>
      <c r="AD125" s="2">
        <f t="shared" si="20"/>
        <v>0</v>
      </c>
    </row>
    <row r="126" spans="1:30" hidden="1" x14ac:dyDescent="0.2">
      <c r="A126" s="145">
        <f>'TAX Interest Rates'!A26</f>
        <v>43616</v>
      </c>
      <c r="B126" s="153">
        <f t="shared" ref="B126:O126" si="36">ROUND(-B14*B71,2)</f>
        <v>6075.85</v>
      </c>
      <c r="C126" s="153">
        <f t="shared" si="36"/>
        <v>0</v>
      </c>
      <c r="D126" s="153">
        <f t="shared" si="36"/>
        <v>315.95</v>
      </c>
      <c r="E126" s="153">
        <f t="shared" si="36"/>
        <v>88.33</v>
      </c>
      <c r="F126" s="153">
        <f t="shared" si="36"/>
        <v>0.41</v>
      </c>
      <c r="G126" s="153">
        <f t="shared" si="36"/>
        <v>3383.43</v>
      </c>
      <c r="H126" s="153">
        <f t="shared" si="36"/>
        <v>228.43</v>
      </c>
      <c r="I126" s="153">
        <f t="shared" si="36"/>
        <v>0.06</v>
      </c>
      <c r="J126" s="153">
        <f t="shared" si="36"/>
        <v>0</v>
      </c>
      <c r="K126" s="153">
        <f t="shared" si="36"/>
        <v>17.07</v>
      </c>
      <c r="L126" s="153">
        <f t="shared" si="36"/>
        <v>2089.35</v>
      </c>
      <c r="M126" s="153">
        <f t="shared" si="36"/>
        <v>373.85</v>
      </c>
      <c r="N126" s="153">
        <f t="shared" si="36"/>
        <v>26.74</v>
      </c>
      <c r="O126" s="153">
        <f t="shared" si="36"/>
        <v>16.38</v>
      </c>
      <c r="P126" s="153">
        <f t="shared" si="31"/>
        <v>0</v>
      </c>
      <c r="R126" s="2">
        <f t="shared" si="8"/>
        <v>12615.849999999999</v>
      </c>
      <c r="T126" s="2">
        <f t="shared" si="10"/>
        <v>6075.85</v>
      </c>
      <c r="U126" s="2">
        <f t="shared" si="11"/>
        <v>404.28</v>
      </c>
      <c r="V126" s="2">
        <f t="shared" si="12"/>
        <v>3612.2699999999995</v>
      </c>
      <c r="W126" s="2">
        <f t="shared" si="13"/>
        <v>0.06</v>
      </c>
      <c r="X126" s="2">
        <f t="shared" si="14"/>
        <v>17.07</v>
      </c>
      <c r="Y126" s="2">
        <f t="shared" si="15"/>
        <v>10109.529999999999</v>
      </c>
      <c r="Z126" s="2">
        <f t="shared" si="16"/>
        <v>2089.35</v>
      </c>
      <c r="AA126" s="2">
        <f t="shared" si="17"/>
        <v>416.97</v>
      </c>
      <c r="AB126" s="2">
        <f t="shared" si="18"/>
        <v>2506.3199999999997</v>
      </c>
      <c r="AC126" s="2">
        <f t="shared" si="19"/>
        <v>12615.849999999999</v>
      </c>
      <c r="AD126" s="2">
        <f t="shared" si="20"/>
        <v>0</v>
      </c>
    </row>
    <row r="127" spans="1:30" hidden="1" x14ac:dyDescent="0.2">
      <c r="A127" s="145">
        <f>'TAX Interest Rates'!A27</f>
        <v>43646</v>
      </c>
      <c r="B127" s="153">
        <f t="shared" ref="B127:O127" si="37">ROUND(-B15*B72,2)</f>
        <v>3318.3</v>
      </c>
      <c r="C127" s="153">
        <f t="shared" si="37"/>
        <v>0</v>
      </c>
      <c r="D127" s="153">
        <f t="shared" si="37"/>
        <v>231.62</v>
      </c>
      <c r="E127" s="153">
        <f t="shared" si="37"/>
        <v>90.76</v>
      </c>
      <c r="F127" s="153">
        <f t="shared" si="37"/>
        <v>0.23</v>
      </c>
      <c r="G127" s="153">
        <f t="shared" si="37"/>
        <v>2183.25</v>
      </c>
      <c r="H127" s="153">
        <f t="shared" si="37"/>
        <v>158.38</v>
      </c>
      <c r="I127" s="153">
        <f t="shared" si="37"/>
        <v>0</v>
      </c>
      <c r="J127" s="153">
        <f t="shared" si="37"/>
        <v>0</v>
      </c>
      <c r="K127" s="153">
        <f t="shared" si="37"/>
        <v>13.32</v>
      </c>
      <c r="L127" s="153">
        <f t="shared" si="37"/>
        <v>1894.21</v>
      </c>
      <c r="M127" s="153">
        <f t="shared" si="37"/>
        <v>547.72</v>
      </c>
      <c r="N127" s="153">
        <f t="shared" si="37"/>
        <v>474.38</v>
      </c>
      <c r="O127" s="153">
        <f t="shared" si="37"/>
        <v>77.900000000000006</v>
      </c>
      <c r="P127" s="153">
        <f t="shared" si="31"/>
        <v>0</v>
      </c>
      <c r="R127" s="2">
        <f t="shared" si="8"/>
        <v>8990.0699999999979</v>
      </c>
      <c r="T127" s="2">
        <f t="shared" si="10"/>
        <v>3318.3</v>
      </c>
      <c r="U127" s="2">
        <f t="shared" si="11"/>
        <v>322.38</v>
      </c>
      <c r="V127" s="2">
        <f t="shared" si="12"/>
        <v>2341.86</v>
      </c>
      <c r="W127" s="2">
        <f t="shared" si="13"/>
        <v>0</v>
      </c>
      <c r="X127" s="2">
        <f t="shared" si="14"/>
        <v>13.32</v>
      </c>
      <c r="Y127" s="2">
        <f t="shared" si="15"/>
        <v>5995.8600000000006</v>
      </c>
      <c r="Z127" s="2">
        <f t="shared" si="16"/>
        <v>1894.21</v>
      </c>
      <c r="AA127" s="2">
        <f t="shared" si="17"/>
        <v>1100</v>
      </c>
      <c r="AB127" s="2">
        <f t="shared" si="18"/>
        <v>2994.21</v>
      </c>
      <c r="AC127" s="2">
        <f t="shared" si="19"/>
        <v>8990.07</v>
      </c>
      <c r="AD127" s="2">
        <f t="shared" si="20"/>
        <v>0</v>
      </c>
    </row>
    <row r="128" spans="1:30" hidden="1" x14ac:dyDescent="0.2">
      <c r="A128" s="145">
        <f>'TAX Interest Rates'!A28</f>
        <v>43677</v>
      </c>
      <c r="B128" s="153">
        <f t="shared" ref="B128:P128" si="38">ROUND(-B16*B73,2)</f>
        <v>2638.37</v>
      </c>
      <c r="C128" s="153">
        <f t="shared" si="38"/>
        <v>0</v>
      </c>
      <c r="D128" s="153">
        <f t="shared" si="38"/>
        <v>214.87</v>
      </c>
      <c r="E128" s="153">
        <f t="shared" si="38"/>
        <v>104.02</v>
      </c>
      <c r="F128" s="153">
        <f t="shared" si="38"/>
        <v>0.1</v>
      </c>
      <c r="G128" s="153">
        <f t="shared" si="38"/>
        <v>1924.35</v>
      </c>
      <c r="H128" s="153">
        <f t="shared" si="38"/>
        <v>134.01</v>
      </c>
      <c r="I128" s="153">
        <f t="shared" si="38"/>
        <v>7.0000000000000007E-2</v>
      </c>
      <c r="J128" s="153">
        <f t="shared" si="38"/>
        <v>0</v>
      </c>
      <c r="K128" s="153">
        <f t="shared" si="38"/>
        <v>14.4</v>
      </c>
      <c r="L128" s="153">
        <f t="shared" si="38"/>
        <v>1825.27</v>
      </c>
      <c r="M128" s="153">
        <f t="shared" si="38"/>
        <v>1015.08</v>
      </c>
      <c r="N128" s="153">
        <f t="shared" si="38"/>
        <v>988.6</v>
      </c>
      <c r="O128" s="153">
        <f t="shared" si="38"/>
        <v>353.54</v>
      </c>
      <c r="P128" s="153">
        <f t="shared" si="38"/>
        <v>0</v>
      </c>
      <c r="R128" s="2">
        <f t="shared" ref="R128:R134" si="39">SUM(B128:Q128)</f>
        <v>9212.68</v>
      </c>
      <c r="T128" s="2">
        <f t="shared" ref="T128:T134" si="40">+B128</f>
        <v>2638.37</v>
      </c>
      <c r="U128" s="2">
        <f t="shared" ref="U128:U134" si="41">+C128+D128+E128</f>
        <v>318.89</v>
      </c>
      <c r="V128" s="2">
        <f t="shared" ref="V128:V134" si="42">+F128+G128+H128</f>
        <v>2058.46</v>
      </c>
      <c r="W128" s="2">
        <f t="shared" ref="W128:W134" si="43">+I128+J128</f>
        <v>7.0000000000000007E-2</v>
      </c>
      <c r="X128" s="2">
        <f t="shared" ref="X128:X134" si="44">+K128</f>
        <v>14.4</v>
      </c>
      <c r="Y128" s="2">
        <f t="shared" ref="Y128:Y134" si="45">SUM(T128:X128)</f>
        <v>5030.1899999999987</v>
      </c>
      <c r="Z128" s="2">
        <f t="shared" ref="Z128:Z134" si="46">+L128</f>
        <v>1825.27</v>
      </c>
      <c r="AA128" s="2">
        <f t="shared" ref="AA128:AA134" si="47">+M128+N128+O128+P128</f>
        <v>2357.2200000000003</v>
      </c>
      <c r="AB128" s="2">
        <f t="shared" ref="AB128:AB134" si="48">SUM(Z128:AA128)</f>
        <v>4182.49</v>
      </c>
      <c r="AC128" s="2">
        <f t="shared" ref="AC128:AC134" si="49">+Y128+AB128</f>
        <v>9212.6799999999985</v>
      </c>
      <c r="AD128" s="2">
        <f t="shared" ref="AD128:AD134" si="50">+R128-Y128-AB128</f>
        <v>0</v>
      </c>
    </row>
    <row r="129" spans="1:30" hidden="1" x14ac:dyDescent="0.2">
      <c r="A129" s="145">
        <f>'TAX Interest Rates'!A29</f>
        <v>43708</v>
      </c>
      <c r="B129" s="153">
        <f t="shared" ref="B129:P129" si="51">ROUND(-B17*B74,2)</f>
        <v>2275.58</v>
      </c>
      <c r="C129" s="153">
        <f t="shared" si="51"/>
        <v>0</v>
      </c>
      <c r="D129" s="153">
        <f t="shared" si="51"/>
        <v>225.76</v>
      </c>
      <c r="E129" s="153">
        <f t="shared" si="51"/>
        <v>115.77</v>
      </c>
      <c r="F129" s="153">
        <f t="shared" si="51"/>
        <v>0.09</v>
      </c>
      <c r="G129" s="153">
        <f t="shared" si="51"/>
        <v>1758.82</v>
      </c>
      <c r="H129" s="153">
        <f t="shared" si="51"/>
        <v>132.31</v>
      </c>
      <c r="I129" s="153">
        <f t="shared" si="51"/>
        <v>0</v>
      </c>
      <c r="J129" s="153">
        <f t="shared" si="51"/>
        <v>0</v>
      </c>
      <c r="K129" s="153">
        <f t="shared" si="51"/>
        <v>11.24</v>
      </c>
      <c r="L129" s="153">
        <f t="shared" si="51"/>
        <v>1973.38</v>
      </c>
      <c r="M129" s="153">
        <f t="shared" si="51"/>
        <v>1131.53</v>
      </c>
      <c r="N129" s="153">
        <f t="shared" si="51"/>
        <v>1092.3699999999999</v>
      </c>
      <c r="O129" s="153">
        <f t="shared" si="51"/>
        <v>665.07</v>
      </c>
      <c r="P129" s="153">
        <f t="shared" si="51"/>
        <v>0</v>
      </c>
      <c r="R129" s="2">
        <f t="shared" si="39"/>
        <v>9381.92</v>
      </c>
      <c r="T129" s="2">
        <f t="shared" si="40"/>
        <v>2275.58</v>
      </c>
      <c r="U129" s="2">
        <f t="shared" si="41"/>
        <v>341.53</v>
      </c>
      <c r="V129" s="2">
        <f t="shared" si="42"/>
        <v>1891.2199999999998</v>
      </c>
      <c r="W129" s="2">
        <f t="shared" si="43"/>
        <v>0</v>
      </c>
      <c r="X129" s="2">
        <f t="shared" si="44"/>
        <v>11.24</v>
      </c>
      <c r="Y129" s="2">
        <f t="shared" si="45"/>
        <v>4519.57</v>
      </c>
      <c r="Z129" s="2">
        <f t="shared" si="46"/>
        <v>1973.38</v>
      </c>
      <c r="AA129" s="2">
        <f t="shared" si="47"/>
        <v>2888.97</v>
      </c>
      <c r="AB129" s="2">
        <f t="shared" si="48"/>
        <v>4862.3500000000004</v>
      </c>
      <c r="AC129" s="2">
        <f t="shared" si="49"/>
        <v>9381.92</v>
      </c>
      <c r="AD129" s="2">
        <f t="shared" si="50"/>
        <v>0</v>
      </c>
    </row>
    <row r="130" spans="1:30" hidden="1" x14ac:dyDescent="0.2">
      <c r="A130" s="145">
        <f>'TAX Interest Rates'!A30</f>
        <v>43738</v>
      </c>
      <c r="B130" s="153">
        <f t="shared" ref="B130:P130" si="52">ROUND(-B18*B75,2)</f>
        <v>2207.31</v>
      </c>
      <c r="C130" s="153">
        <f t="shared" si="52"/>
        <v>0</v>
      </c>
      <c r="D130" s="153">
        <f t="shared" si="52"/>
        <v>260.79000000000002</v>
      </c>
      <c r="E130" s="153">
        <f t="shared" si="52"/>
        <v>102.5</v>
      </c>
      <c r="F130" s="153">
        <f t="shared" si="52"/>
        <v>0.39</v>
      </c>
      <c r="G130" s="153">
        <f t="shared" si="52"/>
        <v>1683.79</v>
      </c>
      <c r="H130" s="153">
        <f t="shared" si="52"/>
        <v>114.46</v>
      </c>
      <c r="I130" s="153">
        <f t="shared" si="52"/>
        <v>0.16</v>
      </c>
      <c r="J130" s="153">
        <f t="shared" si="52"/>
        <v>0</v>
      </c>
      <c r="K130" s="153">
        <f t="shared" si="52"/>
        <v>13.37</v>
      </c>
      <c r="L130" s="153">
        <f t="shared" si="52"/>
        <v>2198.89</v>
      </c>
      <c r="M130" s="153">
        <f t="shared" si="52"/>
        <v>1095.78</v>
      </c>
      <c r="N130" s="153">
        <f t="shared" si="52"/>
        <v>1015.9</v>
      </c>
      <c r="O130" s="153">
        <f t="shared" si="52"/>
        <v>339.68</v>
      </c>
      <c r="P130" s="153">
        <f t="shared" si="52"/>
        <v>0</v>
      </c>
      <c r="R130" s="2">
        <f t="shared" si="39"/>
        <v>9033.02</v>
      </c>
      <c r="T130" s="2">
        <f t="shared" si="40"/>
        <v>2207.31</v>
      </c>
      <c r="U130" s="2">
        <f t="shared" si="41"/>
        <v>363.29</v>
      </c>
      <c r="V130" s="2">
        <f t="shared" si="42"/>
        <v>1798.64</v>
      </c>
      <c r="W130" s="2">
        <f t="shared" si="43"/>
        <v>0.16</v>
      </c>
      <c r="X130" s="2">
        <f t="shared" si="44"/>
        <v>13.37</v>
      </c>
      <c r="Y130" s="2">
        <f t="shared" si="45"/>
        <v>4382.7699999999995</v>
      </c>
      <c r="Z130" s="2">
        <f t="shared" si="46"/>
        <v>2198.89</v>
      </c>
      <c r="AA130" s="2">
        <f t="shared" si="47"/>
        <v>2451.3599999999997</v>
      </c>
      <c r="AB130" s="2">
        <f t="shared" si="48"/>
        <v>4650.25</v>
      </c>
      <c r="AC130" s="2">
        <f t="shared" si="49"/>
        <v>9033.02</v>
      </c>
      <c r="AD130" s="2">
        <f t="shared" si="50"/>
        <v>0</v>
      </c>
    </row>
    <row r="131" spans="1:30" hidden="1" x14ac:dyDescent="0.2">
      <c r="A131" s="145">
        <f>'TAX Interest Rates'!A31</f>
        <v>43769</v>
      </c>
      <c r="B131" s="153">
        <f t="shared" ref="B131:P131" si="53">ROUND(-B19*B76,2)</f>
        <v>5220.5</v>
      </c>
      <c r="C131" s="153">
        <f t="shared" si="53"/>
        <v>0</v>
      </c>
      <c r="D131" s="153">
        <f t="shared" si="53"/>
        <v>509.74</v>
      </c>
      <c r="E131" s="153">
        <f t="shared" si="53"/>
        <v>136.38</v>
      </c>
      <c r="F131" s="153">
        <f t="shared" si="53"/>
        <v>1.86</v>
      </c>
      <c r="G131" s="153">
        <f t="shared" si="53"/>
        <v>3057.67</v>
      </c>
      <c r="H131" s="153">
        <f t="shared" si="53"/>
        <v>669.15</v>
      </c>
      <c r="I131" s="153">
        <f t="shared" si="53"/>
        <v>0.13</v>
      </c>
      <c r="J131" s="153">
        <f t="shared" si="53"/>
        <v>0</v>
      </c>
      <c r="K131" s="153">
        <f t="shared" si="53"/>
        <v>27.94</v>
      </c>
      <c r="L131" s="153">
        <f t="shared" si="53"/>
        <v>2408.67</v>
      </c>
      <c r="M131" s="153">
        <f t="shared" si="53"/>
        <v>774.64</v>
      </c>
      <c r="N131" s="153">
        <f t="shared" si="53"/>
        <v>46.7</v>
      </c>
      <c r="O131" s="153">
        <f t="shared" si="53"/>
        <v>62.82</v>
      </c>
      <c r="P131" s="153">
        <f t="shared" si="53"/>
        <v>0</v>
      </c>
      <c r="R131" s="2">
        <f t="shared" si="39"/>
        <v>12916.199999999999</v>
      </c>
      <c r="T131" s="2">
        <f t="shared" si="40"/>
        <v>5220.5</v>
      </c>
      <c r="U131" s="2">
        <f t="shared" si="41"/>
        <v>646.12</v>
      </c>
      <c r="V131" s="2">
        <f t="shared" si="42"/>
        <v>3728.6800000000003</v>
      </c>
      <c r="W131" s="2">
        <f t="shared" si="43"/>
        <v>0.13</v>
      </c>
      <c r="X131" s="2">
        <f t="shared" si="44"/>
        <v>27.94</v>
      </c>
      <c r="Y131" s="2">
        <f t="shared" si="45"/>
        <v>9623.369999999999</v>
      </c>
      <c r="Z131" s="2">
        <f t="shared" si="46"/>
        <v>2408.67</v>
      </c>
      <c r="AA131" s="2">
        <f t="shared" si="47"/>
        <v>884.16000000000008</v>
      </c>
      <c r="AB131" s="2">
        <f t="shared" si="48"/>
        <v>3292.83</v>
      </c>
      <c r="AC131" s="2">
        <f t="shared" si="49"/>
        <v>12916.199999999999</v>
      </c>
      <c r="AD131" s="2">
        <f t="shared" si="50"/>
        <v>0</v>
      </c>
    </row>
    <row r="132" spans="1:30" hidden="1" x14ac:dyDescent="0.2">
      <c r="A132" s="145">
        <f>'TAX Interest Rates'!A32</f>
        <v>43799</v>
      </c>
      <c r="B132" s="153">
        <f>ROUND(-B20*B76,2)</f>
        <v>6250.15</v>
      </c>
      <c r="C132" s="153">
        <f t="shared" ref="C132:P132" si="54">ROUND(-C20*C76,2)</f>
        <v>0</v>
      </c>
      <c r="D132" s="153">
        <f t="shared" si="54"/>
        <v>322.58</v>
      </c>
      <c r="E132" s="153">
        <f t="shared" si="54"/>
        <v>96.45</v>
      </c>
      <c r="F132" s="153">
        <f t="shared" si="54"/>
        <v>0</v>
      </c>
      <c r="G132" s="153">
        <f t="shared" si="54"/>
        <v>3351.06</v>
      </c>
      <c r="H132" s="153">
        <f t="shared" si="54"/>
        <v>206.87</v>
      </c>
      <c r="I132" s="153">
        <f t="shared" si="54"/>
        <v>0</v>
      </c>
      <c r="J132" s="153">
        <f t="shared" si="54"/>
        <v>0</v>
      </c>
      <c r="K132" s="153">
        <f t="shared" si="54"/>
        <v>0</v>
      </c>
      <c r="L132" s="153">
        <f t="shared" si="54"/>
        <v>0.01</v>
      </c>
      <c r="M132" s="153">
        <f t="shared" si="54"/>
        <v>0</v>
      </c>
      <c r="N132" s="153">
        <f t="shared" si="54"/>
        <v>0</v>
      </c>
      <c r="O132" s="153">
        <f t="shared" si="54"/>
        <v>0</v>
      </c>
      <c r="P132" s="153">
        <f t="shared" si="54"/>
        <v>0</v>
      </c>
      <c r="R132" s="2">
        <f t="shared" si="39"/>
        <v>10227.120000000001</v>
      </c>
      <c r="S132" s="2" t="s">
        <v>45</v>
      </c>
      <c r="T132" s="2">
        <f t="shared" si="40"/>
        <v>6250.15</v>
      </c>
      <c r="U132" s="2">
        <f t="shared" si="41"/>
        <v>419.03</v>
      </c>
      <c r="V132" s="2">
        <f t="shared" si="42"/>
        <v>3557.93</v>
      </c>
      <c r="W132" s="2">
        <f t="shared" si="43"/>
        <v>0</v>
      </c>
      <c r="X132" s="2">
        <f t="shared" si="44"/>
        <v>0</v>
      </c>
      <c r="Y132" s="2">
        <f t="shared" si="45"/>
        <v>10227.109999999999</v>
      </c>
      <c r="Z132" s="2">
        <f t="shared" si="46"/>
        <v>0.01</v>
      </c>
      <c r="AA132" s="2">
        <f t="shared" si="47"/>
        <v>0</v>
      </c>
      <c r="AB132" s="2">
        <f t="shared" si="48"/>
        <v>0.01</v>
      </c>
      <c r="AC132" s="2">
        <f t="shared" si="49"/>
        <v>10227.119999999999</v>
      </c>
      <c r="AD132" s="2">
        <f t="shared" si="50"/>
        <v>2.0372679238045421E-12</v>
      </c>
    </row>
    <row r="133" spans="1:30" hidden="1" x14ac:dyDescent="0.2">
      <c r="A133" s="145">
        <f>'TAX Interest Rates'!A32</f>
        <v>43799</v>
      </c>
      <c r="B133" s="153">
        <f>ROUND(-B21*B77,2)</f>
        <v>2945.02</v>
      </c>
      <c r="C133" s="153">
        <f t="shared" ref="C133:P133" si="55">ROUND(-C21*C77,2)</f>
        <v>0</v>
      </c>
      <c r="D133" s="153">
        <f t="shared" si="55"/>
        <v>126.08</v>
      </c>
      <c r="E133" s="153">
        <f t="shared" si="55"/>
        <v>57.22</v>
      </c>
      <c r="F133" s="153">
        <f t="shared" si="55"/>
        <v>2.23</v>
      </c>
      <c r="G133" s="153">
        <f t="shared" si="55"/>
        <v>1457.91</v>
      </c>
      <c r="H133" s="153">
        <f t="shared" si="55"/>
        <v>566.94000000000005</v>
      </c>
      <c r="I133" s="153">
        <f t="shared" si="55"/>
        <v>0.18</v>
      </c>
      <c r="J133" s="153">
        <f t="shared" si="55"/>
        <v>0</v>
      </c>
      <c r="K133" s="153">
        <f t="shared" si="55"/>
        <v>25.56</v>
      </c>
      <c r="L133" s="153">
        <f t="shared" si="55"/>
        <v>1817.22</v>
      </c>
      <c r="M133" s="153">
        <f t="shared" si="55"/>
        <v>774.64</v>
      </c>
      <c r="N133" s="153">
        <f t="shared" si="55"/>
        <v>363.32</v>
      </c>
      <c r="O133" s="153">
        <f t="shared" si="55"/>
        <v>12.89</v>
      </c>
      <c r="P133" s="153">
        <f t="shared" si="55"/>
        <v>0</v>
      </c>
      <c r="R133" s="2">
        <f t="shared" ref="R133" si="56">SUM(B133:Q133)</f>
        <v>8149.2100000000009</v>
      </c>
      <c r="S133" s="2" t="s">
        <v>46</v>
      </c>
      <c r="T133" s="2">
        <f t="shared" ref="T133" si="57">+B133</f>
        <v>2945.02</v>
      </c>
      <c r="U133" s="2">
        <f t="shared" ref="U133" si="58">+C133+D133+E133</f>
        <v>183.3</v>
      </c>
      <c r="V133" s="2">
        <f t="shared" ref="V133" si="59">+F133+G133+H133</f>
        <v>2027.0800000000002</v>
      </c>
      <c r="W133" s="2">
        <f t="shared" ref="W133" si="60">+I133+J133</f>
        <v>0.18</v>
      </c>
      <c r="X133" s="2">
        <f t="shared" ref="X133" si="61">+K133</f>
        <v>25.56</v>
      </c>
      <c r="Y133" s="2">
        <f t="shared" ref="Y133" si="62">SUM(T133:X133)</f>
        <v>5181.1400000000012</v>
      </c>
      <c r="Z133" s="2">
        <f t="shared" ref="Z133" si="63">+L133</f>
        <v>1817.22</v>
      </c>
      <c r="AA133" s="2">
        <f t="shared" ref="AA133" si="64">+M133+N133+O133+P133</f>
        <v>1150.8500000000001</v>
      </c>
      <c r="AB133" s="2">
        <f t="shared" ref="AB133" si="65">SUM(Z133:AA133)</f>
        <v>2968.07</v>
      </c>
      <c r="AC133" s="2">
        <f t="shared" ref="AC133" si="66">+Y133+AB133</f>
        <v>8149.2100000000009</v>
      </c>
      <c r="AD133" s="2">
        <f t="shared" ref="AD133" si="67">+R133-Y133-AB133</f>
        <v>0</v>
      </c>
    </row>
    <row r="134" spans="1:30" hidden="1" x14ac:dyDescent="0.2">
      <c r="A134" s="145">
        <f>'TAX Interest Rates'!A33</f>
        <v>43830</v>
      </c>
      <c r="B134" s="153">
        <f t="shared" ref="B134:P134" si="68">ROUND(-B22*B78,2)</f>
        <v>12973.13</v>
      </c>
      <c r="C134" s="153">
        <f t="shared" si="68"/>
        <v>0</v>
      </c>
      <c r="D134" s="153">
        <f t="shared" si="68"/>
        <v>509.3</v>
      </c>
      <c r="E134" s="153">
        <f t="shared" si="68"/>
        <v>109.49</v>
      </c>
      <c r="F134" s="153">
        <f t="shared" si="68"/>
        <v>2.56</v>
      </c>
      <c r="G134" s="153">
        <f t="shared" si="68"/>
        <v>6742.89</v>
      </c>
      <c r="H134" s="153">
        <f t="shared" si="68"/>
        <v>878.87</v>
      </c>
      <c r="I134" s="153">
        <f t="shared" si="68"/>
        <v>0.09</v>
      </c>
      <c r="J134" s="153">
        <f t="shared" si="68"/>
        <v>0</v>
      </c>
      <c r="K134" s="153">
        <f t="shared" si="68"/>
        <v>28.2</v>
      </c>
      <c r="L134" s="153">
        <f t="shared" si="68"/>
        <v>1928.66</v>
      </c>
      <c r="M134" s="153">
        <f t="shared" si="68"/>
        <v>864.61</v>
      </c>
      <c r="N134" s="153">
        <f t="shared" si="68"/>
        <v>847.11</v>
      </c>
      <c r="O134" s="153">
        <f t="shared" si="68"/>
        <v>79.150000000000006</v>
      </c>
      <c r="P134" s="153">
        <f t="shared" si="68"/>
        <v>0</v>
      </c>
      <c r="R134" s="2">
        <f t="shared" si="39"/>
        <v>24964.06</v>
      </c>
      <c r="T134" s="2">
        <f t="shared" si="40"/>
        <v>12973.13</v>
      </c>
      <c r="U134" s="2">
        <f t="shared" si="41"/>
        <v>618.79</v>
      </c>
      <c r="V134" s="2">
        <f t="shared" si="42"/>
        <v>7624.3200000000006</v>
      </c>
      <c r="W134" s="2">
        <f t="shared" si="43"/>
        <v>0.09</v>
      </c>
      <c r="X134" s="2">
        <f t="shared" si="44"/>
        <v>28.2</v>
      </c>
      <c r="Y134" s="2">
        <f t="shared" si="45"/>
        <v>21244.53</v>
      </c>
      <c r="Z134" s="2">
        <f t="shared" si="46"/>
        <v>1928.66</v>
      </c>
      <c r="AA134" s="2">
        <f t="shared" si="47"/>
        <v>1790.8700000000001</v>
      </c>
      <c r="AB134" s="2">
        <f t="shared" si="48"/>
        <v>3719.53</v>
      </c>
      <c r="AC134" s="2">
        <f t="shared" si="49"/>
        <v>24964.059999999998</v>
      </c>
      <c r="AD134" s="2">
        <f t="shared" si="50"/>
        <v>0</v>
      </c>
    </row>
    <row r="135" spans="1:30" hidden="1" x14ac:dyDescent="0.2">
      <c r="A135" s="145">
        <f>'TAX Interest Rates'!A34</f>
        <v>43861</v>
      </c>
      <c r="B135" s="153">
        <f t="shared" ref="B135:P135" si="69">ROUND(-B23*B79,2)</f>
        <v>15761.05</v>
      </c>
      <c r="C135" s="153">
        <f t="shared" si="69"/>
        <v>0</v>
      </c>
      <c r="D135" s="153">
        <f t="shared" si="69"/>
        <v>545.15</v>
      </c>
      <c r="E135" s="153">
        <f t="shared" si="69"/>
        <v>128.08000000000001</v>
      </c>
      <c r="F135" s="153">
        <f t="shared" si="69"/>
        <v>2.75</v>
      </c>
      <c r="G135" s="153">
        <f t="shared" si="69"/>
        <v>8151.51</v>
      </c>
      <c r="H135" s="153">
        <f t="shared" si="69"/>
        <v>982.93</v>
      </c>
      <c r="I135" s="153">
        <f t="shared" si="69"/>
        <v>0.03</v>
      </c>
      <c r="J135" s="153">
        <f t="shared" si="69"/>
        <v>0</v>
      </c>
      <c r="K135" s="153">
        <f t="shared" si="69"/>
        <v>28.44</v>
      </c>
      <c r="L135" s="153">
        <f t="shared" si="69"/>
        <v>1980.53</v>
      </c>
      <c r="M135" s="153">
        <f t="shared" si="69"/>
        <v>745.44</v>
      </c>
      <c r="N135" s="153">
        <f t="shared" si="69"/>
        <v>591.29999999999995</v>
      </c>
      <c r="O135" s="153">
        <f t="shared" si="69"/>
        <v>22.1</v>
      </c>
      <c r="P135" s="153">
        <f t="shared" si="69"/>
        <v>0</v>
      </c>
      <c r="R135" s="2">
        <f t="shared" ref="R135:R146" si="70">SUM(B135:Q135)</f>
        <v>28939.309999999994</v>
      </c>
      <c r="T135" s="2">
        <f t="shared" ref="T135:T146" si="71">+B135</f>
        <v>15761.05</v>
      </c>
      <c r="U135" s="2">
        <f t="shared" ref="U135:U146" si="72">+C135+D135+E135</f>
        <v>673.23</v>
      </c>
      <c r="V135" s="2">
        <f t="shared" ref="V135:V146" si="73">+F135+G135+H135</f>
        <v>9137.19</v>
      </c>
      <c r="W135" s="2">
        <f t="shared" ref="W135:W146" si="74">+I135+J135</f>
        <v>0.03</v>
      </c>
      <c r="X135" s="2">
        <f t="shared" ref="X135:X146" si="75">+K135</f>
        <v>28.44</v>
      </c>
      <c r="Y135" s="2">
        <f t="shared" ref="Y135:Y146" si="76">SUM(T135:X135)</f>
        <v>25599.94</v>
      </c>
      <c r="Z135" s="2">
        <f t="shared" ref="Z135:Z146" si="77">+L135</f>
        <v>1980.53</v>
      </c>
      <c r="AA135" s="2">
        <f t="shared" ref="AA135:AA146" si="78">+M135+N135+O135+P135</f>
        <v>1358.84</v>
      </c>
      <c r="AB135" s="2">
        <f t="shared" ref="AB135:AB146" si="79">SUM(Z135:AA135)</f>
        <v>3339.37</v>
      </c>
      <c r="AC135" s="2">
        <f t="shared" ref="AC135:AC146" si="80">+Y135+AB135</f>
        <v>28939.309999999998</v>
      </c>
      <c r="AD135" s="2">
        <f t="shared" ref="AD135:AD146" si="81">+R135-Y135-AB135</f>
        <v>-4.5474735088646412E-12</v>
      </c>
    </row>
    <row r="136" spans="1:30" hidden="1" x14ac:dyDescent="0.2">
      <c r="A136" s="145">
        <f>'TAX Interest Rates'!A35</f>
        <v>43890</v>
      </c>
      <c r="B136" s="153">
        <f t="shared" ref="B136:P136" si="82">ROUND(-B24*B80,2)</f>
        <v>12867.48</v>
      </c>
      <c r="C136" s="153">
        <f t="shared" si="82"/>
        <v>0</v>
      </c>
      <c r="D136" s="153">
        <f t="shared" si="82"/>
        <v>473.45</v>
      </c>
      <c r="E136" s="153">
        <f t="shared" si="82"/>
        <v>116.83</v>
      </c>
      <c r="F136" s="153">
        <f t="shared" si="82"/>
        <v>2.62</v>
      </c>
      <c r="G136" s="153">
        <f t="shared" si="82"/>
        <v>6739.62</v>
      </c>
      <c r="H136" s="153">
        <f t="shared" si="82"/>
        <v>858.17</v>
      </c>
      <c r="I136" s="153">
        <f t="shared" si="82"/>
        <v>0.12</v>
      </c>
      <c r="J136" s="153">
        <f t="shared" si="82"/>
        <v>0</v>
      </c>
      <c r="K136" s="153">
        <f t="shared" si="82"/>
        <v>25.42</v>
      </c>
      <c r="L136" s="153">
        <f t="shared" si="82"/>
        <v>1851.7</v>
      </c>
      <c r="M136" s="153">
        <f t="shared" si="82"/>
        <v>725.74</v>
      </c>
      <c r="N136" s="153">
        <f t="shared" si="82"/>
        <v>453.76</v>
      </c>
      <c r="O136" s="153">
        <f t="shared" si="82"/>
        <v>46.46</v>
      </c>
      <c r="P136" s="153">
        <f t="shared" si="82"/>
        <v>0</v>
      </c>
      <c r="R136" s="2">
        <f t="shared" si="70"/>
        <v>24161.369999999995</v>
      </c>
      <c r="T136" s="2">
        <f t="shared" si="71"/>
        <v>12867.48</v>
      </c>
      <c r="U136" s="2">
        <f t="shared" si="72"/>
        <v>590.28</v>
      </c>
      <c r="V136" s="2">
        <f t="shared" si="73"/>
        <v>7600.41</v>
      </c>
      <c r="W136" s="2">
        <f t="shared" si="74"/>
        <v>0.12</v>
      </c>
      <c r="X136" s="2">
        <f t="shared" si="75"/>
        <v>25.42</v>
      </c>
      <c r="Y136" s="2">
        <f t="shared" si="76"/>
        <v>21083.709999999995</v>
      </c>
      <c r="Z136" s="2">
        <f t="shared" si="77"/>
        <v>1851.7</v>
      </c>
      <c r="AA136" s="2">
        <f t="shared" si="78"/>
        <v>1225.96</v>
      </c>
      <c r="AB136" s="2">
        <f t="shared" si="79"/>
        <v>3077.66</v>
      </c>
      <c r="AC136" s="2">
        <f t="shared" si="80"/>
        <v>24161.369999999995</v>
      </c>
      <c r="AD136" s="2">
        <f t="shared" si="81"/>
        <v>0</v>
      </c>
    </row>
    <row r="137" spans="1:30" hidden="1" x14ac:dyDescent="0.2">
      <c r="A137" s="145">
        <f>'TAX Interest Rates'!A36</f>
        <v>43921</v>
      </c>
      <c r="B137" s="153">
        <f t="shared" ref="B137:P137" si="83">ROUND(-B25*B81,2)</f>
        <v>12962.32</v>
      </c>
      <c r="C137" s="153">
        <f t="shared" si="83"/>
        <v>0</v>
      </c>
      <c r="D137" s="153">
        <f t="shared" si="83"/>
        <v>485.55</v>
      </c>
      <c r="E137" s="153">
        <f t="shared" si="83"/>
        <v>88.38</v>
      </c>
      <c r="F137" s="153">
        <f t="shared" si="83"/>
        <v>2.76</v>
      </c>
      <c r="G137" s="153">
        <f t="shared" si="83"/>
        <v>6650.7</v>
      </c>
      <c r="H137" s="153">
        <f t="shared" si="83"/>
        <v>901.01</v>
      </c>
      <c r="I137" s="153">
        <f t="shared" si="83"/>
        <v>7.0000000000000007E-2</v>
      </c>
      <c r="J137" s="153">
        <f t="shared" si="83"/>
        <v>0</v>
      </c>
      <c r="K137" s="153">
        <f t="shared" si="83"/>
        <v>25.45</v>
      </c>
      <c r="L137" s="153">
        <f t="shared" si="83"/>
        <v>1989</v>
      </c>
      <c r="M137" s="153">
        <f t="shared" si="83"/>
        <v>955.92</v>
      </c>
      <c r="N137" s="153">
        <f t="shared" si="83"/>
        <v>867.98</v>
      </c>
      <c r="O137" s="153">
        <f t="shared" si="83"/>
        <v>183.3</v>
      </c>
      <c r="P137" s="153">
        <f t="shared" si="83"/>
        <v>0</v>
      </c>
      <c r="R137" s="2">
        <f t="shared" si="70"/>
        <v>25112.439999999995</v>
      </c>
      <c r="T137" s="2">
        <f t="shared" si="71"/>
        <v>12962.32</v>
      </c>
      <c r="U137" s="2">
        <f t="shared" si="72"/>
        <v>573.93000000000006</v>
      </c>
      <c r="V137" s="2">
        <f t="shared" si="73"/>
        <v>7554.47</v>
      </c>
      <c r="W137" s="2">
        <f t="shared" si="74"/>
        <v>7.0000000000000007E-2</v>
      </c>
      <c r="X137" s="2">
        <f t="shared" si="75"/>
        <v>25.45</v>
      </c>
      <c r="Y137" s="2">
        <f t="shared" si="76"/>
        <v>21116.240000000002</v>
      </c>
      <c r="Z137" s="2">
        <f t="shared" si="77"/>
        <v>1989</v>
      </c>
      <c r="AA137" s="2">
        <f t="shared" si="78"/>
        <v>2007.2</v>
      </c>
      <c r="AB137" s="2">
        <f t="shared" si="79"/>
        <v>3996.2</v>
      </c>
      <c r="AC137" s="2">
        <f t="shared" si="80"/>
        <v>25112.440000000002</v>
      </c>
      <c r="AD137" s="2">
        <f t="shared" si="81"/>
        <v>-6.3664629124104977E-12</v>
      </c>
    </row>
    <row r="138" spans="1:30" hidden="1" x14ac:dyDescent="0.2">
      <c r="A138" s="145">
        <f>'TAX Interest Rates'!A37</f>
        <v>43951</v>
      </c>
      <c r="B138" s="153">
        <f t="shared" ref="B138:P138" si="84">ROUND(-B26*B82,2)</f>
        <v>10238.77</v>
      </c>
      <c r="C138" s="153">
        <f t="shared" si="84"/>
        <v>0</v>
      </c>
      <c r="D138" s="153">
        <f t="shared" si="84"/>
        <v>403.97</v>
      </c>
      <c r="E138" s="153">
        <f t="shared" si="84"/>
        <v>159.72</v>
      </c>
      <c r="F138" s="153">
        <f t="shared" si="84"/>
        <v>2.19</v>
      </c>
      <c r="G138" s="153">
        <f t="shared" si="84"/>
        <v>4816.22</v>
      </c>
      <c r="H138" s="153">
        <f t="shared" si="84"/>
        <v>706.26</v>
      </c>
      <c r="I138" s="153">
        <f t="shared" si="84"/>
        <v>7.0000000000000007E-2</v>
      </c>
      <c r="J138" s="153">
        <f t="shared" si="84"/>
        <v>0</v>
      </c>
      <c r="K138" s="153">
        <f t="shared" si="84"/>
        <v>21.04</v>
      </c>
      <c r="L138" s="153">
        <f t="shared" si="84"/>
        <v>1656.37</v>
      </c>
      <c r="M138" s="153">
        <f t="shared" si="84"/>
        <v>827.75</v>
      </c>
      <c r="N138" s="153">
        <f t="shared" si="84"/>
        <v>671.12</v>
      </c>
      <c r="O138" s="153">
        <f t="shared" si="84"/>
        <v>209.28</v>
      </c>
      <c r="P138" s="153">
        <f t="shared" si="84"/>
        <v>0</v>
      </c>
      <c r="R138" s="2">
        <f t="shared" si="70"/>
        <v>19712.759999999998</v>
      </c>
      <c r="T138" s="2">
        <f t="shared" si="71"/>
        <v>10238.77</v>
      </c>
      <c r="U138" s="2">
        <f t="shared" si="72"/>
        <v>563.69000000000005</v>
      </c>
      <c r="V138" s="2">
        <f t="shared" si="73"/>
        <v>5524.67</v>
      </c>
      <c r="W138" s="2">
        <f t="shared" si="74"/>
        <v>7.0000000000000007E-2</v>
      </c>
      <c r="X138" s="2">
        <f t="shared" si="75"/>
        <v>21.04</v>
      </c>
      <c r="Y138" s="2">
        <f t="shared" si="76"/>
        <v>16348.240000000002</v>
      </c>
      <c r="Z138" s="2">
        <f t="shared" si="77"/>
        <v>1656.37</v>
      </c>
      <c r="AA138" s="2">
        <f t="shared" si="78"/>
        <v>1708.1499999999999</v>
      </c>
      <c r="AB138" s="2">
        <f t="shared" si="79"/>
        <v>3364.5199999999995</v>
      </c>
      <c r="AC138" s="2">
        <f t="shared" si="80"/>
        <v>19712.760000000002</v>
      </c>
      <c r="AD138" s="2">
        <f t="shared" si="81"/>
        <v>0</v>
      </c>
    </row>
    <row r="139" spans="1:30" hidden="1" x14ac:dyDescent="0.2">
      <c r="A139" s="145">
        <f>'TAX Interest Rates'!A38</f>
        <v>43982</v>
      </c>
      <c r="B139" s="153">
        <f t="shared" ref="B139:P139" si="85">ROUND(-B27*B83,2)</f>
        <v>5004.9799999999996</v>
      </c>
      <c r="C139" s="153">
        <f t="shared" si="85"/>
        <v>0</v>
      </c>
      <c r="D139" s="153">
        <f t="shared" si="85"/>
        <v>255.33</v>
      </c>
      <c r="E139" s="153">
        <f t="shared" si="85"/>
        <v>66.22</v>
      </c>
      <c r="F139" s="153">
        <f t="shared" si="85"/>
        <v>1.25</v>
      </c>
      <c r="G139" s="153">
        <f t="shared" si="85"/>
        <v>2324.02</v>
      </c>
      <c r="H139" s="153">
        <f t="shared" si="85"/>
        <v>442.43</v>
      </c>
      <c r="I139" s="153">
        <f t="shared" si="85"/>
        <v>0</v>
      </c>
      <c r="J139" s="153">
        <f t="shared" si="85"/>
        <v>0</v>
      </c>
      <c r="K139" s="153">
        <f t="shared" si="85"/>
        <v>15.48</v>
      </c>
      <c r="L139" s="153">
        <f t="shared" si="85"/>
        <v>1782.47</v>
      </c>
      <c r="M139" s="153">
        <f t="shared" si="85"/>
        <v>134.13</v>
      </c>
      <c r="N139" s="153">
        <f t="shared" si="85"/>
        <v>48.29</v>
      </c>
      <c r="O139" s="153">
        <f t="shared" si="85"/>
        <v>27.31</v>
      </c>
      <c r="P139" s="153">
        <f t="shared" si="85"/>
        <v>0</v>
      </c>
      <c r="R139" s="2">
        <f t="shared" si="70"/>
        <v>10101.909999999998</v>
      </c>
      <c r="T139" s="2">
        <f t="shared" si="71"/>
        <v>5004.9799999999996</v>
      </c>
      <c r="U139" s="2">
        <f t="shared" si="72"/>
        <v>321.55</v>
      </c>
      <c r="V139" s="2">
        <f t="shared" si="73"/>
        <v>2767.7</v>
      </c>
      <c r="W139" s="2">
        <f t="shared" si="74"/>
        <v>0</v>
      </c>
      <c r="X139" s="2">
        <f t="shared" si="75"/>
        <v>15.48</v>
      </c>
      <c r="Y139" s="2">
        <f t="shared" si="76"/>
        <v>8109.7099999999991</v>
      </c>
      <c r="Z139" s="2">
        <f t="shared" si="77"/>
        <v>1782.47</v>
      </c>
      <c r="AA139" s="2">
        <f t="shared" si="78"/>
        <v>209.73</v>
      </c>
      <c r="AB139" s="2">
        <f t="shared" si="79"/>
        <v>1992.2</v>
      </c>
      <c r="AC139" s="2">
        <f t="shared" si="80"/>
        <v>10101.91</v>
      </c>
      <c r="AD139" s="2">
        <f t="shared" si="81"/>
        <v>0</v>
      </c>
    </row>
    <row r="140" spans="1:30" hidden="1" x14ac:dyDescent="0.2">
      <c r="A140" s="145">
        <f>'TAX Interest Rates'!A39</f>
        <v>44012</v>
      </c>
      <c r="B140" s="153">
        <f t="shared" ref="B140:P140" si="86">ROUND(-B28*B84,2)</f>
        <v>3679.03</v>
      </c>
      <c r="C140" s="153">
        <f t="shared" si="86"/>
        <v>0</v>
      </c>
      <c r="D140" s="153">
        <f t="shared" si="86"/>
        <v>228.13</v>
      </c>
      <c r="E140" s="153">
        <f t="shared" si="86"/>
        <v>128.77000000000001</v>
      </c>
      <c r="F140" s="153">
        <f t="shared" si="86"/>
        <v>1.18</v>
      </c>
      <c r="G140" s="153">
        <f t="shared" si="86"/>
        <v>1778.45</v>
      </c>
      <c r="H140" s="153">
        <f t="shared" si="86"/>
        <v>361.22</v>
      </c>
      <c r="I140" s="153">
        <f t="shared" si="86"/>
        <v>0</v>
      </c>
      <c r="J140" s="153">
        <f t="shared" si="86"/>
        <v>0</v>
      </c>
      <c r="K140" s="153">
        <f t="shared" si="86"/>
        <v>12.16</v>
      </c>
      <c r="L140" s="153">
        <f t="shared" si="86"/>
        <v>1687.38</v>
      </c>
      <c r="M140" s="153">
        <f t="shared" si="86"/>
        <v>183.97</v>
      </c>
      <c r="N140" s="153">
        <f t="shared" si="86"/>
        <v>79.72</v>
      </c>
      <c r="O140" s="153">
        <f t="shared" si="86"/>
        <v>44.92</v>
      </c>
      <c r="P140" s="153">
        <f t="shared" si="86"/>
        <v>0</v>
      </c>
      <c r="R140" s="2">
        <f t="shared" si="70"/>
        <v>8184.9300000000012</v>
      </c>
      <c r="T140" s="2">
        <f t="shared" si="71"/>
        <v>3679.03</v>
      </c>
      <c r="U140" s="2">
        <f t="shared" si="72"/>
        <v>356.9</v>
      </c>
      <c r="V140" s="2">
        <f t="shared" si="73"/>
        <v>2140.8500000000004</v>
      </c>
      <c r="W140" s="2">
        <f t="shared" si="74"/>
        <v>0</v>
      </c>
      <c r="X140" s="2">
        <f t="shared" si="75"/>
        <v>12.16</v>
      </c>
      <c r="Y140" s="2">
        <f t="shared" si="76"/>
        <v>6188.9400000000005</v>
      </c>
      <c r="Z140" s="2">
        <f t="shared" si="77"/>
        <v>1687.38</v>
      </c>
      <c r="AA140" s="2">
        <f t="shared" si="78"/>
        <v>308.61</v>
      </c>
      <c r="AB140" s="2">
        <f t="shared" si="79"/>
        <v>1995.9900000000002</v>
      </c>
      <c r="AC140" s="2">
        <f t="shared" si="80"/>
        <v>8184.93</v>
      </c>
      <c r="AD140" s="2">
        <f t="shared" si="81"/>
        <v>0</v>
      </c>
    </row>
    <row r="141" spans="1:30" hidden="1" x14ac:dyDescent="0.2">
      <c r="A141" s="145">
        <f>'TAX Interest Rates'!A40</f>
        <v>44043</v>
      </c>
      <c r="B141" s="153">
        <f t="shared" ref="B141:P141" si="87">ROUND(-B29*B85,2)</f>
        <v>2958.28</v>
      </c>
      <c r="C141" s="153">
        <f t="shared" si="87"/>
        <v>0</v>
      </c>
      <c r="D141" s="153">
        <f t="shared" si="87"/>
        <v>201.36</v>
      </c>
      <c r="E141" s="153">
        <f t="shared" si="87"/>
        <v>99.58</v>
      </c>
      <c r="F141" s="153">
        <f t="shared" si="87"/>
        <v>0.53</v>
      </c>
      <c r="G141" s="153">
        <f t="shared" si="87"/>
        <v>1596.93</v>
      </c>
      <c r="H141" s="153">
        <f t="shared" si="87"/>
        <v>361.57</v>
      </c>
      <c r="I141" s="153">
        <f t="shared" si="87"/>
        <v>0</v>
      </c>
      <c r="J141" s="153">
        <f t="shared" si="87"/>
        <v>0</v>
      </c>
      <c r="K141" s="153">
        <f t="shared" si="87"/>
        <v>11.81</v>
      </c>
      <c r="L141" s="153">
        <f t="shared" si="87"/>
        <v>1766.98</v>
      </c>
      <c r="M141" s="153">
        <f t="shared" si="87"/>
        <v>602.32000000000005</v>
      </c>
      <c r="N141" s="153">
        <f t="shared" si="87"/>
        <v>315.99</v>
      </c>
      <c r="O141" s="153">
        <f t="shared" si="87"/>
        <v>121.04</v>
      </c>
      <c r="P141" s="153">
        <f t="shared" si="87"/>
        <v>0</v>
      </c>
      <c r="R141" s="2">
        <f t="shared" si="70"/>
        <v>8036.39</v>
      </c>
      <c r="T141" s="2">
        <f t="shared" si="71"/>
        <v>2958.28</v>
      </c>
      <c r="U141" s="2">
        <f t="shared" si="72"/>
        <v>300.94</v>
      </c>
      <c r="V141" s="2">
        <f t="shared" si="73"/>
        <v>1959.03</v>
      </c>
      <c r="W141" s="2">
        <f t="shared" si="74"/>
        <v>0</v>
      </c>
      <c r="X141" s="2">
        <f t="shared" si="75"/>
        <v>11.81</v>
      </c>
      <c r="Y141" s="2">
        <f t="shared" si="76"/>
        <v>5230.0600000000004</v>
      </c>
      <c r="Z141" s="2">
        <f t="shared" si="77"/>
        <v>1766.98</v>
      </c>
      <c r="AA141" s="2">
        <f t="shared" si="78"/>
        <v>1039.3500000000001</v>
      </c>
      <c r="AB141" s="2">
        <f t="shared" si="79"/>
        <v>2806.33</v>
      </c>
      <c r="AC141" s="2">
        <f t="shared" si="80"/>
        <v>8036.39</v>
      </c>
      <c r="AD141" s="2">
        <f t="shared" si="81"/>
        <v>0</v>
      </c>
    </row>
    <row r="142" spans="1:30" hidden="1" x14ac:dyDescent="0.2">
      <c r="A142" s="145">
        <f>'TAX Interest Rates'!A41</f>
        <v>44074</v>
      </c>
      <c r="B142" s="153">
        <f t="shared" ref="B142:P142" si="88">ROUND(-B30*B86,2)</f>
        <v>2008.29</v>
      </c>
      <c r="C142" s="153">
        <f t="shared" si="88"/>
        <v>0</v>
      </c>
      <c r="D142" s="153">
        <f t="shared" si="88"/>
        <v>178.05</v>
      </c>
      <c r="E142" s="153">
        <f t="shared" si="88"/>
        <v>88.73</v>
      </c>
      <c r="F142" s="153">
        <f t="shared" si="88"/>
        <v>0.46</v>
      </c>
      <c r="G142" s="153">
        <f t="shared" si="88"/>
        <v>1219.3399999999999</v>
      </c>
      <c r="H142" s="153">
        <f t="shared" si="88"/>
        <v>284.20999999999998</v>
      </c>
      <c r="I142" s="153">
        <f t="shared" si="88"/>
        <v>0</v>
      </c>
      <c r="J142" s="153">
        <f t="shared" si="88"/>
        <v>0</v>
      </c>
      <c r="K142" s="153">
        <f t="shared" si="88"/>
        <v>11.16</v>
      </c>
      <c r="L142" s="153">
        <f t="shared" si="88"/>
        <v>1972.78</v>
      </c>
      <c r="M142" s="153">
        <f t="shared" si="88"/>
        <v>802.59</v>
      </c>
      <c r="N142" s="153">
        <f t="shared" si="88"/>
        <v>626.97</v>
      </c>
      <c r="O142" s="153">
        <f t="shared" si="88"/>
        <v>264.43</v>
      </c>
      <c r="P142" s="153">
        <f t="shared" si="88"/>
        <v>0</v>
      </c>
      <c r="R142" s="2">
        <f t="shared" si="70"/>
        <v>7457.01</v>
      </c>
      <c r="T142" s="2">
        <f t="shared" si="71"/>
        <v>2008.29</v>
      </c>
      <c r="U142" s="2">
        <f t="shared" si="72"/>
        <v>266.78000000000003</v>
      </c>
      <c r="V142" s="2">
        <f t="shared" si="73"/>
        <v>1504.01</v>
      </c>
      <c r="W142" s="2">
        <f t="shared" si="74"/>
        <v>0</v>
      </c>
      <c r="X142" s="2">
        <f t="shared" si="75"/>
        <v>11.16</v>
      </c>
      <c r="Y142" s="2">
        <f t="shared" si="76"/>
        <v>3790.24</v>
      </c>
      <c r="Z142" s="2">
        <f t="shared" si="77"/>
        <v>1972.78</v>
      </c>
      <c r="AA142" s="2">
        <f t="shared" si="78"/>
        <v>1693.99</v>
      </c>
      <c r="AB142" s="2">
        <f t="shared" si="79"/>
        <v>3666.77</v>
      </c>
      <c r="AC142" s="2">
        <f t="shared" si="80"/>
        <v>7457.01</v>
      </c>
      <c r="AD142" s="2">
        <f t="shared" si="81"/>
        <v>0</v>
      </c>
    </row>
    <row r="143" spans="1:30" hidden="1" x14ac:dyDescent="0.2">
      <c r="A143" s="145">
        <f>'TAX Interest Rates'!A42</f>
        <v>44104</v>
      </c>
      <c r="B143" s="153">
        <f t="shared" ref="B143:P143" si="89">ROUND(-B31*B87,2)</f>
        <v>2167.13</v>
      </c>
      <c r="C143" s="153">
        <f t="shared" si="89"/>
        <v>0</v>
      </c>
      <c r="D143" s="153">
        <f t="shared" si="89"/>
        <v>222.25</v>
      </c>
      <c r="E143" s="153">
        <f t="shared" si="89"/>
        <v>101.5</v>
      </c>
      <c r="F143" s="153">
        <f t="shared" si="89"/>
        <v>0.36</v>
      </c>
      <c r="G143" s="153">
        <f t="shared" si="89"/>
        <v>1379.57</v>
      </c>
      <c r="H143" s="153">
        <f t="shared" si="89"/>
        <v>277.27</v>
      </c>
      <c r="I143" s="153">
        <f t="shared" si="89"/>
        <v>0</v>
      </c>
      <c r="J143" s="153">
        <f t="shared" si="89"/>
        <v>0</v>
      </c>
      <c r="K143" s="153">
        <f t="shared" si="89"/>
        <v>10.5</v>
      </c>
      <c r="L143" s="153">
        <f t="shared" si="89"/>
        <v>2088.6799999999998</v>
      </c>
      <c r="M143" s="153">
        <f t="shared" si="89"/>
        <v>857.76</v>
      </c>
      <c r="N143" s="153">
        <f t="shared" si="89"/>
        <v>767.08</v>
      </c>
      <c r="O143" s="153">
        <f t="shared" si="89"/>
        <v>331.59</v>
      </c>
      <c r="P143" s="153">
        <f t="shared" si="89"/>
        <v>0</v>
      </c>
      <c r="R143" s="2">
        <f t="shared" si="70"/>
        <v>8203.69</v>
      </c>
      <c r="T143" s="2">
        <f t="shared" si="71"/>
        <v>2167.13</v>
      </c>
      <c r="U143" s="2">
        <f t="shared" si="72"/>
        <v>323.75</v>
      </c>
      <c r="V143" s="2">
        <f t="shared" si="73"/>
        <v>1657.1999999999998</v>
      </c>
      <c r="W143" s="2">
        <f t="shared" si="74"/>
        <v>0</v>
      </c>
      <c r="X143" s="2">
        <f t="shared" si="75"/>
        <v>10.5</v>
      </c>
      <c r="Y143" s="2">
        <f t="shared" si="76"/>
        <v>4158.58</v>
      </c>
      <c r="Z143" s="2">
        <f t="shared" si="77"/>
        <v>2088.6799999999998</v>
      </c>
      <c r="AA143" s="2">
        <f t="shared" si="78"/>
        <v>1956.43</v>
      </c>
      <c r="AB143" s="2">
        <f t="shared" si="79"/>
        <v>4045.1099999999997</v>
      </c>
      <c r="AC143" s="2">
        <f t="shared" si="80"/>
        <v>8203.6899999999987</v>
      </c>
      <c r="AD143" s="2">
        <f t="shared" si="81"/>
        <v>0</v>
      </c>
    </row>
    <row r="144" spans="1:30" hidden="1" x14ac:dyDescent="0.2">
      <c r="A144" s="145">
        <f>'TAX Interest Rates'!A43</f>
        <v>44135</v>
      </c>
      <c r="B144" s="153">
        <f t="shared" ref="B144:P144" si="90">ROUND(-B32*B88,2)</f>
        <v>3110.86</v>
      </c>
      <c r="C144" s="153">
        <f t="shared" si="90"/>
        <v>0</v>
      </c>
      <c r="D144" s="153">
        <f t="shared" si="90"/>
        <v>358.26</v>
      </c>
      <c r="E144" s="153">
        <f t="shared" si="90"/>
        <v>111.08</v>
      </c>
      <c r="F144" s="153">
        <f t="shared" si="90"/>
        <v>1.85</v>
      </c>
      <c r="G144" s="153">
        <f t="shared" si="90"/>
        <v>1792.37</v>
      </c>
      <c r="H144" s="153">
        <f t="shared" si="90"/>
        <v>150.41999999999999</v>
      </c>
      <c r="I144" s="153">
        <f t="shared" si="90"/>
        <v>0</v>
      </c>
      <c r="J144" s="153">
        <f t="shared" si="90"/>
        <v>0</v>
      </c>
      <c r="K144" s="153">
        <f t="shared" si="90"/>
        <v>19.850000000000001</v>
      </c>
      <c r="L144" s="153">
        <f t="shared" si="90"/>
        <v>2250.3000000000002</v>
      </c>
      <c r="M144" s="153">
        <f t="shared" si="90"/>
        <v>577</v>
      </c>
      <c r="N144" s="153">
        <f t="shared" si="90"/>
        <v>504.37</v>
      </c>
      <c r="O144" s="153">
        <f t="shared" si="90"/>
        <v>97.03</v>
      </c>
      <c r="P144" s="153">
        <f t="shared" si="90"/>
        <v>0</v>
      </c>
      <c r="R144" s="2">
        <f t="shared" si="70"/>
        <v>8973.3900000000031</v>
      </c>
      <c r="T144" s="2">
        <f t="shared" si="71"/>
        <v>3110.86</v>
      </c>
      <c r="U144" s="2">
        <f t="shared" si="72"/>
        <v>469.34</v>
      </c>
      <c r="V144" s="2">
        <f t="shared" si="73"/>
        <v>1944.6399999999999</v>
      </c>
      <c r="W144" s="2">
        <f t="shared" si="74"/>
        <v>0</v>
      </c>
      <c r="X144" s="2">
        <f t="shared" si="75"/>
        <v>19.850000000000001</v>
      </c>
      <c r="Y144" s="2">
        <f t="shared" si="76"/>
        <v>5544.6900000000005</v>
      </c>
      <c r="Z144" s="2">
        <f t="shared" si="77"/>
        <v>2250.3000000000002</v>
      </c>
      <c r="AA144" s="2">
        <f t="shared" si="78"/>
        <v>1178.3999999999999</v>
      </c>
      <c r="AB144" s="2">
        <f t="shared" si="79"/>
        <v>3428.7</v>
      </c>
      <c r="AC144" s="2">
        <f t="shared" si="80"/>
        <v>8973.39</v>
      </c>
      <c r="AD144" s="2">
        <f t="shared" si="81"/>
        <v>0</v>
      </c>
    </row>
    <row r="145" spans="1:30" hidden="1" x14ac:dyDescent="0.2">
      <c r="A145" s="145">
        <f>'TAX Interest Rates'!A44</f>
        <v>44165</v>
      </c>
      <c r="B145" s="153">
        <f>ROUND(-B33*B88,2)</f>
        <v>5061.91</v>
      </c>
      <c r="C145" s="153">
        <f t="shared" ref="C145:P145" si="91">ROUND(-C33*C88,2)</f>
        <v>0</v>
      </c>
      <c r="D145" s="153">
        <f t="shared" si="91"/>
        <v>220.25</v>
      </c>
      <c r="E145" s="153">
        <f t="shared" si="91"/>
        <v>66.55</v>
      </c>
      <c r="F145" s="153">
        <f t="shared" si="91"/>
        <v>0</v>
      </c>
      <c r="G145" s="153">
        <f t="shared" si="91"/>
        <v>2493.1799999999998</v>
      </c>
      <c r="H145" s="153">
        <f t="shared" si="91"/>
        <v>169.49</v>
      </c>
      <c r="I145" s="153">
        <f t="shared" si="91"/>
        <v>0</v>
      </c>
      <c r="J145" s="153">
        <f t="shared" si="91"/>
        <v>0</v>
      </c>
      <c r="K145" s="153">
        <f t="shared" si="91"/>
        <v>0</v>
      </c>
      <c r="L145" s="153">
        <f t="shared" si="91"/>
        <v>-2.63</v>
      </c>
      <c r="M145" s="153">
        <f t="shared" si="91"/>
        <v>0</v>
      </c>
      <c r="N145" s="153">
        <f t="shared" si="91"/>
        <v>0</v>
      </c>
      <c r="O145" s="153">
        <f t="shared" si="91"/>
        <v>0</v>
      </c>
      <c r="P145" s="153">
        <f t="shared" si="91"/>
        <v>0</v>
      </c>
      <c r="R145" s="2">
        <f t="shared" si="70"/>
        <v>8008.7499999999991</v>
      </c>
      <c r="S145" s="2" t="s">
        <v>45</v>
      </c>
      <c r="T145" s="2">
        <f t="shared" si="71"/>
        <v>5061.91</v>
      </c>
      <c r="U145" s="2">
        <f t="shared" si="72"/>
        <v>286.8</v>
      </c>
      <c r="V145" s="2">
        <f t="shared" si="73"/>
        <v>2662.67</v>
      </c>
      <c r="W145" s="2">
        <f t="shared" si="74"/>
        <v>0</v>
      </c>
      <c r="X145" s="2">
        <f t="shared" si="75"/>
        <v>0</v>
      </c>
      <c r="Y145" s="2">
        <f t="shared" si="76"/>
        <v>8011.38</v>
      </c>
      <c r="Z145" s="2">
        <f t="shared" si="77"/>
        <v>-2.63</v>
      </c>
      <c r="AA145" s="2">
        <f t="shared" si="78"/>
        <v>0</v>
      </c>
      <c r="AB145" s="2">
        <f t="shared" si="79"/>
        <v>-2.63</v>
      </c>
      <c r="AC145" s="2">
        <f t="shared" si="80"/>
        <v>8008.75</v>
      </c>
      <c r="AD145" s="2">
        <f t="shared" si="81"/>
        <v>-1.0187406473960436E-12</v>
      </c>
    </row>
    <row r="146" spans="1:30" hidden="1" x14ac:dyDescent="0.2">
      <c r="A146" s="145">
        <f>'TAX Interest Rates'!A44</f>
        <v>44165</v>
      </c>
      <c r="B146" s="153">
        <f>ROUND(-B34*B89,2)</f>
        <v>3279.77</v>
      </c>
      <c r="C146" s="153">
        <f t="shared" ref="C146:P146" si="92">ROUND(-C34*C89,2)</f>
        <v>0</v>
      </c>
      <c r="D146" s="153">
        <f t="shared" si="92"/>
        <v>114.77</v>
      </c>
      <c r="E146" s="153">
        <f t="shared" si="92"/>
        <v>40.11</v>
      </c>
      <c r="F146" s="153">
        <f t="shared" si="92"/>
        <v>3.96</v>
      </c>
      <c r="G146" s="153">
        <f t="shared" si="92"/>
        <v>1441.89</v>
      </c>
      <c r="H146" s="153">
        <f t="shared" si="92"/>
        <v>126.29</v>
      </c>
      <c r="I146" s="153">
        <f t="shared" si="92"/>
        <v>0</v>
      </c>
      <c r="J146" s="153">
        <f t="shared" si="92"/>
        <v>0</v>
      </c>
      <c r="K146" s="153">
        <f t="shared" si="92"/>
        <v>28.64</v>
      </c>
      <c r="L146" s="153">
        <f t="shared" si="92"/>
        <v>3056.3</v>
      </c>
      <c r="M146" s="153">
        <f t="shared" si="92"/>
        <v>601.32000000000005</v>
      </c>
      <c r="N146" s="153">
        <f t="shared" si="92"/>
        <v>193.54</v>
      </c>
      <c r="O146" s="153">
        <f t="shared" si="92"/>
        <v>73.31</v>
      </c>
      <c r="P146" s="153">
        <f t="shared" si="92"/>
        <v>0</v>
      </c>
      <c r="R146" s="2">
        <f t="shared" si="70"/>
        <v>8959.9000000000015</v>
      </c>
      <c r="S146" s="2" t="s">
        <v>46</v>
      </c>
      <c r="T146" s="2">
        <f t="shared" si="71"/>
        <v>3279.77</v>
      </c>
      <c r="U146" s="2">
        <f t="shared" si="72"/>
        <v>154.88</v>
      </c>
      <c r="V146" s="2">
        <f t="shared" si="73"/>
        <v>1572.14</v>
      </c>
      <c r="W146" s="2">
        <f t="shared" si="74"/>
        <v>0</v>
      </c>
      <c r="X146" s="2">
        <f t="shared" si="75"/>
        <v>28.64</v>
      </c>
      <c r="Y146" s="2">
        <f t="shared" si="76"/>
        <v>5035.43</v>
      </c>
      <c r="Z146" s="2">
        <f t="shared" si="77"/>
        <v>3056.3</v>
      </c>
      <c r="AA146" s="2">
        <f t="shared" si="78"/>
        <v>868.17000000000007</v>
      </c>
      <c r="AB146" s="2">
        <f t="shared" si="79"/>
        <v>3924.4700000000003</v>
      </c>
      <c r="AC146" s="2">
        <f t="shared" si="80"/>
        <v>8959.9000000000015</v>
      </c>
      <c r="AD146" s="2">
        <f t="shared" si="81"/>
        <v>0</v>
      </c>
    </row>
    <row r="147" spans="1:30" hidden="1" x14ac:dyDescent="0.2">
      <c r="A147" s="145">
        <f>'TAX Interest Rates'!A45</f>
        <v>44196</v>
      </c>
      <c r="B147" s="153">
        <f>ROUND(-B35*B90,2)</f>
        <v>16997.330000000002</v>
      </c>
      <c r="C147" s="153">
        <f t="shared" ref="C147:P147" si="93">ROUND(-C35*C90,2)</f>
        <v>0</v>
      </c>
      <c r="D147" s="153">
        <f t="shared" si="93"/>
        <v>610.35</v>
      </c>
      <c r="E147" s="153">
        <f t="shared" si="93"/>
        <v>155.38999999999999</v>
      </c>
      <c r="F147" s="153">
        <f t="shared" si="93"/>
        <v>5.27</v>
      </c>
      <c r="G147" s="153">
        <f t="shared" si="93"/>
        <v>8436.1200000000008</v>
      </c>
      <c r="H147" s="153">
        <f t="shared" si="93"/>
        <v>555.83000000000004</v>
      </c>
      <c r="I147" s="153">
        <f t="shared" si="93"/>
        <v>0</v>
      </c>
      <c r="J147" s="153">
        <f t="shared" si="93"/>
        <v>0</v>
      </c>
      <c r="K147" s="153">
        <f t="shared" si="93"/>
        <v>31.78</v>
      </c>
      <c r="L147" s="153">
        <f t="shared" si="93"/>
        <v>2979.52</v>
      </c>
      <c r="M147" s="153">
        <f t="shared" si="93"/>
        <v>1068.26</v>
      </c>
      <c r="N147" s="153">
        <f t="shared" si="93"/>
        <v>734.13</v>
      </c>
      <c r="O147" s="153">
        <f t="shared" si="93"/>
        <v>61.16</v>
      </c>
      <c r="P147" s="153">
        <f t="shared" si="93"/>
        <v>0</v>
      </c>
      <c r="R147" s="2">
        <f t="shared" ref="R147:R157" si="94">SUM(B147:Q147)</f>
        <v>31635.14</v>
      </c>
      <c r="T147" s="2">
        <f t="shared" ref="T147:T157" si="95">+B147</f>
        <v>16997.330000000002</v>
      </c>
      <c r="U147" s="2">
        <f t="shared" ref="U147:U157" si="96">+C147+D147+E147</f>
        <v>765.74</v>
      </c>
      <c r="V147" s="2">
        <f t="shared" ref="V147:V157" si="97">+F147+G147+H147</f>
        <v>8997.2200000000012</v>
      </c>
      <c r="W147" s="2">
        <f t="shared" ref="W147:W157" si="98">+I147+J147</f>
        <v>0</v>
      </c>
      <c r="X147" s="2">
        <f t="shared" ref="X147:X157" si="99">+K147</f>
        <v>31.78</v>
      </c>
      <c r="Y147" s="2">
        <f t="shared" ref="Y147:Y157" si="100">SUM(T147:X147)</f>
        <v>26792.070000000003</v>
      </c>
      <c r="Z147" s="2">
        <f t="shared" ref="Z147:Z157" si="101">+L147</f>
        <v>2979.52</v>
      </c>
      <c r="AA147" s="2">
        <f t="shared" ref="AA147:AA157" si="102">+M147+N147+O147+P147</f>
        <v>1863.55</v>
      </c>
      <c r="AB147" s="2">
        <f t="shared" ref="AB147:AB157" si="103">SUM(Z147:AA147)</f>
        <v>4843.07</v>
      </c>
      <c r="AC147" s="2">
        <f t="shared" ref="AC147:AC157" si="104">+Y147+AB147</f>
        <v>31635.140000000003</v>
      </c>
      <c r="AD147" s="2">
        <f t="shared" ref="AD147:AD157" si="105">+R147-Y147-AB147</f>
        <v>0</v>
      </c>
    </row>
    <row r="148" spans="1:30" hidden="1" x14ac:dyDescent="0.2">
      <c r="A148" s="145">
        <f>'TAX Interest Rates'!A46</f>
        <v>44227</v>
      </c>
      <c r="B148" s="153">
        <f t="shared" ref="B148:P148" si="106">ROUND(-B36*B91,2)</f>
        <v>18110.48</v>
      </c>
      <c r="C148" s="153">
        <f t="shared" si="106"/>
        <v>0</v>
      </c>
      <c r="D148" s="153">
        <f t="shared" si="106"/>
        <v>569.02</v>
      </c>
      <c r="E148" s="153">
        <f t="shared" si="106"/>
        <v>159.61000000000001</v>
      </c>
      <c r="F148" s="153">
        <f t="shared" si="106"/>
        <v>8.89</v>
      </c>
      <c r="G148" s="153">
        <f t="shared" si="106"/>
        <v>8994.99</v>
      </c>
      <c r="H148" s="153">
        <f t="shared" si="106"/>
        <v>540.21</v>
      </c>
      <c r="I148" s="153">
        <f t="shared" si="106"/>
        <v>0</v>
      </c>
      <c r="J148" s="153">
        <f t="shared" si="106"/>
        <v>0</v>
      </c>
      <c r="K148" s="153">
        <f t="shared" si="106"/>
        <v>32.32</v>
      </c>
      <c r="L148" s="153">
        <f t="shared" si="106"/>
        <v>3162.76</v>
      </c>
      <c r="M148" s="153">
        <f t="shared" si="106"/>
        <v>986.66</v>
      </c>
      <c r="N148" s="153">
        <f t="shared" si="106"/>
        <v>415.26</v>
      </c>
      <c r="O148" s="153">
        <f t="shared" si="106"/>
        <v>20.21</v>
      </c>
      <c r="P148" s="153">
        <f t="shared" si="106"/>
        <v>0</v>
      </c>
      <c r="R148" s="2">
        <f t="shared" si="94"/>
        <v>33000.409999999996</v>
      </c>
      <c r="T148" s="2">
        <f t="shared" si="95"/>
        <v>18110.48</v>
      </c>
      <c r="U148" s="2">
        <f t="shared" si="96"/>
        <v>728.63</v>
      </c>
      <c r="V148" s="2">
        <f t="shared" si="97"/>
        <v>9544.09</v>
      </c>
      <c r="W148" s="2">
        <f t="shared" si="98"/>
        <v>0</v>
      </c>
      <c r="X148" s="2">
        <f t="shared" si="99"/>
        <v>32.32</v>
      </c>
      <c r="Y148" s="2">
        <f t="shared" si="100"/>
        <v>28415.52</v>
      </c>
      <c r="Z148" s="2">
        <f t="shared" si="101"/>
        <v>3162.76</v>
      </c>
      <c r="AA148" s="2">
        <f t="shared" si="102"/>
        <v>1422.13</v>
      </c>
      <c r="AB148" s="2">
        <f t="shared" si="103"/>
        <v>4584.8900000000003</v>
      </c>
      <c r="AC148" s="2">
        <f t="shared" si="104"/>
        <v>33000.410000000003</v>
      </c>
      <c r="AD148" s="2">
        <f t="shared" si="105"/>
        <v>0</v>
      </c>
    </row>
    <row r="149" spans="1:30" hidden="1" x14ac:dyDescent="0.2">
      <c r="A149" s="145">
        <f>'TAX Interest Rates'!A47</f>
        <v>44255</v>
      </c>
      <c r="B149" s="153">
        <f t="shared" ref="B149:P149" si="107">ROUND(-B37*B92,2)</f>
        <v>17111.57</v>
      </c>
      <c r="C149" s="153">
        <f t="shared" si="107"/>
        <v>0</v>
      </c>
      <c r="D149" s="153">
        <f t="shared" si="107"/>
        <v>551.76</v>
      </c>
      <c r="E149" s="153">
        <f t="shared" si="107"/>
        <v>137.83000000000001</v>
      </c>
      <c r="F149" s="153">
        <f t="shared" si="107"/>
        <v>5.29</v>
      </c>
      <c r="G149" s="153">
        <f t="shared" si="107"/>
        <v>8435.19</v>
      </c>
      <c r="H149" s="153">
        <f t="shared" si="107"/>
        <v>523.05999999999995</v>
      </c>
      <c r="I149" s="153">
        <f t="shared" si="107"/>
        <v>0</v>
      </c>
      <c r="J149" s="153">
        <f t="shared" si="107"/>
        <v>0</v>
      </c>
      <c r="K149" s="153">
        <f t="shared" si="107"/>
        <v>31.18</v>
      </c>
      <c r="L149" s="153">
        <f t="shared" si="107"/>
        <v>2899.96</v>
      </c>
      <c r="M149" s="153">
        <f t="shared" si="107"/>
        <v>837.75</v>
      </c>
      <c r="N149" s="153">
        <f t="shared" si="107"/>
        <v>430.58</v>
      </c>
      <c r="O149" s="153">
        <f t="shared" si="107"/>
        <v>78.58</v>
      </c>
      <c r="P149" s="153">
        <f t="shared" si="107"/>
        <v>0</v>
      </c>
      <c r="R149" s="2">
        <f t="shared" si="94"/>
        <v>31042.750000000004</v>
      </c>
      <c r="T149" s="2">
        <f t="shared" si="95"/>
        <v>17111.57</v>
      </c>
      <c r="U149" s="2">
        <f t="shared" si="96"/>
        <v>689.59</v>
      </c>
      <c r="V149" s="2">
        <f t="shared" si="97"/>
        <v>8963.5400000000009</v>
      </c>
      <c r="W149" s="2">
        <f t="shared" si="98"/>
        <v>0</v>
      </c>
      <c r="X149" s="2">
        <f t="shared" si="99"/>
        <v>31.18</v>
      </c>
      <c r="Y149" s="2">
        <f t="shared" si="100"/>
        <v>26795.88</v>
      </c>
      <c r="Z149" s="2">
        <f t="shared" si="101"/>
        <v>2899.96</v>
      </c>
      <c r="AA149" s="2">
        <f t="shared" si="102"/>
        <v>1346.9099999999999</v>
      </c>
      <c r="AB149" s="2">
        <f t="shared" si="103"/>
        <v>4246.87</v>
      </c>
      <c r="AC149" s="2">
        <f t="shared" si="104"/>
        <v>31042.75</v>
      </c>
      <c r="AD149" s="2">
        <f t="shared" si="105"/>
        <v>0</v>
      </c>
    </row>
    <row r="150" spans="1:30" hidden="1" x14ac:dyDescent="0.2">
      <c r="A150" s="145">
        <f>'TAX Interest Rates'!A48</f>
        <v>44286</v>
      </c>
      <c r="B150" s="153">
        <f t="shared" ref="B150:P150" si="108">ROUND(-B38*B93,2)</f>
        <v>18102.62</v>
      </c>
      <c r="C150" s="153">
        <f t="shared" si="108"/>
        <v>0</v>
      </c>
      <c r="D150" s="153">
        <f t="shared" si="108"/>
        <v>613.24</v>
      </c>
      <c r="E150" s="153">
        <f t="shared" si="108"/>
        <v>168.75</v>
      </c>
      <c r="F150" s="153">
        <f t="shared" si="108"/>
        <v>2.8</v>
      </c>
      <c r="G150" s="153">
        <f t="shared" si="108"/>
        <v>9211.2900000000009</v>
      </c>
      <c r="H150" s="153">
        <f t="shared" si="108"/>
        <v>549.24</v>
      </c>
      <c r="I150" s="153">
        <f t="shared" si="108"/>
        <v>0</v>
      </c>
      <c r="J150" s="153">
        <f t="shared" si="108"/>
        <v>0</v>
      </c>
      <c r="K150" s="153">
        <f t="shared" si="108"/>
        <v>30.5</v>
      </c>
      <c r="L150" s="153">
        <f t="shared" si="108"/>
        <v>3099.04</v>
      </c>
      <c r="M150" s="153">
        <f t="shared" si="108"/>
        <v>1204.04</v>
      </c>
      <c r="N150" s="153">
        <f t="shared" si="108"/>
        <v>877.91</v>
      </c>
      <c r="O150" s="153">
        <f t="shared" si="108"/>
        <v>165.52</v>
      </c>
      <c r="P150" s="153">
        <f t="shared" si="108"/>
        <v>0</v>
      </c>
      <c r="R150" s="2">
        <f t="shared" si="94"/>
        <v>34024.950000000004</v>
      </c>
      <c r="T150" s="2">
        <f t="shared" si="95"/>
        <v>18102.62</v>
      </c>
      <c r="U150" s="2">
        <f t="shared" si="96"/>
        <v>781.99</v>
      </c>
      <c r="V150" s="2">
        <f t="shared" si="97"/>
        <v>9763.33</v>
      </c>
      <c r="W150" s="2">
        <f t="shared" si="98"/>
        <v>0</v>
      </c>
      <c r="X150" s="2">
        <f t="shared" si="99"/>
        <v>30.5</v>
      </c>
      <c r="Y150" s="2">
        <f t="shared" si="100"/>
        <v>28678.440000000002</v>
      </c>
      <c r="Z150" s="2">
        <f t="shared" si="101"/>
        <v>3099.04</v>
      </c>
      <c r="AA150" s="2">
        <f t="shared" si="102"/>
        <v>2247.4699999999998</v>
      </c>
      <c r="AB150" s="2">
        <f t="shared" si="103"/>
        <v>5346.51</v>
      </c>
      <c r="AC150" s="2">
        <f t="shared" si="104"/>
        <v>34024.950000000004</v>
      </c>
      <c r="AD150" s="2">
        <f t="shared" si="105"/>
        <v>0</v>
      </c>
    </row>
    <row r="151" spans="1:30" hidden="1" x14ac:dyDescent="0.2">
      <c r="A151" s="145">
        <f>'TAX Interest Rates'!A49</f>
        <v>44316</v>
      </c>
      <c r="B151" s="153">
        <f t="shared" ref="B151:P151" si="109">ROUND(-B39*B94,2)</f>
        <v>12482.36</v>
      </c>
      <c r="C151" s="153">
        <f t="shared" si="109"/>
        <v>0</v>
      </c>
      <c r="D151" s="153">
        <f t="shared" si="109"/>
        <v>480.13</v>
      </c>
      <c r="E151" s="153">
        <f t="shared" si="109"/>
        <v>157.69999999999999</v>
      </c>
      <c r="F151" s="153">
        <f t="shared" si="109"/>
        <v>1.54</v>
      </c>
      <c r="G151" s="153">
        <f t="shared" si="109"/>
        <v>6407.85</v>
      </c>
      <c r="H151" s="153">
        <f t="shared" si="109"/>
        <v>419.82</v>
      </c>
      <c r="I151" s="153">
        <f t="shared" si="109"/>
        <v>0</v>
      </c>
      <c r="J151" s="153">
        <f t="shared" si="109"/>
        <v>0</v>
      </c>
      <c r="K151" s="153">
        <f t="shared" si="109"/>
        <v>23.47</v>
      </c>
      <c r="L151" s="153">
        <f t="shared" si="109"/>
        <v>2896.87</v>
      </c>
      <c r="M151" s="153">
        <f t="shared" si="109"/>
        <v>525.02</v>
      </c>
      <c r="N151" s="153">
        <f t="shared" si="109"/>
        <v>1031.75</v>
      </c>
      <c r="O151" s="153">
        <f t="shared" si="109"/>
        <v>670.26</v>
      </c>
      <c r="P151" s="153">
        <f t="shared" si="109"/>
        <v>0</v>
      </c>
      <c r="R151" s="2">
        <f t="shared" si="94"/>
        <v>25096.77</v>
      </c>
      <c r="T151" s="2">
        <f t="shared" si="95"/>
        <v>12482.36</v>
      </c>
      <c r="U151" s="2">
        <f t="shared" si="96"/>
        <v>637.82999999999993</v>
      </c>
      <c r="V151" s="2">
        <f t="shared" si="97"/>
        <v>6829.21</v>
      </c>
      <c r="W151" s="2">
        <f t="shared" si="98"/>
        <v>0</v>
      </c>
      <c r="X151" s="2">
        <f t="shared" si="99"/>
        <v>23.47</v>
      </c>
      <c r="Y151" s="2">
        <f t="shared" si="100"/>
        <v>19972.870000000003</v>
      </c>
      <c r="Z151" s="2">
        <f t="shared" si="101"/>
        <v>2896.87</v>
      </c>
      <c r="AA151" s="2">
        <f t="shared" si="102"/>
        <v>2227.0299999999997</v>
      </c>
      <c r="AB151" s="2">
        <f t="shared" si="103"/>
        <v>5123.8999999999996</v>
      </c>
      <c r="AC151" s="2">
        <f t="shared" si="104"/>
        <v>25096.770000000004</v>
      </c>
      <c r="AD151" s="2">
        <f t="shared" si="105"/>
        <v>0</v>
      </c>
    </row>
    <row r="152" spans="1:30" hidden="1" x14ac:dyDescent="0.2">
      <c r="A152" s="145">
        <f>'TAX Interest Rates'!A50</f>
        <v>44347</v>
      </c>
      <c r="B152" s="153">
        <f t="shared" ref="B152:P152" si="110">ROUND(-B40*B95,2)</f>
        <v>6093.49</v>
      </c>
      <c r="C152" s="153">
        <f t="shared" si="110"/>
        <v>0</v>
      </c>
      <c r="D152" s="153">
        <f t="shared" si="110"/>
        <v>306.04000000000002</v>
      </c>
      <c r="E152" s="153">
        <f t="shared" si="110"/>
        <v>105.9</v>
      </c>
      <c r="F152" s="153">
        <f t="shared" si="110"/>
        <v>2.52</v>
      </c>
      <c r="G152" s="153">
        <f t="shared" si="110"/>
        <v>3451.67</v>
      </c>
      <c r="H152" s="153">
        <f t="shared" si="110"/>
        <v>237.31</v>
      </c>
      <c r="I152" s="153">
        <f t="shared" si="110"/>
        <v>0</v>
      </c>
      <c r="J152" s="153">
        <f t="shared" si="110"/>
        <v>0</v>
      </c>
      <c r="K152" s="153">
        <f t="shared" si="110"/>
        <v>18.690000000000001</v>
      </c>
      <c r="L152" s="153">
        <f t="shared" si="110"/>
        <v>2731.46</v>
      </c>
      <c r="M152" s="153">
        <f t="shared" si="110"/>
        <v>0.03</v>
      </c>
      <c r="N152" s="153">
        <f t="shared" si="110"/>
        <v>469.71</v>
      </c>
      <c r="O152" s="153">
        <f t="shared" si="110"/>
        <v>232.3</v>
      </c>
      <c r="P152" s="153">
        <f t="shared" si="110"/>
        <v>0</v>
      </c>
      <c r="R152" s="2">
        <f t="shared" si="94"/>
        <v>13649.119999999997</v>
      </c>
      <c r="T152" s="2">
        <f t="shared" si="95"/>
        <v>6093.49</v>
      </c>
      <c r="U152" s="2">
        <f t="shared" si="96"/>
        <v>411.94000000000005</v>
      </c>
      <c r="V152" s="2">
        <f t="shared" si="97"/>
        <v>3691.5</v>
      </c>
      <c r="W152" s="2">
        <f t="shared" si="98"/>
        <v>0</v>
      </c>
      <c r="X152" s="2">
        <f t="shared" si="99"/>
        <v>18.690000000000001</v>
      </c>
      <c r="Y152" s="2">
        <f t="shared" si="100"/>
        <v>10215.620000000001</v>
      </c>
      <c r="Z152" s="2">
        <f t="shared" si="101"/>
        <v>2731.46</v>
      </c>
      <c r="AA152" s="2">
        <f t="shared" si="102"/>
        <v>702.04</v>
      </c>
      <c r="AB152" s="2">
        <f t="shared" si="103"/>
        <v>3433.5</v>
      </c>
      <c r="AC152" s="2">
        <f t="shared" si="104"/>
        <v>13649.12</v>
      </c>
      <c r="AD152" s="2">
        <f t="shared" si="105"/>
        <v>-3.637978807091713E-12</v>
      </c>
    </row>
    <row r="153" spans="1:30" hidden="1" x14ac:dyDescent="0.2">
      <c r="A153" s="145">
        <f>'TAX Interest Rates'!A51</f>
        <v>44377</v>
      </c>
      <c r="B153" s="153">
        <f t="shared" ref="B153:P153" si="111">ROUND(-B41*B96,2)</f>
        <v>4752.24</v>
      </c>
      <c r="C153" s="153">
        <f t="shared" si="111"/>
        <v>0</v>
      </c>
      <c r="D153" s="153">
        <f t="shared" si="111"/>
        <v>263.29000000000002</v>
      </c>
      <c r="E153" s="153">
        <f t="shared" si="111"/>
        <v>165.81</v>
      </c>
      <c r="F153" s="153">
        <f t="shared" si="111"/>
        <v>1.06</v>
      </c>
      <c r="G153" s="153">
        <f t="shared" si="111"/>
        <v>2812.23</v>
      </c>
      <c r="H153" s="153">
        <f t="shared" si="111"/>
        <v>188.77</v>
      </c>
      <c r="I153" s="153">
        <f t="shared" si="111"/>
        <v>0</v>
      </c>
      <c r="J153" s="153">
        <f t="shared" si="111"/>
        <v>0</v>
      </c>
      <c r="K153" s="153">
        <f t="shared" si="111"/>
        <v>13.59</v>
      </c>
      <c r="L153" s="153">
        <f t="shared" si="111"/>
        <v>2615.94</v>
      </c>
      <c r="M153" s="153">
        <f t="shared" si="111"/>
        <v>846.47</v>
      </c>
      <c r="N153" s="153">
        <f t="shared" si="111"/>
        <v>743.83</v>
      </c>
      <c r="O153" s="153">
        <f t="shared" si="111"/>
        <v>429.49</v>
      </c>
      <c r="P153" s="153">
        <f t="shared" si="111"/>
        <v>0</v>
      </c>
      <c r="R153" s="2">
        <f t="shared" si="94"/>
        <v>12832.720000000001</v>
      </c>
      <c r="T153" s="2">
        <f t="shared" si="95"/>
        <v>4752.24</v>
      </c>
      <c r="U153" s="2">
        <f t="shared" si="96"/>
        <v>429.1</v>
      </c>
      <c r="V153" s="2">
        <f t="shared" si="97"/>
        <v>3002.06</v>
      </c>
      <c r="W153" s="2">
        <f t="shared" si="98"/>
        <v>0</v>
      </c>
      <c r="X153" s="2">
        <f t="shared" si="99"/>
        <v>13.59</v>
      </c>
      <c r="Y153" s="2">
        <f t="shared" si="100"/>
        <v>8196.99</v>
      </c>
      <c r="Z153" s="2">
        <f t="shared" si="101"/>
        <v>2615.94</v>
      </c>
      <c r="AA153" s="2">
        <f t="shared" si="102"/>
        <v>2019.7900000000002</v>
      </c>
      <c r="AB153" s="2">
        <f t="shared" si="103"/>
        <v>4635.7300000000005</v>
      </c>
      <c r="AC153" s="2">
        <f t="shared" si="104"/>
        <v>12832.720000000001</v>
      </c>
      <c r="AD153" s="2">
        <f t="shared" si="105"/>
        <v>0</v>
      </c>
    </row>
    <row r="154" spans="1:30" hidden="1" x14ac:dyDescent="0.2">
      <c r="A154" s="145">
        <f>'TAX Interest Rates'!A52</f>
        <v>44408</v>
      </c>
      <c r="B154" s="153">
        <f t="shared" ref="B154:P154" si="112">ROUND(-B42*B97,2)</f>
        <v>2800.24</v>
      </c>
      <c r="C154" s="153">
        <f t="shared" si="112"/>
        <v>0</v>
      </c>
      <c r="D154" s="153">
        <f t="shared" si="112"/>
        <v>223.37</v>
      </c>
      <c r="E154" s="153">
        <f t="shared" si="112"/>
        <v>96.21</v>
      </c>
      <c r="F154" s="153">
        <f t="shared" si="112"/>
        <v>0.84</v>
      </c>
      <c r="G154" s="153">
        <f t="shared" si="112"/>
        <v>1912.07</v>
      </c>
      <c r="H154" s="153">
        <f t="shared" si="112"/>
        <v>123.33</v>
      </c>
      <c r="I154" s="153">
        <f t="shared" si="112"/>
        <v>0</v>
      </c>
      <c r="J154" s="153">
        <f t="shared" si="112"/>
        <v>0</v>
      </c>
      <c r="K154" s="153">
        <f t="shared" si="112"/>
        <v>11.55</v>
      </c>
      <c r="L154" s="153">
        <f t="shared" si="112"/>
        <v>2371.3000000000002</v>
      </c>
      <c r="M154" s="153">
        <f t="shared" si="112"/>
        <v>1176.1400000000001</v>
      </c>
      <c r="N154" s="153">
        <f t="shared" si="112"/>
        <v>977.36</v>
      </c>
      <c r="O154" s="153">
        <f t="shared" si="112"/>
        <v>689.62</v>
      </c>
      <c r="P154" s="153">
        <f t="shared" si="112"/>
        <v>0</v>
      </c>
      <c r="R154" s="2">
        <f t="shared" si="94"/>
        <v>10382.030000000001</v>
      </c>
      <c r="T154" s="2">
        <f t="shared" si="95"/>
        <v>2800.24</v>
      </c>
      <c r="U154" s="2">
        <f t="shared" si="96"/>
        <v>319.58</v>
      </c>
      <c r="V154" s="2">
        <f t="shared" si="97"/>
        <v>2036.2399999999998</v>
      </c>
      <c r="W154" s="2">
        <f t="shared" si="98"/>
        <v>0</v>
      </c>
      <c r="X154" s="2">
        <f t="shared" si="99"/>
        <v>11.55</v>
      </c>
      <c r="Y154" s="2">
        <f t="shared" si="100"/>
        <v>5167.6099999999997</v>
      </c>
      <c r="Z154" s="2">
        <f t="shared" si="101"/>
        <v>2371.3000000000002</v>
      </c>
      <c r="AA154" s="2">
        <f t="shared" si="102"/>
        <v>2843.12</v>
      </c>
      <c r="AB154" s="2">
        <f t="shared" si="103"/>
        <v>5214.42</v>
      </c>
      <c r="AC154" s="2">
        <f t="shared" si="104"/>
        <v>10382.029999999999</v>
      </c>
      <c r="AD154" s="2">
        <f t="shared" si="105"/>
        <v>0</v>
      </c>
    </row>
    <row r="155" spans="1:30" hidden="1" x14ac:dyDescent="0.2">
      <c r="A155" s="145">
        <f>'TAX Interest Rates'!A53</f>
        <v>44439</v>
      </c>
      <c r="B155" s="153">
        <f t="shared" ref="B155:P155" si="113">ROUND(-B43*B98,2)</f>
        <v>2445.9699999999998</v>
      </c>
      <c r="C155" s="153">
        <f t="shared" si="113"/>
        <v>0</v>
      </c>
      <c r="D155" s="153">
        <f t="shared" si="113"/>
        <v>209.51</v>
      </c>
      <c r="E155" s="153">
        <f t="shared" si="113"/>
        <v>116.75</v>
      </c>
      <c r="F155" s="153">
        <f t="shared" si="113"/>
        <v>1.28</v>
      </c>
      <c r="G155" s="153">
        <f t="shared" si="113"/>
        <v>1801.04</v>
      </c>
      <c r="H155" s="153">
        <f t="shared" si="113"/>
        <v>112.56</v>
      </c>
      <c r="I155" s="153">
        <f t="shared" si="113"/>
        <v>0</v>
      </c>
      <c r="J155" s="153">
        <f t="shared" si="113"/>
        <v>0</v>
      </c>
      <c r="K155" s="153">
        <f t="shared" si="113"/>
        <v>13.39</v>
      </c>
      <c r="L155" s="153">
        <f t="shared" si="113"/>
        <v>2428.17</v>
      </c>
      <c r="M155" s="153">
        <f t="shared" si="113"/>
        <v>1187.95</v>
      </c>
      <c r="N155" s="153">
        <f t="shared" si="113"/>
        <v>989.72</v>
      </c>
      <c r="O155" s="153">
        <f t="shared" si="113"/>
        <v>541.54999999999995</v>
      </c>
      <c r="P155" s="153">
        <f t="shared" si="113"/>
        <v>0</v>
      </c>
      <c r="R155" s="2">
        <f t="shared" si="94"/>
        <v>9847.89</v>
      </c>
      <c r="T155" s="2">
        <f t="shared" si="95"/>
        <v>2445.9699999999998</v>
      </c>
      <c r="U155" s="2">
        <f t="shared" si="96"/>
        <v>326.26</v>
      </c>
      <c r="V155" s="2">
        <f t="shared" si="97"/>
        <v>1914.8799999999999</v>
      </c>
      <c r="W155" s="2">
        <f t="shared" si="98"/>
        <v>0</v>
      </c>
      <c r="X155" s="2">
        <f t="shared" si="99"/>
        <v>13.39</v>
      </c>
      <c r="Y155" s="2">
        <f t="shared" si="100"/>
        <v>4700.5</v>
      </c>
      <c r="Z155" s="2">
        <f t="shared" si="101"/>
        <v>2428.17</v>
      </c>
      <c r="AA155" s="2">
        <f t="shared" si="102"/>
        <v>2719.2200000000003</v>
      </c>
      <c r="AB155" s="2">
        <f t="shared" si="103"/>
        <v>5147.3900000000003</v>
      </c>
      <c r="AC155" s="2">
        <f t="shared" si="104"/>
        <v>9847.89</v>
      </c>
      <c r="AD155" s="2">
        <f t="shared" si="105"/>
        <v>0</v>
      </c>
    </row>
    <row r="156" spans="1:30" hidden="1" x14ac:dyDescent="0.2">
      <c r="A156" s="145">
        <f>'TAX Interest Rates'!A54</f>
        <v>44469</v>
      </c>
      <c r="B156" s="153">
        <f t="shared" ref="B156:P156" si="114">ROUND(-B44*B99,2)</f>
        <v>2782.62</v>
      </c>
      <c r="C156" s="153">
        <f t="shared" si="114"/>
        <v>0</v>
      </c>
      <c r="D156" s="153">
        <f t="shared" si="114"/>
        <v>263.37</v>
      </c>
      <c r="E156" s="153">
        <f t="shared" si="114"/>
        <v>108.3</v>
      </c>
      <c r="F156" s="153">
        <f t="shared" si="114"/>
        <v>1.55</v>
      </c>
      <c r="G156" s="153">
        <f t="shared" si="114"/>
        <v>1949.1</v>
      </c>
      <c r="H156" s="153">
        <f t="shared" si="114"/>
        <v>119.61</v>
      </c>
      <c r="I156" s="153">
        <f t="shared" si="114"/>
        <v>0</v>
      </c>
      <c r="J156" s="153">
        <f t="shared" si="114"/>
        <v>0</v>
      </c>
      <c r="K156" s="153">
        <f t="shared" si="114"/>
        <v>16.57</v>
      </c>
      <c r="L156" s="153">
        <f t="shared" si="114"/>
        <v>2579.3200000000002</v>
      </c>
      <c r="M156" s="153">
        <f t="shared" si="114"/>
        <v>1119.07</v>
      </c>
      <c r="N156" s="153">
        <f t="shared" si="114"/>
        <v>1113.8699999999999</v>
      </c>
      <c r="O156" s="153">
        <f t="shared" si="114"/>
        <v>365.67</v>
      </c>
      <c r="P156" s="153">
        <f t="shared" si="114"/>
        <v>0</v>
      </c>
      <c r="R156" s="2">
        <f t="shared" si="94"/>
        <v>10419.050000000001</v>
      </c>
      <c r="T156" s="2">
        <f t="shared" si="95"/>
        <v>2782.62</v>
      </c>
      <c r="U156" s="2">
        <f t="shared" si="96"/>
        <v>371.67</v>
      </c>
      <c r="V156" s="2">
        <f t="shared" si="97"/>
        <v>2070.2599999999998</v>
      </c>
      <c r="W156" s="2">
        <f t="shared" si="98"/>
        <v>0</v>
      </c>
      <c r="X156" s="2">
        <f t="shared" si="99"/>
        <v>16.57</v>
      </c>
      <c r="Y156" s="2">
        <f t="shared" si="100"/>
        <v>5241.119999999999</v>
      </c>
      <c r="Z156" s="2">
        <f t="shared" si="101"/>
        <v>2579.3200000000002</v>
      </c>
      <c r="AA156" s="2">
        <f t="shared" si="102"/>
        <v>2598.6099999999997</v>
      </c>
      <c r="AB156" s="2">
        <f t="shared" si="103"/>
        <v>5177.93</v>
      </c>
      <c r="AC156" s="2">
        <f t="shared" si="104"/>
        <v>10419.049999999999</v>
      </c>
      <c r="AD156" s="2">
        <f t="shared" si="105"/>
        <v>0</v>
      </c>
    </row>
    <row r="157" spans="1:30" hidden="1" x14ac:dyDescent="0.2">
      <c r="A157" s="145">
        <f>'TAX Interest Rates'!A55</f>
        <v>44500</v>
      </c>
      <c r="B157" s="153">
        <f t="shared" ref="B157:P157" si="115">ROUND(-B45*B100,2)</f>
        <v>4878.5</v>
      </c>
      <c r="C157" s="153">
        <f t="shared" si="115"/>
        <v>0</v>
      </c>
      <c r="D157" s="153">
        <f t="shared" si="115"/>
        <v>548.74</v>
      </c>
      <c r="E157" s="153">
        <f t="shared" si="115"/>
        <v>123.85</v>
      </c>
      <c r="F157" s="153">
        <f t="shared" si="115"/>
        <v>2.15</v>
      </c>
      <c r="G157" s="153">
        <f t="shared" si="115"/>
        <v>2778.21</v>
      </c>
      <c r="H157" s="153">
        <f t="shared" si="115"/>
        <v>195.88</v>
      </c>
      <c r="I157" s="153">
        <f t="shared" si="115"/>
        <v>0</v>
      </c>
      <c r="J157" s="153">
        <f t="shared" si="115"/>
        <v>0</v>
      </c>
      <c r="K157" s="153">
        <f t="shared" si="115"/>
        <v>24.48</v>
      </c>
      <c r="L157" s="153">
        <f t="shared" si="115"/>
        <v>2891.83</v>
      </c>
      <c r="M157" s="153">
        <f t="shared" si="115"/>
        <v>813.43</v>
      </c>
      <c r="N157" s="153">
        <f t="shared" si="115"/>
        <v>823.63</v>
      </c>
      <c r="O157" s="153">
        <f t="shared" si="115"/>
        <v>334.49</v>
      </c>
      <c r="P157" s="153">
        <f t="shared" si="115"/>
        <v>0</v>
      </c>
      <c r="R157" s="2">
        <f t="shared" si="94"/>
        <v>13415.189999999999</v>
      </c>
      <c r="T157" s="2">
        <f t="shared" si="95"/>
        <v>4878.5</v>
      </c>
      <c r="U157" s="2">
        <f t="shared" si="96"/>
        <v>672.59</v>
      </c>
      <c r="V157" s="2">
        <f t="shared" si="97"/>
        <v>2976.2400000000002</v>
      </c>
      <c r="W157" s="2">
        <f t="shared" si="98"/>
        <v>0</v>
      </c>
      <c r="X157" s="2">
        <f t="shared" si="99"/>
        <v>24.48</v>
      </c>
      <c r="Y157" s="2">
        <f t="shared" si="100"/>
        <v>8551.81</v>
      </c>
      <c r="Z157" s="2">
        <f t="shared" si="101"/>
        <v>2891.83</v>
      </c>
      <c r="AA157" s="2">
        <f t="shared" si="102"/>
        <v>1971.55</v>
      </c>
      <c r="AB157" s="2">
        <f t="shared" si="103"/>
        <v>4863.38</v>
      </c>
      <c r="AC157" s="2">
        <f t="shared" si="104"/>
        <v>13415.189999999999</v>
      </c>
      <c r="AD157" s="2">
        <f t="shared" si="105"/>
        <v>0</v>
      </c>
    </row>
    <row r="158" spans="1:30" x14ac:dyDescent="0.2">
      <c r="A158" s="145">
        <f>'TAX Interest Rates'!A56</f>
        <v>44530</v>
      </c>
      <c r="B158" s="153">
        <f>ROUND(-B46*B100,2)</f>
        <v>6325.14</v>
      </c>
      <c r="C158" s="153">
        <f t="shared" ref="C158:P159" si="116">ROUND(-C46*C100,2)</f>
        <v>0</v>
      </c>
      <c r="D158" s="153">
        <f t="shared" si="116"/>
        <v>309.17</v>
      </c>
      <c r="E158" s="153">
        <f t="shared" si="116"/>
        <v>101.45</v>
      </c>
      <c r="F158" s="153">
        <f t="shared" si="116"/>
        <v>0</v>
      </c>
      <c r="G158" s="153">
        <f t="shared" si="116"/>
        <v>3254.07</v>
      </c>
      <c r="H158" s="153">
        <f t="shared" si="116"/>
        <v>205.06</v>
      </c>
      <c r="I158" s="153">
        <f t="shared" si="116"/>
        <v>0</v>
      </c>
      <c r="J158" s="153">
        <f t="shared" si="116"/>
        <v>0</v>
      </c>
      <c r="K158" s="153">
        <f t="shared" si="116"/>
        <v>0</v>
      </c>
      <c r="L158" s="153">
        <f t="shared" si="116"/>
        <v>0</v>
      </c>
      <c r="M158" s="153">
        <f t="shared" si="116"/>
        <v>0</v>
      </c>
      <c r="N158" s="153">
        <f t="shared" si="116"/>
        <v>0</v>
      </c>
      <c r="O158" s="153">
        <f t="shared" si="116"/>
        <v>24.47</v>
      </c>
      <c r="P158" s="153">
        <f t="shared" si="116"/>
        <v>0</v>
      </c>
      <c r="R158" s="2">
        <f t="shared" ref="R158" si="117">SUM(B158:Q158)</f>
        <v>10219.359999999999</v>
      </c>
      <c r="S158" s="2" t="s">
        <v>45</v>
      </c>
      <c r="T158" s="2">
        <f t="shared" ref="T158" si="118">+B158</f>
        <v>6325.14</v>
      </c>
      <c r="U158" s="2">
        <f t="shared" ref="U158" si="119">+C158+D158+E158</f>
        <v>410.62</v>
      </c>
      <c r="V158" s="2">
        <f t="shared" ref="V158" si="120">+F158+G158+H158</f>
        <v>3459.13</v>
      </c>
      <c r="W158" s="2">
        <f t="shared" ref="W158" si="121">+I158+J158</f>
        <v>0</v>
      </c>
      <c r="X158" s="2">
        <f t="shared" ref="X158" si="122">+K158</f>
        <v>0</v>
      </c>
      <c r="Y158" s="2">
        <f t="shared" ref="Y158" si="123">SUM(T158:X158)</f>
        <v>10194.89</v>
      </c>
      <c r="Z158" s="2">
        <f t="shared" ref="Z158" si="124">+L158</f>
        <v>0</v>
      </c>
      <c r="AA158" s="2">
        <f t="shared" ref="AA158" si="125">+M158+N158+O158+P158</f>
        <v>24.47</v>
      </c>
      <c r="AB158" s="2">
        <f t="shared" ref="AB158" si="126">SUM(Z158:AA158)</f>
        <v>24.47</v>
      </c>
      <c r="AC158" s="2">
        <f t="shared" ref="AC158" si="127">+Y158+AB158</f>
        <v>10219.359999999999</v>
      </c>
      <c r="AD158" s="2">
        <f t="shared" ref="AD158" si="128">+R158-Y158-AB158</f>
        <v>-6.5369931689929217E-13</v>
      </c>
    </row>
    <row r="159" spans="1:30" x14ac:dyDescent="0.2">
      <c r="A159" s="145">
        <f>'TAX Interest Rates'!A56</f>
        <v>44530</v>
      </c>
      <c r="B159" s="153">
        <f>ROUND(-B47*B101,2)</f>
        <v>2047.13</v>
      </c>
      <c r="C159" s="153">
        <f t="shared" si="116"/>
        <v>0</v>
      </c>
      <c r="D159" s="153">
        <f t="shared" si="116"/>
        <v>79.790000000000006</v>
      </c>
      <c r="E159" s="153">
        <f t="shared" si="116"/>
        <v>26.47</v>
      </c>
      <c r="F159" s="153">
        <f t="shared" si="116"/>
        <v>2.58</v>
      </c>
      <c r="G159" s="153">
        <f t="shared" si="116"/>
        <v>935.82</v>
      </c>
      <c r="H159" s="153">
        <f t="shared" si="116"/>
        <v>84.82</v>
      </c>
      <c r="I159" s="153">
        <f t="shared" si="116"/>
        <v>0</v>
      </c>
      <c r="J159" s="153">
        <f t="shared" si="116"/>
        <v>0</v>
      </c>
      <c r="K159" s="153">
        <f t="shared" si="116"/>
        <v>21.54</v>
      </c>
      <c r="L159" s="153">
        <f t="shared" si="116"/>
        <v>2080.75</v>
      </c>
      <c r="M159" s="153">
        <f t="shared" si="116"/>
        <v>811.34</v>
      </c>
      <c r="N159" s="153">
        <f t="shared" si="116"/>
        <v>477.61</v>
      </c>
      <c r="O159" s="153">
        <f t="shared" si="116"/>
        <v>26.97</v>
      </c>
      <c r="P159" s="153">
        <f t="shared" si="116"/>
        <v>0</v>
      </c>
      <c r="R159" s="2">
        <f t="shared" ref="R159" si="129">SUM(B159:Q159)</f>
        <v>6594.82</v>
      </c>
      <c r="S159" s="2" t="s">
        <v>46</v>
      </c>
      <c r="T159" s="2">
        <f t="shared" ref="T159" si="130">+B159</f>
        <v>2047.13</v>
      </c>
      <c r="U159" s="2">
        <f t="shared" ref="U159" si="131">+C159+D159+E159</f>
        <v>106.26</v>
      </c>
      <c r="V159" s="2">
        <f t="shared" ref="V159" si="132">+F159+G159+H159</f>
        <v>1023.22</v>
      </c>
      <c r="W159" s="2">
        <f t="shared" ref="W159" si="133">+I159+J159</f>
        <v>0</v>
      </c>
      <c r="X159" s="2">
        <f t="shared" ref="X159" si="134">+K159</f>
        <v>21.54</v>
      </c>
      <c r="Y159" s="2">
        <f t="shared" ref="Y159" si="135">SUM(T159:X159)</f>
        <v>3198.1500000000005</v>
      </c>
      <c r="Z159" s="2">
        <f t="shared" ref="Z159" si="136">+L159</f>
        <v>2080.75</v>
      </c>
      <c r="AA159" s="2">
        <f t="shared" ref="AA159" si="137">+M159+N159+O159+P159</f>
        <v>1315.92</v>
      </c>
      <c r="AB159" s="2">
        <f t="shared" ref="AB159" si="138">SUM(Z159:AA159)</f>
        <v>3396.67</v>
      </c>
      <c r="AC159" s="2">
        <f t="shared" ref="AC159" si="139">+Y159+AB159</f>
        <v>6594.8200000000006</v>
      </c>
      <c r="AD159" s="2">
        <f t="shared" ref="AD159" si="140">+R159-Y159-AB159</f>
        <v>0</v>
      </c>
    </row>
    <row r="160" spans="1:30" x14ac:dyDescent="0.2">
      <c r="A160" s="145">
        <f>'TAX Interest Rates'!A57</f>
        <v>44561</v>
      </c>
      <c r="B160" s="153">
        <f t="shared" ref="B160:P160" si="141">ROUND(-B48*B102,2)</f>
        <v>10987.85</v>
      </c>
      <c r="C160" s="153">
        <f t="shared" si="141"/>
        <v>0</v>
      </c>
      <c r="D160" s="153">
        <f t="shared" si="141"/>
        <v>452.75</v>
      </c>
      <c r="E160" s="153">
        <f t="shared" si="141"/>
        <v>123.35</v>
      </c>
      <c r="F160" s="153">
        <f t="shared" si="141"/>
        <v>7.16</v>
      </c>
      <c r="G160" s="153">
        <f t="shared" si="141"/>
        <v>5492.51</v>
      </c>
      <c r="H160" s="153">
        <f t="shared" si="141"/>
        <v>337.14</v>
      </c>
      <c r="I160" s="153">
        <f t="shared" si="141"/>
        <v>0</v>
      </c>
      <c r="J160" s="153">
        <f t="shared" si="141"/>
        <v>0</v>
      </c>
      <c r="K160" s="153">
        <f t="shared" si="141"/>
        <v>27.12</v>
      </c>
      <c r="L160" s="153">
        <f t="shared" si="141"/>
        <v>2038.29</v>
      </c>
      <c r="M160" s="153">
        <f t="shared" si="141"/>
        <v>622.38</v>
      </c>
      <c r="N160" s="153">
        <f t="shared" si="141"/>
        <v>513.57000000000005</v>
      </c>
      <c r="O160" s="153">
        <f t="shared" si="141"/>
        <v>29.44</v>
      </c>
      <c r="P160" s="153">
        <f t="shared" si="141"/>
        <v>0</v>
      </c>
      <c r="R160" s="2">
        <f t="shared" ref="R160:R170" si="142">SUM(B160:Q160)</f>
        <v>20631.560000000001</v>
      </c>
      <c r="T160" s="2">
        <f t="shared" ref="T160:T170" si="143">+B160</f>
        <v>10987.85</v>
      </c>
      <c r="U160" s="2">
        <f t="shared" ref="U160:U170" si="144">+C160+D160+E160</f>
        <v>576.1</v>
      </c>
      <c r="V160" s="2">
        <f t="shared" ref="V160:V170" si="145">+F160+G160+H160</f>
        <v>5836.81</v>
      </c>
      <c r="W160" s="2">
        <f t="shared" ref="W160:W170" si="146">+I160+J160</f>
        <v>0</v>
      </c>
      <c r="X160" s="2">
        <f t="shared" ref="X160:X170" si="147">+K160</f>
        <v>27.12</v>
      </c>
      <c r="Y160" s="2">
        <f t="shared" ref="Y160:Y170" si="148">SUM(T160:X160)</f>
        <v>17427.88</v>
      </c>
      <c r="Z160" s="2">
        <f t="shared" ref="Z160:Z170" si="149">+L160</f>
        <v>2038.29</v>
      </c>
      <c r="AA160" s="2">
        <f t="shared" ref="AA160:AA170" si="150">+M160+N160+O160+P160</f>
        <v>1165.3900000000001</v>
      </c>
      <c r="AB160" s="2">
        <f t="shared" ref="AB160:AB170" si="151">SUM(Z160:AA160)</f>
        <v>3203.6800000000003</v>
      </c>
      <c r="AC160" s="2">
        <f t="shared" ref="AC160:AC170" si="152">+Y160+AB160</f>
        <v>20631.560000000001</v>
      </c>
      <c r="AD160" s="2">
        <f t="shared" ref="AD160:AD170" si="153">+R160-Y160-AB160</f>
        <v>0</v>
      </c>
    </row>
    <row r="161" spans="1:30" x14ac:dyDescent="0.2">
      <c r="A161" s="145">
        <f>'TAX Interest Rates'!A58</f>
        <v>44592</v>
      </c>
      <c r="B161" s="153">
        <f t="shared" ref="B161:P161" si="154">ROUND(-B49*B103,2)</f>
        <v>17244.62</v>
      </c>
      <c r="C161" s="153">
        <f t="shared" si="154"/>
        <v>0</v>
      </c>
      <c r="D161" s="153">
        <f t="shared" si="154"/>
        <v>562.4</v>
      </c>
      <c r="E161" s="153">
        <f t="shared" si="154"/>
        <v>136.02000000000001</v>
      </c>
      <c r="F161" s="153">
        <f t="shared" si="154"/>
        <v>6.48</v>
      </c>
      <c r="G161" s="153">
        <f t="shared" si="154"/>
        <v>8889.08</v>
      </c>
      <c r="H161" s="153">
        <f t="shared" si="154"/>
        <v>522.1</v>
      </c>
      <c r="I161" s="153">
        <f t="shared" si="154"/>
        <v>0</v>
      </c>
      <c r="J161" s="153">
        <f t="shared" si="154"/>
        <v>0</v>
      </c>
      <c r="K161" s="153">
        <f t="shared" si="154"/>
        <v>25.73</v>
      </c>
      <c r="L161" s="153">
        <f t="shared" si="154"/>
        <v>2349.16</v>
      </c>
      <c r="M161" s="153">
        <f t="shared" si="154"/>
        <v>166.98</v>
      </c>
      <c r="N161" s="153">
        <f t="shared" si="154"/>
        <v>325.10000000000002</v>
      </c>
      <c r="O161" s="153">
        <f t="shared" si="154"/>
        <v>28.76</v>
      </c>
      <c r="P161" s="153">
        <f t="shared" si="154"/>
        <v>0</v>
      </c>
      <c r="R161" s="2">
        <f t="shared" si="142"/>
        <v>30256.429999999993</v>
      </c>
      <c r="T161" s="2">
        <f t="shared" si="143"/>
        <v>17244.62</v>
      </c>
      <c r="U161" s="2">
        <f t="shared" si="144"/>
        <v>698.42</v>
      </c>
      <c r="V161" s="2">
        <f t="shared" si="145"/>
        <v>9417.66</v>
      </c>
      <c r="W161" s="2">
        <f t="shared" si="146"/>
        <v>0</v>
      </c>
      <c r="X161" s="2">
        <f t="shared" si="147"/>
        <v>25.73</v>
      </c>
      <c r="Y161" s="2">
        <f t="shared" si="148"/>
        <v>27386.429999999997</v>
      </c>
      <c r="Z161" s="2">
        <f t="shared" si="149"/>
        <v>2349.16</v>
      </c>
      <c r="AA161" s="2">
        <f t="shared" si="150"/>
        <v>520.84</v>
      </c>
      <c r="AB161" s="2">
        <f t="shared" si="151"/>
        <v>2870</v>
      </c>
      <c r="AC161" s="2">
        <f t="shared" si="152"/>
        <v>30256.429999999997</v>
      </c>
      <c r="AD161" s="2">
        <f t="shared" si="153"/>
        <v>-3.637978807091713E-12</v>
      </c>
    </row>
    <row r="162" spans="1:30" x14ac:dyDescent="0.2">
      <c r="A162" s="145">
        <f>'TAX Interest Rates'!A59</f>
        <v>44620</v>
      </c>
      <c r="B162" s="153">
        <f t="shared" ref="B162:P162" si="155">ROUND(-B50*B104,2)</f>
        <v>13085.28</v>
      </c>
      <c r="C162" s="153">
        <f t="shared" si="155"/>
        <v>0</v>
      </c>
      <c r="D162" s="153">
        <f t="shared" si="155"/>
        <v>450.51</v>
      </c>
      <c r="E162" s="153">
        <f t="shared" si="155"/>
        <v>118.39</v>
      </c>
      <c r="F162" s="153">
        <f t="shared" si="155"/>
        <v>3.39</v>
      </c>
      <c r="G162" s="153">
        <f t="shared" si="155"/>
        <v>7066.94</v>
      </c>
      <c r="H162" s="153">
        <f t="shared" si="155"/>
        <v>373.53</v>
      </c>
      <c r="I162" s="153">
        <f t="shared" si="155"/>
        <v>0</v>
      </c>
      <c r="J162" s="153">
        <f t="shared" si="155"/>
        <v>0</v>
      </c>
      <c r="K162" s="153">
        <f t="shared" si="155"/>
        <v>22.75</v>
      </c>
      <c r="L162" s="153">
        <f t="shared" si="155"/>
        <v>2110.06</v>
      </c>
      <c r="M162" s="153">
        <f t="shared" si="155"/>
        <v>538.84</v>
      </c>
      <c r="N162" s="153">
        <f t="shared" si="155"/>
        <v>216.63</v>
      </c>
      <c r="O162" s="153">
        <f t="shared" si="155"/>
        <v>27</v>
      </c>
      <c r="P162" s="153">
        <f t="shared" si="155"/>
        <v>0</v>
      </c>
      <c r="R162" s="2">
        <f t="shared" si="142"/>
        <v>24013.32</v>
      </c>
      <c r="T162" s="2">
        <f t="shared" si="143"/>
        <v>13085.28</v>
      </c>
      <c r="U162" s="2">
        <f t="shared" si="144"/>
        <v>568.9</v>
      </c>
      <c r="V162" s="2">
        <f t="shared" si="145"/>
        <v>7443.86</v>
      </c>
      <c r="W162" s="2">
        <f t="shared" si="146"/>
        <v>0</v>
      </c>
      <c r="X162" s="2">
        <f t="shared" si="147"/>
        <v>22.75</v>
      </c>
      <c r="Y162" s="2">
        <f t="shared" si="148"/>
        <v>21120.79</v>
      </c>
      <c r="Z162" s="2">
        <f t="shared" si="149"/>
        <v>2110.06</v>
      </c>
      <c r="AA162" s="2">
        <f t="shared" si="150"/>
        <v>782.47</v>
      </c>
      <c r="AB162" s="2">
        <f t="shared" si="151"/>
        <v>2892.5299999999997</v>
      </c>
      <c r="AC162" s="2">
        <f t="shared" si="152"/>
        <v>24013.32</v>
      </c>
      <c r="AD162" s="2">
        <f t="shared" si="153"/>
        <v>0</v>
      </c>
    </row>
    <row r="163" spans="1:30" x14ac:dyDescent="0.2">
      <c r="A163" s="145">
        <f>'TAX Interest Rates'!A60</f>
        <v>44651</v>
      </c>
      <c r="B163" s="153">
        <f t="shared" ref="B163:P163" si="156">ROUND(-B51*B105,2)</f>
        <v>12638.28</v>
      </c>
      <c r="C163" s="153">
        <f t="shared" si="156"/>
        <v>0</v>
      </c>
      <c r="D163" s="153">
        <f t="shared" si="156"/>
        <v>509.81</v>
      </c>
      <c r="E163" s="153">
        <f t="shared" si="156"/>
        <v>137.06</v>
      </c>
      <c r="F163" s="153">
        <f t="shared" si="156"/>
        <v>2.89</v>
      </c>
      <c r="G163" s="153">
        <f t="shared" si="156"/>
        <v>6810.5</v>
      </c>
      <c r="H163" s="153">
        <f t="shared" si="156"/>
        <v>374.6</v>
      </c>
      <c r="I163" s="153">
        <f t="shared" si="156"/>
        <v>0</v>
      </c>
      <c r="J163" s="153">
        <f t="shared" si="156"/>
        <v>0</v>
      </c>
      <c r="K163" s="153">
        <f t="shared" si="156"/>
        <v>22.09</v>
      </c>
      <c r="L163" s="153">
        <f t="shared" si="156"/>
        <v>2252.7399999999998</v>
      </c>
      <c r="M163" s="153">
        <f t="shared" si="156"/>
        <v>643.94000000000005</v>
      </c>
      <c r="N163" s="153">
        <f t="shared" si="156"/>
        <v>23.98</v>
      </c>
      <c r="O163" s="153">
        <f t="shared" si="156"/>
        <v>9.73</v>
      </c>
      <c r="P163" s="153">
        <f t="shared" si="156"/>
        <v>0</v>
      </c>
      <c r="R163" s="2">
        <f t="shared" si="142"/>
        <v>23425.62</v>
      </c>
      <c r="T163" s="2">
        <f t="shared" si="143"/>
        <v>12638.28</v>
      </c>
      <c r="U163" s="2">
        <f t="shared" si="144"/>
        <v>646.87</v>
      </c>
      <c r="V163" s="2">
        <f t="shared" si="145"/>
        <v>7187.9900000000007</v>
      </c>
      <c r="W163" s="2">
        <f t="shared" si="146"/>
        <v>0</v>
      </c>
      <c r="X163" s="2">
        <f t="shared" si="147"/>
        <v>22.09</v>
      </c>
      <c r="Y163" s="2">
        <f t="shared" si="148"/>
        <v>20495.230000000003</v>
      </c>
      <c r="Z163" s="2">
        <f t="shared" si="149"/>
        <v>2252.7399999999998</v>
      </c>
      <c r="AA163" s="2">
        <f t="shared" si="150"/>
        <v>677.65000000000009</v>
      </c>
      <c r="AB163" s="2">
        <f t="shared" si="151"/>
        <v>2930.39</v>
      </c>
      <c r="AC163" s="2">
        <f t="shared" si="152"/>
        <v>23425.620000000003</v>
      </c>
      <c r="AD163" s="2">
        <f t="shared" si="153"/>
        <v>-4.0927261579781771E-12</v>
      </c>
    </row>
    <row r="164" spans="1:30" x14ac:dyDescent="0.2">
      <c r="A164" s="145">
        <f>'TAX Interest Rates'!A61</f>
        <v>44681</v>
      </c>
      <c r="B164" s="153">
        <f t="shared" ref="B164:P164" si="157">ROUND(-B52*B106,2)</f>
        <v>8331.3799999999992</v>
      </c>
      <c r="C164" s="153">
        <f t="shared" si="157"/>
        <v>0</v>
      </c>
      <c r="D164" s="153">
        <f t="shared" si="157"/>
        <v>341.93</v>
      </c>
      <c r="E164" s="153">
        <f t="shared" si="157"/>
        <v>101.99</v>
      </c>
      <c r="F164" s="153">
        <f t="shared" si="157"/>
        <v>5.59</v>
      </c>
      <c r="G164" s="153">
        <f t="shared" si="157"/>
        <v>4408.79</v>
      </c>
      <c r="H164" s="153">
        <f t="shared" si="157"/>
        <v>265.27999999999997</v>
      </c>
      <c r="I164" s="153">
        <f t="shared" si="157"/>
        <v>0</v>
      </c>
      <c r="J164" s="153">
        <f t="shared" si="157"/>
        <v>0</v>
      </c>
      <c r="K164" s="153">
        <f t="shared" si="157"/>
        <v>21.17</v>
      </c>
      <c r="L164" s="153">
        <f t="shared" si="157"/>
        <v>2234.4</v>
      </c>
      <c r="M164" s="153">
        <f t="shared" si="157"/>
        <v>520.89</v>
      </c>
      <c r="N164" s="153">
        <f t="shared" si="157"/>
        <v>0</v>
      </c>
      <c r="O164" s="153">
        <f t="shared" si="157"/>
        <v>264.70999999999998</v>
      </c>
      <c r="P164" s="153">
        <f t="shared" si="157"/>
        <v>0</v>
      </c>
      <c r="R164" s="2">
        <f t="shared" si="142"/>
        <v>16496.13</v>
      </c>
      <c r="T164" s="2">
        <f t="shared" si="143"/>
        <v>8331.3799999999992</v>
      </c>
      <c r="U164" s="2">
        <f t="shared" si="144"/>
        <v>443.92</v>
      </c>
      <c r="V164" s="2">
        <f t="shared" si="145"/>
        <v>4679.66</v>
      </c>
      <c r="W164" s="2">
        <f t="shared" si="146"/>
        <v>0</v>
      </c>
      <c r="X164" s="2">
        <f t="shared" si="147"/>
        <v>21.17</v>
      </c>
      <c r="Y164" s="2">
        <f t="shared" si="148"/>
        <v>13476.13</v>
      </c>
      <c r="Z164" s="2">
        <f t="shared" si="149"/>
        <v>2234.4</v>
      </c>
      <c r="AA164" s="2">
        <f t="shared" si="150"/>
        <v>785.59999999999991</v>
      </c>
      <c r="AB164" s="2">
        <f t="shared" si="151"/>
        <v>3020</v>
      </c>
      <c r="AC164" s="2">
        <f t="shared" si="152"/>
        <v>16496.129999999997</v>
      </c>
      <c r="AD164" s="2">
        <f t="shared" si="153"/>
        <v>0</v>
      </c>
    </row>
    <row r="165" spans="1:30" x14ac:dyDescent="0.2">
      <c r="A165" s="145">
        <f>'TAX Interest Rates'!A62</f>
        <v>44712</v>
      </c>
      <c r="B165" s="153">
        <f t="shared" ref="B165:P165" si="158">ROUND(-B53*B107,2)</f>
        <v>7032.39</v>
      </c>
      <c r="C165" s="153">
        <f t="shared" si="158"/>
        <v>0</v>
      </c>
      <c r="D165" s="153">
        <f t="shared" si="158"/>
        <v>332.96</v>
      </c>
      <c r="E165" s="153">
        <f t="shared" si="158"/>
        <v>88.56</v>
      </c>
      <c r="F165" s="153">
        <f t="shared" si="158"/>
        <v>3</v>
      </c>
      <c r="G165" s="153">
        <f t="shared" si="158"/>
        <v>3862.13</v>
      </c>
      <c r="H165" s="153">
        <f t="shared" si="158"/>
        <v>232.36</v>
      </c>
      <c r="I165" s="153">
        <f t="shared" si="158"/>
        <v>0</v>
      </c>
      <c r="J165" s="153">
        <f t="shared" si="158"/>
        <v>0</v>
      </c>
      <c r="K165" s="153">
        <f t="shared" si="158"/>
        <v>17.98</v>
      </c>
      <c r="L165" s="153">
        <f t="shared" si="158"/>
        <v>2115.2600000000002</v>
      </c>
      <c r="M165" s="153">
        <f t="shared" si="158"/>
        <v>418.87</v>
      </c>
      <c r="N165" s="153">
        <f t="shared" si="158"/>
        <v>0</v>
      </c>
      <c r="O165" s="153">
        <f t="shared" si="158"/>
        <v>46.97</v>
      </c>
      <c r="P165" s="153">
        <f t="shared" si="158"/>
        <v>0</v>
      </c>
      <c r="R165" s="2">
        <f t="shared" si="142"/>
        <v>14150.480000000001</v>
      </c>
      <c r="T165" s="2">
        <f t="shared" si="143"/>
        <v>7032.39</v>
      </c>
      <c r="U165" s="2">
        <f t="shared" si="144"/>
        <v>421.52</v>
      </c>
      <c r="V165" s="2">
        <f t="shared" si="145"/>
        <v>4097.49</v>
      </c>
      <c r="W165" s="2">
        <f t="shared" si="146"/>
        <v>0</v>
      </c>
      <c r="X165" s="2">
        <f t="shared" si="147"/>
        <v>17.98</v>
      </c>
      <c r="Y165" s="2">
        <f t="shared" si="148"/>
        <v>11569.38</v>
      </c>
      <c r="Z165" s="2">
        <f t="shared" si="149"/>
        <v>2115.2600000000002</v>
      </c>
      <c r="AA165" s="2">
        <f t="shared" si="150"/>
        <v>465.84000000000003</v>
      </c>
      <c r="AB165" s="2">
        <f t="shared" si="151"/>
        <v>2581.1000000000004</v>
      </c>
      <c r="AC165" s="2">
        <f t="shared" si="152"/>
        <v>14150.48</v>
      </c>
      <c r="AD165" s="2">
        <f t="shared" si="153"/>
        <v>0</v>
      </c>
    </row>
    <row r="166" spans="1:30" x14ac:dyDescent="0.2">
      <c r="A166" s="145">
        <f>'TAX Interest Rates'!A63</f>
        <v>44742</v>
      </c>
      <c r="B166" s="153">
        <f t="shared" ref="B166:P166" si="159">ROUND(-B54*B108,2)</f>
        <v>4240.75</v>
      </c>
      <c r="C166" s="153">
        <f t="shared" si="159"/>
        <v>0</v>
      </c>
      <c r="D166" s="153">
        <f t="shared" si="159"/>
        <v>249.85</v>
      </c>
      <c r="E166" s="153">
        <f t="shared" si="159"/>
        <v>104.61</v>
      </c>
      <c r="F166" s="153">
        <f t="shared" si="159"/>
        <v>1.33</v>
      </c>
      <c r="G166" s="153">
        <f t="shared" si="159"/>
        <v>2527.85</v>
      </c>
      <c r="H166" s="153">
        <f t="shared" si="159"/>
        <v>159.37</v>
      </c>
      <c r="I166" s="153">
        <f t="shared" si="159"/>
        <v>0</v>
      </c>
      <c r="J166" s="153">
        <f t="shared" si="159"/>
        <v>0</v>
      </c>
      <c r="K166" s="153">
        <f t="shared" si="159"/>
        <v>11.51</v>
      </c>
      <c r="L166" s="153">
        <f t="shared" si="159"/>
        <v>1877.76</v>
      </c>
      <c r="M166" s="153">
        <f t="shared" si="159"/>
        <v>81.69</v>
      </c>
      <c r="N166" s="153">
        <f t="shared" si="159"/>
        <v>73.05</v>
      </c>
      <c r="O166" s="153">
        <f t="shared" si="159"/>
        <v>37.28</v>
      </c>
      <c r="P166" s="153">
        <f t="shared" si="159"/>
        <v>0</v>
      </c>
      <c r="R166" s="2">
        <f t="shared" si="142"/>
        <v>9365.0499999999993</v>
      </c>
      <c r="T166" s="2">
        <f t="shared" si="143"/>
        <v>4240.75</v>
      </c>
      <c r="U166" s="2">
        <f t="shared" si="144"/>
        <v>354.46</v>
      </c>
      <c r="V166" s="2">
        <f t="shared" si="145"/>
        <v>2688.5499999999997</v>
      </c>
      <c r="W166" s="2">
        <f t="shared" si="146"/>
        <v>0</v>
      </c>
      <c r="X166" s="2">
        <f t="shared" si="147"/>
        <v>11.51</v>
      </c>
      <c r="Y166" s="2">
        <f t="shared" si="148"/>
        <v>7295.27</v>
      </c>
      <c r="Z166" s="2">
        <f t="shared" si="149"/>
        <v>1877.76</v>
      </c>
      <c r="AA166" s="2">
        <f t="shared" si="150"/>
        <v>192.02</v>
      </c>
      <c r="AB166" s="2">
        <f t="shared" si="151"/>
        <v>2069.7800000000002</v>
      </c>
      <c r="AC166" s="2">
        <f t="shared" si="152"/>
        <v>9365.0500000000011</v>
      </c>
      <c r="AD166" s="2">
        <f t="shared" si="153"/>
        <v>0</v>
      </c>
    </row>
    <row r="167" spans="1:30" x14ac:dyDescent="0.2">
      <c r="A167" s="145">
        <f>'TAX Interest Rates'!A64</f>
        <v>44773</v>
      </c>
      <c r="B167" s="153">
        <f t="shared" ref="B167:P167" si="160">ROUND(-B55*B109,2)</f>
        <v>2391.65</v>
      </c>
      <c r="C167" s="153">
        <f t="shared" si="160"/>
        <v>0</v>
      </c>
      <c r="D167" s="153">
        <f t="shared" si="160"/>
        <v>168.51</v>
      </c>
      <c r="E167" s="153">
        <f t="shared" si="160"/>
        <v>102.73</v>
      </c>
      <c r="F167" s="153">
        <f t="shared" si="160"/>
        <v>0.72</v>
      </c>
      <c r="G167" s="153">
        <f t="shared" si="160"/>
        <v>1600.83</v>
      </c>
      <c r="H167" s="153">
        <f t="shared" si="160"/>
        <v>97.99</v>
      </c>
      <c r="I167" s="153">
        <f t="shared" si="160"/>
        <v>0</v>
      </c>
      <c r="J167" s="153">
        <f t="shared" si="160"/>
        <v>0</v>
      </c>
      <c r="K167" s="153">
        <f t="shared" si="160"/>
        <v>8.89</v>
      </c>
      <c r="L167" s="153">
        <f t="shared" si="160"/>
        <v>1783.22</v>
      </c>
      <c r="M167" s="153">
        <f t="shared" si="160"/>
        <v>790.48</v>
      </c>
      <c r="N167" s="153">
        <f t="shared" si="160"/>
        <v>441.39</v>
      </c>
      <c r="O167" s="153">
        <f t="shared" si="160"/>
        <v>0</v>
      </c>
      <c r="P167" s="153">
        <f t="shared" si="160"/>
        <v>0</v>
      </c>
      <c r="R167" s="2">
        <f t="shared" si="142"/>
        <v>7386.4100000000008</v>
      </c>
      <c r="T167" s="2">
        <f t="shared" si="143"/>
        <v>2391.65</v>
      </c>
      <c r="U167" s="2">
        <f t="shared" si="144"/>
        <v>271.24</v>
      </c>
      <c r="V167" s="2">
        <f t="shared" si="145"/>
        <v>1699.54</v>
      </c>
      <c r="W167" s="2">
        <f t="shared" si="146"/>
        <v>0</v>
      </c>
      <c r="X167" s="2">
        <f t="shared" si="147"/>
        <v>8.89</v>
      </c>
      <c r="Y167" s="2">
        <f t="shared" si="148"/>
        <v>4371.3200000000006</v>
      </c>
      <c r="Z167" s="2">
        <f t="shared" si="149"/>
        <v>1783.22</v>
      </c>
      <c r="AA167" s="2">
        <f t="shared" si="150"/>
        <v>1231.8699999999999</v>
      </c>
      <c r="AB167" s="2">
        <f t="shared" si="151"/>
        <v>3015.09</v>
      </c>
      <c r="AC167" s="2">
        <f t="shared" si="152"/>
        <v>7386.4100000000008</v>
      </c>
      <c r="AD167" s="2">
        <f t="shared" si="153"/>
        <v>0</v>
      </c>
    </row>
    <row r="168" spans="1:30" x14ac:dyDescent="0.2">
      <c r="A168" s="145">
        <f>'TAX Interest Rates'!A65</f>
        <v>44804</v>
      </c>
      <c r="B168" s="153">
        <f t="shared" ref="B168:P168" si="161">ROUND(-B56*B110,2)</f>
        <v>1963.24</v>
      </c>
      <c r="C168" s="153">
        <f t="shared" si="161"/>
        <v>0</v>
      </c>
      <c r="D168" s="153">
        <f t="shared" si="161"/>
        <v>157.59</v>
      </c>
      <c r="E168" s="153">
        <f t="shared" si="161"/>
        <v>95.39</v>
      </c>
      <c r="F168" s="153">
        <f t="shared" si="161"/>
        <v>0.78</v>
      </c>
      <c r="G168" s="153">
        <f t="shared" si="161"/>
        <v>1511.38</v>
      </c>
      <c r="H168" s="153">
        <f t="shared" si="161"/>
        <v>90.02</v>
      </c>
      <c r="I168" s="153">
        <f t="shared" si="161"/>
        <v>0</v>
      </c>
      <c r="J168" s="153">
        <f t="shared" si="161"/>
        <v>0</v>
      </c>
      <c r="K168" s="153">
        <f t="shared" si="161"/>
        <v>10.16</v>
      </c>
      <c r="L168" s="153">
        <f t="shared" si="161"/>
        <v>1991.16</v>
      </c>
      <c r="M168" s="153">
        <f t="shared" si="161"/>
        <v>1093.58</v>
      </c>
      <c r="N168" s="153">
        <f t="shared" si="161"/>
        <v>639.35</v>
      </c>
      <c r="O168" s="153">
        <f t="shared" si="161"/>
        <v>0</v>
      </c>
      <c r="P168" s="153">
        <f t="shared" si="161"/>
        <v>0</v>
      </c>
      <c r="R168" s="2">
        <f t="shared" si="142"/>
        <v>7552.6500000000005</v>
      </c>
      <c r="T168" s="2">
        <f t="shared" si="143"/>
        <v>1963.24</v>
      </c>
      <c r="U168" s="2">
        <f t="shared" si="144"/>
        <v>252.98000000000002</v>
      </c>
      <c r="V168" s="2">
        <f t="shared" si="145"/>
        <v>1602.18</v>
      </c>
      <c r="W168" s="2">
        <f t="shared" si="146"/>
        <v>0</v>
      </c>
      <c r="X168" s="2">
        <f t="shared" si="147"/>
        <v>10.16</v>
      </c>
      <c r="Y168" s="2">
        <f t="shared" si="148"/>
        <v>3828.5600000000004</v>
      </c>
      <c r="Z168" s="2">
        <f t="shared" si="149"/>
        <v>1991.16</v>
      </c>
      <c r="AA168" s="2">
        <f t="shared" si="150"/>
        <v>1732.9299999999998</v>
      </c>
      <c r="AB168" s="2">
        <f t="shared" si="151"/>
        <v>3724.09</v>
      </c>
      <c r="AC168" s="2">
        <f t="shared" si="152"/>
        <v>7552.6500000000005</v>
      </c>
      <c r="AD168" s="2">
        <f t="shared" si="153"/>
        <v>0</v>
      </c>
    </row>
    <row r="169" spans="1:30" x14ac:dyDescent="0.2">
      <c r="A169" s="145">
        <f>'TAX Interest Rates'!A66</f>
        <v>44834</v>
      </c>
      <c r="B169" s="153">
        <f t="shared" ref="B169:P169" si="162">ROUND(-B57*B111,2)</f>
        <v>-850.46</v>
      </c>
      <c r="C169" s="153">
        <f t="shared" si="162"/>
        <v>0</v>
      </c>
      <c r="D169" s="153">
        <f t="shared" si="162"/>
        <v>0</v>
      </c>
      <c r="E169" s="153">
        <f t="shared" si="162"/>
        <v>0</v>
      </c>
      <c r="F169" s="153">
        <f t="shared" si="162"/>
        <v>-0.78</v>
      </c>
      <c r="G169" s="153">
        <f t="shared" si="162"/>
        <v>-694.68</v>
      </c>
      <c r="H169" s="153">
        <f t="shared" si="162"/>
        <v>-1.98</v>
      </c>
      <c r="I169" s="153">
        <f t="shared" si="162"/>
        <v>0</v>
      </c>
      <c r="J169" s="153">
        <f t="shared" si="162"/>
        <v>0</v>
      </c>
      <c r="K169" s="153">
        <f t="shared" si="162"/>
        <v>-10.16</v>
      </c>
      <c r="L169" s="153">
        <f t="shared" si="162"/>
        <v>-1991.16</v>
      </c>
      <c r="M169" s="153">
        <f t="shared" si="162"/>
        <v>-1093.58</v>
      </c>
      <c r="N169" s="153">
        <f t="shared" si="162"/>
        <v>-639.35</v>
      </c>
      <c r="O169" s="153">
        <f t="shared" si="162"/>
        <v>0</v>
      </c>
      <c r="P169" s="153">
        <f t="shared" si="162"/>
        <v>0</v>
      </c>
      <c r="R169" s="2">
        <f t="shared" si="142"/>
        <v>-5282.1500000000005</v>
      </c>
      <c r="T169" s="2">
        <f t="shared" si="143"/>
        <v>-850.46</v>
      </c>
      <c r="U169" s="2">
        <f t="shared" si="144"/>
        <v>0</v>
      </c>
      <c r="V169" s="2">
        <f t="shared" si="145"/>
        <v>-697.43999999999994</v>
      </c>
      <c r="W169" s="2">
        <f t="shared" si="146"/>
        <v>0</v>
      </c>
      <c r="X169" s="2">
        <f t="shared" si="147"/>
        <v>-10.16</v>
      </c>
      <c r="Y169" s="2">
        <f t="shared" si="148"/>
        <v>-1558.0600000000002</v>
      </c>
      <c r="Z169" s="2">
        <f t="shared" si="149"/>
        <v>-1991.16</v>
      </c>
      <c r="AA169" s="2">
        <f t="shared" si="150"/>
        <v>-1732.9299999999998</v>
      </c>
      <c r="AB169" s="2">
        <f t="shared" si="151"/>
        <v>-3724.09</v>
      </c>
      <c r="AC169" s="2">
        <f t="shared" si="152"/>
        <v>-5282.1500000000005</v>
      </c>
      <c r="AD169" s="2">
        <f t="shared" si="153"/>
        <v>0</v>
      </c>
    </row>
    <row r="170" spans="1:30" x14ac:dyDescent="0.2">
      <c r="A170" s="145">
        <f>'TAX Interest Rates'!A67</f>
        <v>44865</v>
      </c>
      <c r="B170" s="153">
        <f t="shared" ref="B170:P170" si="163">ROUND(-B58*B112,2)</f>
        <v>0</v>
      </c>
      <c r="C170" s="153">
        <f t="shared" si="163"/>
        <v>0</v>
      </c>
      <c r="D170" s="153">
        <f t="shared" si="163"/>
        <v>0</v>
      </c>
      <c r="E170" s="153">
        <f t="shared" si="163"/>
        <v>0</v>
      </c>
      <c r="F170" s="153">
        <f t="shared" si="163"/>
        <v>0</v>
      </c>
      <c r="G170" s="153">
        <f t="shared" si="163"/>
        <v>0</v>
      </c>
      <c r="H170" s="153">
        <f t="shared" si="163"/>
        <v>0</v>
      </c>
      <c r="I170" s="153">
        <f t="shared" si="163"/>
        <v>0</v>
      </c>
      <c r="J170" s="153">
        <f t="shared" si="163"/>
        <v>0</v>
      </c>
      <c r="K170" s="153">
        <f t="shared" si="163"/>
        <v>0</v>
      </c>
      <c r="L170" s="153">
        <f t="shared" si="163"/>
        <v>0</v>
      </c>
      <c r="M170" s="153">
        <f t="shared" si="163"/>
        <v>0</v>
      </c>
      <c r="N170" s="153">
        <f t="shared" si="163"/>
        <v>0</v>
      </c>
      <c r="O170" s="153">
        <f t="shared" si="163"/>
        <v>0</v>
      </c>
      <c r="P170" s="153">
        <f t="shared" si="163"/>
        <v>0</v>
      </c>
      <c r="R170" s="2">
        <f t="shared" si="142"/>
        <v>0</v>
      </c>
      <c r="T170" s="2">
        <f t="shared" si="143"/>
        <v>0</v>
      </c>
      <c r="U170" s="2">
        <f t="shared" si="144"/>
        <v>0</v>
      </c>
      <c r="V170" s="2">
        <f t="shared" si="145"/>
        <v>0</v>
      </c>
      <c r="W170" s="2">
        <f t="shared" si="146"/>
        <v>0</v>
      </c>
      <c r="X170" s="2">
        <f t="shared" si="147"/>
        <v>0</v>
      </c>
      <c r="Y170" s="2">
        <f t="shared" si="148"/>
        <v>0</v>
      </c>
      <c r="Z170" s="2">
        <f t="shared" si="149"/>
        <v>0</v>
      </c>
      <c r="AA170" s="2">
        <f t="shared" si="150"/>
        <v>0</v>
      </c>
      <c r="AB170" s="2">
        <f t="shared" si="151"/>
        <v>0</v>
      </c>
      <c r="AC170" s="2">
        <f t="shared" si="152"/>
        <v>0</v>
      </c>
      <c r="AD170" s="2">
        <f t="shared" si="153"/>
        <v>0</v>
      </c>
    </row>
  </sheetData>
  <mergeCells count="4">
    <mergeCell ref="C2:E2"/>
    <mergeCell ref="F2:H2"/>
    <mergeCell ref="I2:J2"/>
    <mergeCell ref="M2:P2"/>
  </mergeCells>
  <printOptions horizontalCentered="1"/>
  <pageMargins left="0.25" right="0.25" top="0.75" bottom="0.75" header="0.3" footer="0.3"/>
  <pageSetup scale="91" orientation="landscape" r:id="rId1"/>
  <headerFooter>
    <oddFooter xml:space="preserve">&amp;L&amp;10WA Tax Deferral Accounts&amp;C&amp;10&amp;A&amp;R&amp;10 47WA.2540.20484&amp;12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"/>
  <sheetViews>
    <sheetView workbookViewId="0">
      <selection activeCell="D26" sqref="D26"/>
    </sheetView>
  </sheetViews>
  <sheetFormatPr defaultRowHeight="15.7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44"/>
  <sheetViews>
    <sheetView view="pageBreakPreview" topLeftCell="A4" zoomScale="115" zoomScaleNormal="100" zoomScaleSheetLayoutView="115" workbookViewId="0">
      <selection activeCell="L30" sqref="L30"/>
    </sheetView>
  </sheetViews>
  <sheetFormatPr defaultColWidth="8.88671875" defaultRowHeight="12.75" x14ac:dyDescent="0.2"/>
  <cols>
    <col min="1" max="2" width="8.88671875" style="2"/>
    <col min="3" max="3" width="10.109375" style="2" customWidth="1"/>
    <col min="4" max="4" width="8.88671875" style="2"/>
    <col min="5" max="5" width="10.21875" style="2" customWidth="1"/>
    <col min="6" max="6" width="8.88671875" style="2"/>
    <col min="7" max="7" width="13.109375" style="2" customWidth="1"/>
    <col min="8" max="8" width="11.6640625" style="2" customWidth="1"/>
    <col min="9" max="9" width="15.109375" style="2" bestFit="1" customWidth="1"/>
    <col min="10" max="10" width="16.21875" style="2" bestFit="1" customWidth="1"/>
    <col min="11" max="11" width="9" style="25" bestFit="1" customWidth="1"/>
    <col min="12" max="12" width="10.33203125" style="2" bestFit="1" customWidth="1"/>
    <col min="13" max="16384" width="8.88671875" style="2"/>
  </cols>
  <sheetData>
    <row r="1" spans="1:12" x14ac:dyDescent="0.2">
      <c r="A1" s="209" t="s">
        <v>65</v>
      </c>
      <c r="B1" s="210"/>
      <c r="C1" s="211" t="s">
        <v>66</v>
      </c>
      <c r="D1" s="211"/>
      <c r="E1" s="211"/>
      <c r="F1" s="211"/>
      <c r="G1" s="211"/>
      <c r="H1" s="212"/>
      <c r="I1" s="27"/>
    </row>
    <row r="2" spans="1:12" x14ac:dyDescent="0.2">
      <c r="A2" s="206" t="s">
        <v>67</v>
      </c>
      <c r="B2" s="186"/>
      <c r="C2" s="207" t="s">
        <v>115</v>
      </c>
      <c r="D2" s="207"/>
      <c r="E2" s="207"/>
      <c r="F2" s="207"/>
      <c r="G2" s="207"/>
      <c r="H2" s="208"/>
      <c r="I2" s="27"/>
    </row>
    <row r="3" spans="1:12" x14ac:dyDescent="0.2">
      <c r="A3" s="206" t="s">
        <v>69</v>
      </c>
      <c r="B3" s="186"/>
      <c r="C3" s="207" t="s">
        <v>116</v>
      </c>
      <c r="D3" s="207"/>
      <c r="E3" s="207"/>
      <c r="F3" s="207"/>
      <c r="G3" s="207"/>
      <c r="H3" s="208"/>
      <c r="I3" s="27"/>
    </row>
    <row r="4" spans="1:12" x14ac:dyDescent="0.2">
      <c r="A4" s="206" t="s">
        <v>71</v>
      </c>
      <c r="B4" s="186"/>
      <c r="C4" s="207"/>
      <c r="D4" s="207"/>
      <c r="E4" s="207"/>
      <c r="F4" s="207"/>
      <c r="G4" s="207"/>
      <c r="H4" s="208"/>
      <c r="I4" s="27"/>
    </row>
    <row r="5" spans="1:12" x14ac:dyDescent="0.2">
      <c r="A5" s="206" t="s">
        <v>72</v>
      </c>
      <c r="B5" s="186"/>
      <c r="C5" s="207" t="s">
        <v>75</v>
      </c>
      <c r="D5" s="207"/>
      <c r="E5" s="207"/>
      <c r="F5" s="207"/>
      <c r="G5" s="207"/>
      <c r="H5" s="208"/>
      <c r="I5" s="27"/>
    </row>
    <row r="6" spans="1:12" x14ac:dyDescent="0.2">
      <c r="A6" s="206" t="s">
        <v>74</v>
      </c>
      <c r="B6" s="186"/>
      <c r="C6" s="207" t="s">
        <v>117</v>
      </c>
      <c r="D6" s="207"/>
      <c r="E6" s="207"/>
      <c r="F6" s="207"/>
      <c r="G6" s="207"/>
      <c r="H6" s="208"/>
      <c r="I6" s="27"/>
    </row>
    <row r="7" spans="1:12" ht="13.5" thickBot="1" x14ac:dyDescent="0.25">
      <c r="A7" s="201" t="s">
        <v>76</v>
      </c>
      <c r="B7" s="202"/>
      <c r="C7" s="203" t="s">
        <v>118</v>
      </c>
      <c r="D7" s="203"/>
      <c r="E7" s="203"/>
      <c r="F7" s="203"/>
      <c r="G7" s="203"/>
      <c r="H7" s="204"/>
      <c r="I7" s="30"/>
    </row>
    <row r="8" spans="1:12" x14ac:dyDescent="0.2">
      <c r="A8" s="34"/>
      <c r="B8" s="34"/>
      <c r="C8" s="35"/>
      <c r="D8" s="35"/>
      <c r="E8" s="35"/>
      <c r="F8" s="35"/>
      <c r="G8" s="35"/>
      <c r="H8" s="35"/>
      <c r="J8" s="36"/>
    </row>
    <row r="9" spans="1:12" x14ac:dyDescent="0.2">
      <c r="A9" s="7"/>
      <c r="D9" s="194" t="s">
        <v>78</v>
      </c>
      <c r="E9" s="194"/>
      <c r="F9" s="194"/>
    </row>
    <row r="10" spans="1:12" s="99" customFormat="1" x14ac:dyDescent="0.2">
      <c r="A10" s="8" t="s">
        <v>24</v>
      </c>
      <c r="B10" s="8" t="s">
        <v>79</v>
      </c>
      <c r="C10" s="8" t="s">
        <v>62</v>
      </c>
      <c r="D10" s="8" t="s">
        <v>80</v>
      </c>
      <c r="E10" s="8" t="s">
        <v>58</v>
      </c>
      <c r="F10" s="8" t="s">
        <v>81</v>
      </c>
      <c r="G10" s="8" t="s">
        <v>82</v>
      </c>
      <c r="H10" s="8" t="s">
        <v>83</v>
      </c>
      <c r="I10" s="19" t="s">
        <v>84</v>
      </c>
      <c r="J10" s="19" t="s">
        <v>85</v>
      </c>
      <c r="K10" s="19" t="s">
        <v>86</v>
      </c>
      <c r="L10" s="19" t="s">
        <v>87</v>
      </c>
    </row>
    <row r="11" spans="1:12" x14ac:dyDescent="0.2">
      <c r="A11" s="31"/>
      <c r="B11" s="31"/>
      <c r="C11" s="31"/>
      <c r="D11" s="31"/>
      <c r="E11" s="31"/>
      <c r="F11" s="31"/>
      <c r="G11" s="31"/>
      <c r="H11" s="29"/>
      <c r="I11" s="30"/>
    </row>
    <row r="12" spans="1:12" x14ac:dyDescent="0.2">
      <c r="A12" s="205" t="s">
        <v>102</v>
      </c>
      <c r="B12" s="205"/>
      <c r="C12" s="205"/>
      <c r="D12" s="205"/>
      <c r="E12" s="205"/>
      <c r="F12" s="205"/>
      <c r="G12" s="29">
        <v>-990223.26</v>
      </c>
      <c r="H12" s="29"/>
      <c r="I12" s="37"/>
      <c r="J12" s="24"/>
    </row>
    <row r="13" spans="1:12" x14ac:dyDescent="0.2">
      <c r="A13" s="205"/>
      <c r="B13" s="205"/>
      <c r="C13" s="205"/>
      <c r="D13" s="205"/>
      <c r="E13" s="205"/>
      <c r="F13" s="205"/>
      <c r="G13" s="29"/>
      <c r="H13" s="29">
        <f>SUM(G12:G12)</f>
        <v>-990223.26</v>
      </c>
      <c r="I13" s="30"/>
    </row>
    <row r="14" spans="1:12" x14ac:dyDescent="0.2">
      <c r="A14" s="28">
        <f>'TAX Interest Rates'!A17</f>
        <v>43343</v>
      </c>
      <c r="B14" s="47" t="s">
        <v>103</v>
      </c>
      <c r="C14" s="46">
        <f>+'Temp Rate Credit Base'!R4</f>
        <v>61836631</v>
      </c>
      <c r="D14" s="24"/>
      <c r="E14" s="29">
        <f>+'Temp Rate Credit Base'!R71</f>
        <v>33266.209999999992</v>
      </c>
      <c r="F14" s="29">
        <f t="shared" ref="F14:F18" si="0">ROUND(H13*VLOOKUP(A14,TAXINT18,2)/365*VLOOKUP(A14,TAXINT18,3),2)</f>
        <v>0</v>
      </c>
      <c r="G14" s="29">
        <v>-243641.89</v>
      </c>
      <c r="H14" s="29">
        <f>SUM(D14:G14)+H13</f>
        <v>-1200598.94</v>
      </c>
      <c r="I14" s="37">
        <v>-1200598.94</v>
      </c>
      <c r="J14" s="24">
        <f>I14-H14</f>
        <v>0</v>
      </c>
      <c r="K14" s="25" t="s">
        <v>98</v>
      </c>
      <c r="L14" s="38">
        <v>43364</v>
      </c>
    </row>
    <row r="15" spans="1:12" x14ac:dyDescent="0.2">
      <c r="A15" s="28">
        <f>'TAX Interest Rates'!A18</f>
        <v>43373</v>
      </c>
      <c r="B15" s="47" t="s">
        <v>103</v>
      </c>
      <c r="C15" s="46">
        <f>+'Temp Rate Credit Base'!R5</f>
        <v>69221884</v>
      </c>
      <c r="D15" s="24">
        <v>0</v>
      </c>
      <c r="E15" s="29">
        <f>+'Temp Rate Credit Base'!R72</f>
        <v>51001.71</v>
      </c>
      <c r="F15" s="29">
        <f t="shared" si="0"/>
        <v>0</v>
      </c>
      <c r="G15" s="29"/>
      <c r="H15" s="29">
        <f t="shared" ref="H15:H24" si="1">SUM(D15:G15)+H14</f>
        <v>-1149597.23</v>
      </c>
      <c r="I15" s="37">
        <v>-1149597.23</v>
      </c>
      <c r="J15" s="24">
        <f>I15-H15</f>
        <v>0</v>
      </c>
      <c r="K15" s="25" t="s">
        <v>98</v>
      </c>
      <c r="L15" s="38">
        <v>43381</v>
      </c>
    </row>
    <row r="16" spans="1:12" x14ac:dyDescent="0.2">
      <c r="A16" s="28">
        <f>'TAX Interest Rates'!A19</f>
        <v>43404</v>
      </c>
      <c r="B16" s="47" t="s">
        <v>103</v>
      </c>
      <c r="C16" s="46">
        <f>+'Temp Rate Credit Base'!R6</f>
        <v>58118580</v>
      </c>
      <c r="D16" s="37">
        <v>0</v>
      </c>
      <c r="E16" s="29">
        <f>+'Temp Rate Credit Base'!R73</f>
        <v>62992.2</v>
      </c>
      <c r="F16" s="29">
        <f t="shared" si="0"/>
        <v>0</v>
      </c>
      <c r="G16" s="30"/>
      <c r="H16" s="32">
        <f t="shared" si="1"/>
        <v>-1086605.03</v>
      </c>
      <c r="I16" s="37">
        <v>-1086605.03</v>
      </c>
      <c r="J16" s="24">
        <f t="shared" ref="J16:J30" si="2">I16-H16</f>
        <v>0</v>
      </c>
      <c r="K16" s="25" t="s">
        <v>98</v>
      </c>
      <c r="L16" s="38">
        <v>43411</v>
      </c>
    </row>
    <row r="17" spans="1:12" x14ac:dyDescent="0.2">
      <c r="A17" s="28">
        <f>'TAX Interest Rates'!A20</f>
        <v>43434</v>
      </c>
      <c r="B17" s="47" t="s">
        <v>103</v>
      </c>
      <c r="C17" s="46">
        <f>+'Temp Rate Credit Base'!R7</f>
        <v>43389765</v>
      </c>
      <c r="D17" s="37">
        <v>0</v>
      </c>
      <c r="E17" s="29">
        <f>+'Temp Rate Credit Base'!R74</f>
        <v>77954.62999999999</v>
      </c>
      <c r="F17" s="29">
        <f t="shared" si="0"/>
        <v>0</v>
      </c>
      <c r="G17" s="30"/>
      <c r="H17" s="32">
        <f t="shared" si="1"/>
        <v>-1008650.4</v>
      </c>
      <c r="I17" s="2">
        <v>-1008650.4</v>
      </c>
      <c r="J17" s="24">
        <f t="shared" si="2"/>
        <v>0</v>
      </c>
      <c r="K17" s="25" t="s">
        <v>98</v>
      </c>
      <c r="L17" s="38">
        <v>43444</v>
      </c>
    </row>
    <row r="18" spans="1:12" x14ac:dyDescent="0.2">
      <c r="A18" s="28">
        <f>'TAX Interest Rates'!A21</f>
        <v>43465</v>
      </c>
      <c r="B18" s="47" t="s">
        <v>103</v>
      </c>
      <c r="C18" s="46">
        <f>+'Temp Rate Credit Base'!R8</f>
        <v>80158637</v>
      </c>
      <c r="D18" s="37">
        <v>0</v>
      </c>
      <c r="E18" s="29">
        <f>+'Temp Rate Credit Base'!R75</f>
        <v>145450.43</v>
      </c>
      <c r="F18" s="29">
        <f t="shared" si="0"/>
        <v>0</v>
      </c>
      <c r="G18" s="30"/>
      <c r="H18" s="32">
        <f t="shared" si="1"/>
        <v>-863199.97</v>
      </c>
      <c r="I18" s="2">
        <v>-863199.97</v>
      </c>
      <c r="J18" s="24">
        <f t="shared" si="2"/>
        <v>0</v>
      </c>
      <c r="K18" s="25" t="s">
        <v>98</v>
      </c>
      <c r="L18" s="38">
        <v>43482</v>
      </c>
    </row>
    <row r="19" spans="1:12" x14ac:dyDescent="0.2">
      <c r="A19" s="28">
        <f>'TAX Interest Rates'!A22</f>
        <v>43496</v>
      </c>
      <c r="B19" s="47" t="s">
        <v>103</v>
      </c>
      <c r="C19" s="46">
        <f>+'Temp Rate Credit Base'!R9</f>
        <v>86264908</v>
      </c>
      <c r="D19" s="37">
        <v>0</v>
      </c>
      <c r="E19" s="29">
        <f>+'Temp Rate Credit Base'!R76</f>
        <v>163291.55999999997</v>
      </c>
      <c r="F19" s="29">
        <f t="shared" ref="F19:F24" si="3">ROUND(H18*VLOOKUP(A19,TAXINT19,2)/365*VLOOKUP(A19,TAXINT19,3),2)</f>
        <v>0</v>
      </c>
      <c r="G19" s="30"/>
      <c r="H19" s="32">
        <f t="shared" si="1"/>
        <v>-699908.41</v>
      </c>
      <c r="I19" s="2">
        <v>-699908.41</v>
      </c>
      <c r="J19" s="24">
        <f t="shared" si="2"/>
        <v>0</v>
      </c>
      <c r="K19" s="25" t="s">
        <v>98</v>
      </c>
      <c r="L19" s="38">
        <v>43531</v>
      </c>
    </row>
    <row r="20" spans="1:12" x14ac:dyDescent="0.2">
      <c r="A20" s="28">
        <f>'TAX Interest Rates'!A23</f>
        <v>43524</v>
      </c>
      <c r="B20" s="47" t="s">
        <v>103</v>
      </c>
      <c r="C20" s="46">
        <f>+'Temp Rate Credit Base'!R10</f>
        <v>82269503</v>
      </c>
      <c r="D20" s="37">
        <v>0</v>
      </c>
      <c r="E20" s="29">
        <f>+'Temp Rate Credit Base'!R77</f>
        <v>170664.5</v>
      </c>
      <c r="F20" s="29">
        <f t="shared" si="3"/>
        <v>0</v>
      </c>
      <c r="G20" s="30"/>
      <c r="H20" s="32">
        <f t="shared" si="1"/>
        <v>-529243.91</v>
      </c>
      <c r="I20" s="2">
        <v>-529243.91</v>
      </c>
      <c r="J20" s="24">
        <f t="shared" si="2"/>
        <v>0</v>
      </c>
      <c r="K20" s="25" t="s">
        <v>98</v>
      </c>
      <c r="L20" s="38">
        <v>43531</v>
      </c>
    </row>
    <row r="21" spans="1:12" x14ac:dyDescent="0.2">
      <c r="A21" s="28">
        <f>'TAX Interest Rates'!A24</f>
        <v>43555</v>
      </c>
      <c r="B21" s="47" t="s">
        <v>103</v>
      </c>
      <c r="C21" s="46">
        <f>+'Temp Rate Credit Base'!R11</f>
        <v>84736435</v>
      </c>
      <c r="D21" s="37"/>
      <c r="E21" s="29">
        <f>+'Temp Rate Credit Base'!R78</f>
        <v>184942.56</v>
      </c>
      <c r="F21" s="29">
        <f t="shared" si="3"/>
        <v>0</v>
      </c>
      <c r="G21" s="30"/>
      <c r="H21" s="32">
        <f t="shared" si="1"/>
        <v>-344301.35000000003</v>
      </c>
      <c r="I21" s="2">
        <v>-344301.35</v>
      </c>
      <c r="J21" s="24">
        <f t="shared" si="2"/>
        <v>0</v>
      </c>
      <c r="K21" s="25" t="s">
        <v>98</v>
      </c>
      <c r="L21" s="38">
        <v>43560</v>
      </c>
    </row>
    <row r="22" spans="1:12" x14ac:dyDescent="0.2">
      <c r="A22" s="28">
        <f>'TAX Interest Rates'!A25</f>
        <v>43585</v>
      </c>
      <c r="B22" s="47" t="s">
        <v>103</v>
      </c>
      <c r="C22" s="46">
        <f>+'Temp Rate Credit Base'!R12</f>
        <v>62230455</v>
      </c>
      <c r="D22" s="24"/>
      <c r="E22" s="29">
        <f>+'Temp Rate Credit Base'!R79</f>
        <v>109926.27999999997</v>
      </c>
      <c r="F22" s="29">
        <f t="shared" si="3"/>
        <v>0</v>
      </c>
      <c r="H22" s="32">
        <f t="shared" si="1"/>
        <v>-234375.07000000007</v>
      </c>
      <c r="I22" s="2">
        <v>-234375.07</v>
      </c>
      <c r="J22" s="24">
        <f t="shared" si="2"/>
        <v>0</v>
      </c>
      <c r="K22" s="25" t="s">
        <v>98</v>
      </c>
      <c r="L22" s="38">
        <v>43593</v>
      </c>
    </row>
    <row r="23" spans="1:12" x14ac:dyDescent="0.2">
      <c r="A23" s="28">
        <f>'TAX Interest Rates'!A26</f>
        <v>43616</v>
      </c>
      <c r="B23" s="47" t="s">
        <v>103</v>
      </c>
      <c r="C23" s="46">
        <f>+'Temp Rate Credit Base'!R13</f>
        <v>50477479</v>
      </c>
      <c r="D23" s="24"/>
      <c r="E23" s="29">
        <f>+'Temp Rate Credit Base'!R80</f>
        <v>71474.91</v>
      </c>
      <c r="F23" s="29">
        <f t="shared" si="3"/>
        <v>0</v>
      </c>
      <c r="H23" s="32">
        <f t="shared" si="1"/>
        <v>-162900.16000000006</v>
      </c>
      <c r="I23" s="2">
        <v>-162900.16</v>
      </c>
      <c r="J23" s="24">
        <f t="shared" si="2"/>
        <v>0</v>
      </c>
      <c r="K23" s="25" t="s">
        <v>98</v>
      </c>
      <c r="L23" s="38">
        <v>43623</v>
      </c>
    </row>
    <row r="24" spans="1:12" x14ac:dyDescent="0.2">
      <c r="A24" s="28">
        <f>'TAX Interest Rates'!A27</f>
        <v>43646</v>
      </c>
      <c r="B24" s="47" t="s">
        <v>103</v>
      </c>
      <c r="C24" s="46">
        <f>+'Temp Rate Credit Base'!R14</f>
        <v>51732018</v>
      </c>
      <c r="D24" s="24"/>
      <c r="E24" s="29">
        <f>+'Temp Rate Credit Base'!R81</f>
        <v>51216.090000000004</v>
      </c>
      <c r="F24" s="29">
        <f t="shared" si="3"/>
        <v>0</v>
      </c>
      <c r="H24" s="32">
        <f t="shared" si="1"/>
        <v>-111684.07000000007</v>
      </c>
      <c r="I24" s="2">
        <v>-111684.07</v>
      </c>
      <c r="J24" s="24">
        <f t="shared" si="2"/>
        <v>0</v>
      </c>
      <c r="K24" s="25" t="s">
        <v>98</v>
      </c>
      <c r="L24" s="38">
        <v>43654</v>
      </c>
    </row>
    <row r="25" spans="1:12" x14ac:dyDescent="0.2">
      <c r="A25" s="28">
        <f>'TAX Interest Rates'!A28</f>
        <v>43677</v>
      </c>
      <c r="B25" s="47" t="s">
        <v>103</v>
      </c>
      <c r="C25" s="46">
        <f>+'Temp Rate Credit Base'!R15</f>
        <v>67400695</v>
      </c>
      <c r="D25" s="24"/>
      <c r="E25" s="29">
        <f>+'Temp Rate Credit Base'!R82</f>
        <v>52749.029999999992</v>
      </c>
      <c r="F25" s="29">
        <f t="shared" ref="F25:F30" si="4">ROUND(H24*VLOOKUP(A25,TAXINT19,2)/365*VLOOKUP(A25,TAXINT19,3),2)</f>
        <v>0</v>
      </c>
      <c r="H25" s="32">
        <f t="shared" ref="H25:H30" si="5">SUM(D25:G25)+H24</f>
        <v>-58935.040000000074</v>
      </c>
      <c r="I25" s="2">
        <v>-58935.040000000001</v>
      </c>
      <c r="J25" s="24">
        <f t="shared" si="2"/>
        <v>7.2759576141834259E-11</v>
      </c>
      <c r="K25" s="25" t="s">
        <v>98</v>
      </c>
      <c r="L25" s="38">
        <v>43685</v>
      </c>
    </row>
    <row r="26" spans="1:12" x14ac:dyDescent="0.2">
      <c r="A26" s="28">
        <f>'TAX Interest Rates'!A29</f>
        <v>43708</v>
      </c>
      <c r="B26" s="47" t="s">
        <v>103</v>
      </c>
      <c r="C26" s="46">
        <f>+'Temp Rate Credit Base'!R16</f>
        <v>76438837</v>
      </c>
      <c r="D26" s="24"/>
      <c r="E26" s="29">
        <f>+'Temp Rate Credit Base'!R83</f>
        <v>53859.61</v>
      </c>
      <c r="F26" s="29">
        <f t="shared" si="4"/>
        <v>0</v>
      </c>
      <c r="H26" s="32">
        <f t="shared" si="5"/>
        <v>-5075.4300000000731</v>
      </c>
      <c r="I26" s="2">
        <v>-5075.43</v>
      </c>
      <c r="J26" s="24">
        <f t="shared" si="2"/>
        <v>7.2759576141834259E-11</v>
      </c>
      <c r="K26" s="25" t="s">
        <v>98</v>
      </c>
      <c r="L26" s="38">
        <v>43717</v>
      </c>
    </row>
    <row r="27" spans="1:12" x14ac:dyDescent="0.2">
      <c r="A27" s="28">
        <f>'TAX Interest Rates'!A30</f>
        <v>43738</v>
      </c>
      <c r="B27" s="47" t="s">
        <v>103</v>
      </c>
      <c r="C27" s="46">
        <f>+'Temp Rate Credit Base'!R17</f>
        <v>73218474</v>
      </c>
      <c r="D27" s="24"/>
      <c r="E27" s="29">
        <f>+'Temp Rate Credit Base'!R84</f>
        <v>51850.32</v>
      </c>
      <c r="F27" s="29">
        <f t="shared" si="4"/>
        <v>0</v>
      </c>
      <c r="H27" s="32">
        <f t="shared" si="5"/>
        <v>46774.889999999927</v>
      </c>
      <c r="I27" s="2">
        <v>46774.89</v>
      </c>
      <c r="J27" s="24">
        <f t="shared" si="2"/>
        <v>7.2759576141834259E-11</v>
      </c>
      <c r="K27" s="25" t="s">
        <v>98</v>
      </c>
      <c r="L27" s="38">
        <v>43745</v>
      </c>
    </row>
    <row r="28" spans="1:12" x14ac:dyDescent="0.2">
      <c r="A28" s="28">
        <f>'TAX Interest Rates'!A31</f>
        <v>43769</v>
      </c>
      <c r="B28" s="47" t="s">
        <v>103</v>
      </c>
      <c r="C28" s="46">
        <f>+'Temp Rate Credit Base'!R18</f>
        <v>62211815</v>
      </c>
      <c r="D28" s="24"/>
      <c r="E28" s="29">
        <f>+'Temp Rate Credit Base'!R85</f>
        <v>73308.290000000008</v>
      </c>
      <c r="F28" s="29">
        <f t="shared" si="4"/>
        <v>0</v>
      </c>
      <c r="H28" s="32">
        <f t="shared" si="5"/>
        <v>120083.17999999993</v>
      </c>
      <c r="I28" s="2">
        <v>120083.18</v>
      </c>
      <c r="J28" s="24">
        <f t="shared" si="2"/>
        <v>0</v>
      </c>
      <c r="K28" s="25" t="s">
        <v>98</v>
      </c>
      <c r="L28" s="38">
        <v>43776</v>
      </c>
    </row>
    <row r="29" spans="1:12" x14ac:dyDescent="0.2">
      <c r="A29" s="28">
        <f>'TAX Interest Rates'!A32</f>
        <v>43799</v>
      </c>
      <c r="B29" s="47" t="s">
        <v>104</v>
      </c>
      <c r="C29" s="46">
        <f>+'Temp Rate Credit Base'!R19+'Temp Rate Credit Base'!R20</f>
        <v>72608604</v>
      </c>
      <c r="D29" s="24"/>
      <c r="E29" s="29">
        <f>+'Temp Rate Credit Base'!R86+'Temp Rate Credit Base'!R87</f>
        <v>57456.31</v>
      </c>
      <c r="F29" s="29">
        <f t="shared" si="4"/>
        <v>0</v>
      </c>
      <c r="H29" s="32">
        <f t="shared" si="5"/>
        <v>177539.48999999993</v>
      </c>
      <c r="I29" s="2">
        <f>120083.18+57456.31</f>
        <v>177539.49</v>
      </c>
      <c r="J29" s="24">
        <f t="shared" si="2"/>
        <v>0</v>
      </c>
      <c r="K29" s="25" t="s">
        <v>98</v>
      </c>
      <c r="L29" s="38">
        <v>43808</v>
      </c>
    </row>
    <row r="30" spans="1:12" x14ac:dyDescent="0.2">
      <c r="A30" s="28">
        <f>'TAX Interest Rates'!A33</f>
        <v>43830</v>
      </c>
      <c r="B30" s="47" t="s">
        <v>103</v>
      </c>
      <c r="C30" s="46">
        <f>+'Temp Rate Credit Base'!R21</f>
        <v>95612394</v>
      </c>
      <c r="D30" s="24"/>
      <c r="E30" s="29">
        <f>+'Temp Rate Credit Base'!R88</f>
        <v>0</v>
      </c>
      <c r="F30" s="29">
        <f t="shared" si="4"/>
        <v>0</v>
      </c>
      <c r="H30" s="32">
        <f t="shared" si="5"/>
        <v>177539.48999999993</v>
      </c>
      <c r="J30" s="24">
        <f t="shared" si="2"/>
        <v>-177539.48999999993</v>
      </c>
      <c r="L30" s="38"/>
    </row>
    <row r="31" spans="1:12" x14ac:dyDescent="0.2">
      <c r="A31" s="28">
        <f>'TAX Interest Rates'!A34</f>
        <v>43861</v>
      </c>
      <c r="B31" s="47" t="s">
        <v>103</v>
      </c>
      <c r="C31" s="46">
        <f>+'Temp Rate Credit Base'!R22</f>
        <v>96190788</v>
      </c>
      <c r="D31" s="24"/>
      <c r="E31" s="29">
        <f>+'Temp Rate Credit Base'!R89</f>
        <v>0</v>
      </c>
      <c r="F31" s="29">
        <f t="shared" ref="F31:F42" si="6">ROUND(H30*VLOOKUP(A31,TAXINT19,2)/365*VLOOKUP(A31,TAXINT19,3),2)</f>
        <v>0</v>
      </c>
      <c r="H31" s="32">
        <f t="shared" ref="H31:H42" si="7">SUM(D31:G31)+H30</f>
        <v>177539.48999999993</v>
      </c>
      <c r="J31" s="24">
        <f t="shared" ref="J31:J42" si="8">I31-H31</f>
        <v>-177539.48999999993</v>
      </c>
      <c r="L31" s="38"/>
    </row>
    <row r="32" spans="1:12" x14ac:dyDescent="0.2">
      <c r="A32" s="28">
        <f>'TAX Interest Rates'!A35</f>
        <v>43890</v>
      </c>
      <c r="B32" s="47" t="s">
        <v>103</v>
      </c>
      <c r="C32" s="46">
        <f>+'Temp Rate Credit Base'!R35</f>
        <v>0</v>
      </c>
      <c r="D32" s="24"/>
      <c r="E32" s="29">
        <f>+'Temp Rate Credit Base'!R90</f>
        <v>0</v>
      </c>
      <c r="F32" s="29">
        <f t="shared" si="6"/>
        <v>0</v>
      </c>
      <c r="H32" s="32">
        <f t="shared" si="7"/>
        <v>177539.48999999993</v>
      </c>
      <c r="J32" s="24">
        <f t="shared" si="8"/>
        <v>-177539.48999999993</v>
      </c>
      <c r="L32" s="38"/>
    </row>
    <row r="33" spans="1:12" x14ac:dyDescent="0.2">
      <c r="A33" s="28">
        <f>'TAX Interest Rates'!A36</f>
        <v>43921</v>
      </c>
      <c r="B33" s="47" t="s">
        <v>103</v>
      </c>
      <c r="C33" s="46">
        <f>+'Temp Rate Credit Base'!R36</f>
        <v>0</v>
      </c>
      <c r="D33" s="24"/>
      <c r="E33" s="29">
        <f>+'Temp Rate Credit Base'!R91</f>
        <v>0</v>
      </c>
      <c r="F33" s="29">
        <f t="shared" si="6"/>
        <v>0</v>
      </c>
      <c r="H33" s="32">
        <f t="shared" si="7"/>
        <v>177539.48999999993</v>
      </c>
      <c r="J33" s="24">
        <f t="shared" si="8"/>
        <v>-177539.48999999993</v>
      </c>
      <c r="L33" s="38"/>
    </row>
    <row r="34" spans="1:12" x14ac:dyDescent="0.2">
      <c r="A34" s="28">
        <f>'TAX Interest Rates'!A37</f>
        <v>43951</v>
      </c>
      <c r="B34" s="47" t="s">
        <v>103</v>
      </c>
      <c r="C34" s="46">
        <f>+'Temp Rate Credit Base'!R37</f>
        <v>0</v>
      </c>
      <c r="D34" s="24"/>
      <c r="E34" s="29">
        <f>+'Temp Rate Credit Base'!R92</f>
        <v>0</v>
      </c>
      <c r="F34" s="29">
        <f t="shared" si="6"/>
        <v>0</v>
      </c>
      <c r="H34" s="32">
        <f t="shared" si="7"/>
        <v>177539.48999999993</v>
      </c>
      <c r="J34" s="24">
        <f t="shared" si="8"/>
        <v>-177539.48999999993</v>
      </c>
      <c r="L34" s="38"/>
    </row>
    <row r="35" spans="1:12" x14ac:dyDescent="0.2">
      <c r="A35" s="28">
        <f>'TAX Interest Rates'!A38</f>
        <v>43982</v>
      </c>
      <c r="B35" s="47" t="s">
        <v>103</v>
      </c>
      <c r="C35" s="46">
        <f>+'Temp Rate Credit Base'!R38</f>
        <v>0</v>
      </c>
      <c r="D35" s="24"/>
      <c r="E35" s="29">
        <f>+'Temp Rate Credit Base'!R93</f>
        <v>0</v>
      </c>
      <c r="F35" s="29">
        <f t="shared" si="6"/>
        <v>0</v>
      </c>
      <c r="H35" s="32">
        <f t="shared" si="7"/>
        <v>177539.48999999993</v>
      </c>
      <c r="J35" s="24">
        <f t="shared" si="8"/>
        <v>-177539.48999999993</v>
      </c>
      <c r="L35" s="38"/>
    </row>
    <row r="36" spans="1:12" x14ac:dyDescent="0.2">
      <c r="A36" s="28">
        <f>'TAX Interest Rates'!A39</f>
        <v>44012</v>
      </c>
      <c r="B36" s="47" t="s">
        <v>103</v>
      </c>
      <c r="C36" s="46">
        <f>+'Temp Rate Credit Base'!R39</f>
        <v>0</v>
      </c>
      <c r="D36" s="24"/>
      <c r="E36" s="29">
        <f>+'Temp Rate Credit Base'!R94</f>
        <v>0</v>
      </c>
      <c r="F36" s="29">
        <f t="shared" si="6"/>
        <v>0</v>
      </c>
      <c r="H36" s="32">
        <f t="shared" si="7"/>
        <v>177539.48999999993</v>
      </c>
      <c r="J36" s="24">
        <f t="shared" si="8"/>
        <v>-177539.48999999993</v>
      </c>
      <c r="L36" s="38"/>
    </row>
    <row r="37" spans="1:12" x14ac:dyDescent="0.2">
      <c r="A37" s="28">
        <f>'TAX Interest Rates'!A40</f>
        <v>44043</v>
      </c>
      <c r="B37" s="47" t="s">
        <v>103</v>
      </c>
      <c r="C37" s="46">
        <f>+'Temp Rate Credit Base'!R40</f>
        <v>0</v>
      </c>
      <c r="D37" s="24"/>
      <c r="E37" s="29">
        <f>+'Temp Rate Credit Base'!R95</f>
        <v>0</v>
      </c>
      <c r="F37" s="29">
        <f t="shared" si="6"/>
        <v>0</v>
      </c>
      <c r="H37" s="32">
        <f t="shared" si="7"/>
        <v>177539.48999999993</v>
      </c>
      <c r="J37" s="24">
        <f t="shared" si="8"/>
        <v>-177539.48999999993</v>
      </c>
      <c r="L37" s="38"/>
    </row>
    <row r="38" spans="1:12" x14ac:dyDescent="0.2">
      <c r="A38" s="28">
        <f>'TAX Interest Rates'!A41</f>
        <v>44074</v>
      </c>
      <c r="B38" s="47" t="s">
        <v>103</v>
      </c>
      <c r="C38" s="46">
        <f>+'Temp Rate Credit Base'!R41</f>
        <v>0</v>
      </c>
      <c r="D38" s="24"/>
      <c r="E38" s="29">
        <f>+'Temp Rate Credit Base'!R96</f>
        <v>0</v>
      </c>
      <c r="F38" s="29">
        <f t="shared" si="6"/>
        <v>0</v>
      </c>
      <c r="H38" s="32">
        <f t="shared" si="7"/>
        <v>177539.48999999993</v>
      </c>
      <c r="J38" s="24">
        <f t="shared" si="8"/>
        <v>-177539.48999999993</v>
      </c>
      <c r="L38" s="38"/>
    </row>
    <row r="39" spans="1:12" x14ac:dyDescent="0.2">
      <c r="A39" s="28">
        <f>'TAX Interest Rates'!A42</f>
        <v>44104</v>
      </c>
      <c r="B39" s="47" t="s">
        <v>103</v>
      </c>
      <c r="C39" s="46">
        <f>+'Temp Rate Credit Base'!R42</f>
        <v>0</v>
      </c>
      <c r="D39" s="24"/>
      <c r="E39" s="29">
        <f>+'Temp Rate Credit Base'!R97</f>
        <v>0</v>
      </c>
      <c r="F39" s="29">
        <f t="shared" si="6"/>
        <v>0</v>
      </c>
      <c r="H39" s="32">
        <f t="shared" si="7"/>
        <v>177539.48999999993</v>
      </c>
      <c r="J39" s="24">
        <f t="shared" si="8"/>
        <v>-177539.48999999993</v>
      </c>
      <c r="L39" s="38"/>
    </row>
    <row r="40" spans="1:12" x14ac:dyDescent="0.2">
      <c r="A40" s="28">
        <f>'TAX Interest Rates'!A43</f>
        <v>44135</v>
      </c>
      <c r="B40" s="47" t="s">
        <v>103</v>
      </c>
      <c r="C40" s="46">
        <f>+'Temp Rate Credit Base'!R43</f>
        <v>0</v>
      </c>
      <c r="D40" s="24"/>
      <c r="E40" s="29">
        <f>+'Temp Rate Credit Base'!R98</f>
        <v>0</v>
      </c>
      <c r="F40" s="29">
        <f t="shared" si="6"/>
        <v>0</v>
      </c>
      <c r="H40" s="32">
        <f t="shared" si="7"/>
        <v>177539.48999999993</v>
      </c>
      <c r="J40" s="24">
        <f t="shared" si="8"/>
        <v>-177539.48999999993</v>
      </c>
      <c r="L40" s="38"/>
    </row>
    <row r="41" spans="1:12" x14ac:dyDescent="0.2">
      <c r="A41" s="28">
        <f>'TAX Interest Rates'!A44</f>
        <v>44165</v>
      </c>
      <c r="B41" s="47" t="s">
        <v>103</v>
      </c>
      <c r="C41" s="46">
        <f>+'Temp Rate Credit Base'!R44</f>
        <v>0</v>
      </c>
      <c r="D41" s="24"/>
      <c r="E41" s="29">
        <f>+'Temp Rate Credit Base'!R99</f>
        <v>0</v>
      </c>
      <c r="F41" s="29">
        <f t="shared" si="6"/>
        <v>0</v>
      </c>
      <c r="H41" s="32">
        <f t="shared" si="7"/>
        <v>177539.48999999993</v>
      </c>
      <c r="J41" s="24">
        <f t="shared" si="8"/>
        <v>-177539.48999999993</v>
      </c>
      <c r="L41" s="38"/>
    </row>
    <row r="42" spans="1:12" x14ac:dyDescent="0.2">
      <c r="A42" s="28">
        <f>'TAX Interest Rates'!A45</f>
        <v>44196</v>
      </c>
      <c r="B42" s="47" t="s">
        <v>103</v>
      </c>
      <c r="C42" s="46">
        <f>+'Temp Rate Credit Base'!R45</f>
        <v>0</v>
      </c>
      <c r="D42" s="24"/>
      <c r="E42" s="29">
        <f>+'Temp Rate Credit Base'!R100</f>
        <v>0</v>
      </c>
      <c r="F42" s="29">
        <f t="shared" si="6"/>
        <v>0</v>
      </c>
      <c r="H42" s="32">
        <f t="shared" si="7"/>
        <v>177539.48999999993</v>
      </c>
      <c r="J42" s="24">
        <f t="shared" si="8"/>
        <v>-177539.48999999993</v>
      </c>
      <c r="L42" s="38"/>
    </row>
    <row r="43" spans="1:12" x14ac:dyDescent="0.2">
      <c r="L43" s="38"/>
    </row>
    <row r="44" spans="1:12" x14ac:dyDescent="0.2">
      <c r="L44" s="38"/>
    </row>
  </sheetData>
  <mergeCells count="17"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H7"/>
    <mergeCell ref="D9:F9"/>
    <mergeCell ref="A12:F12"/>
    <mergeCell ref="A13:F13"/>
  </mergeCells>
  <pageMargins left="0.7" right="0.7" top="0.75" bottom="0.75" header="0.3" footer="0.3"/>
  <pageSetup scale="94" fitToHeight="0" orientation="portrait" r:id="rId1"/>
  <headerFooter>
    <oddFooter>&amp;LWA Tax Amort&amp;C&amp;A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AD100"/>
  <sheetViews>
    <sheetView topLeftCell="A25" zoomScaleNormal="100" workbookViewId="0">
      <selection activeCell="B29" sqref="B29"/>
    </sheetView>
  </sheetViews>
  <sheetFormatPr defaultColWidth="8.88671875" defaultRowHeight="15" x14ac:dyDescent="0.25"/>
  <cols>
    <col min="1" max="1" width="8.88671875" style="40"/>
    <col min="2" max="2" width="8.77734375" style="40" customWidth="1"/>
    <col min="3" max="6" width="8" style="40" customWidth="1"/>
    <col min="7" max="7" width="9" style="40" bestFit="1" customWidth="1"/>
    <col min="8" max="8" width="8.77734375" style="40" bestFit="1" customWidth="1"/>
    <col min="9" max="11" width="8" style="40" customWidth="1"/>
    <col min="12" max="12" width="9.6640625" style="40" customWidth="1"/>
    <col min="13" max="14" width="9.5546875" style="40" bestFit="1" customWidth="1"/>
    <col min="15" max="15" width="8.77734375" style="40" bestFit="1" customWidth="1"/>
    <col min="16" max="16" width="9.5546875" style="40" customWidth="1"/>
    <col min="17" max="17" width="1.77734375" style="40" customWidth="1"/>
    <col min="18" max="18" width="9.5546875" style="40" bestFit="1" customWidth="1"/>
    <col min="19" max="19" width="7.88671875" style="40" customWidth="1"/>
    <col min="20" max="16384" width="8.88671875" style="40"/>
  </cols>
  <sheetData>
    <row r="2" spans="1:18" ht="15.75" customHeight="1" x14ac:dyDescent="0.25">
      <c r="B2" s="64">
        <v>4800</v>
      </c>
      <c r="C2" s="179">
        <v>4809</v>
      </c>
      <c r="D2" s="180"/>
      <c r="E2" s="217"/>
      <c r="F2" s="179">
        <v>4810</v>
      </c>
      <c r="G2" s="180"/>
      <c r="H2" s="217"/>
      <c r="I2" s="179">
        <v>4811</v>
      </c>
      <c r="J2" s="217"/>
      <c r="K2" s="63">
        <v>4813</v>
      </c>
      <c r="L2" s="63">
        <v>4861</v>
      </c>
      <c r="M2" s="179">
        <v>4863</v>
      </c>
      <c r="N2" s="180"/>
      <c r="O2" s="180"/>
      <c r="P2" s="217"/>
    </row>
    <row r="3" spans="1:18" x14ac:dyDescent="0.25">
      <c r="B3" s="59">
        <v>503</v>
      </c>
      <c r="C3" s="42" t="s">
        <v>38</v>
      </c>
      <c r="D3" s="42">
        <v>505</v>
      </c>
      <c r="E3" s="57">
        <v>511</v>
      </c>
      <c r="F3" s="42" t="s">
        <v>39</v>
      </c>
      <c r="G3" s="42">
        <v>504</v>
      </c>
      <c r="H3" s="57" t="s">
        <v>41</v>
      </c>
      <c r="I3" s="42" t="s">
        <v>38</v>
      </c>
      <c r="J3" s="57">
        <v>570</v>
      </c>
      <c r="K3" s="59">
        <v>570</v>
      </c>
      <c r="L3" s="61">
        <v>6631</v>
      </c>
      <c r="M3" s="51">
        <v>6631</v>
      </c>
      <c r="N3" s="51">
        <v>6633</v>
      </c>
      <c r="O3" s="51">
        <v>6635</v>
      </c>
      <c r="P3" s="62">
        <v>916</v>
      </c>
      <c r="R3" s="45" t="s">
        <v>51</v>
      </c>
    </row>
    <row r="4" spans="1:18" hidden="1" x14ac:dyDescent="0.25">
      <c r="A4" s="41">
        <v>43343</v>
      </c>
      <c r="B4" s="60">
        <f>+'Therm Sales Master'!B123</f>
        <v>996895</v>
      </c>
      <c r="C4" s="43">
        <f>+'Therm Sales Master'!D123</f>
        <v>0</v>
      </c>
      <c r="D4" s="43">
        <f>+'Therm Sales Master'!E123</f>
        <v>160070</v>
      </c>
      <c r="E4" s="58">
        <f>+'Therm Sales Master'!F123</f>
        <v>88492</v>
      </c>
      <c r="F4" s="43">
        <f>+'Therm Sales Master'!G123</f>
        <v>158</v>
      </c>
      <c r="G4" s="43">
        <f>+'Therm Sales Master'!H123</f>
        <v>986030</v>
      </c>
      <c r="H4" s="58">
        <f>+'Therm Sales Master'!J123</f>
        <v>137321</v>
      </c>
      <c r="I4" s="43">
        <f>+'Therm Sales Master'!K123</f>
        <v>359</v>
      </c>
      <c r="J4" s="58">
        <f>+'Therm Sales Master'!L123</f>
        <v>0</v>
      </c>
      <c r="K4" s="60">
        <f>+'Therm Sales Master'!M123</f>
        <v>93391</v>
      </c>
      <c r="L4" s="60">
        <f>+'Therm Sales Master'!N123</f>
        <v>26924983</v>
      </c>
      <c r="M4" s="43">
        <f>+'Therm Sales Master'!O123</f>
        <v>0</v>
      </c>
      <c r="N4" s="43">
        <f>+'Therm Sales Master'!P123</f>
        <v>12762544</v>
      </c>
      <c r="O4" s="43">
        <f>+'Therm Sales Master'!Q123</f>
        <v>5293486</v>
      </c>
      <c r="P4" s="58">
        <f>+'Therm Sales Master'!R123</f>
        <v>14392902</v>
      </c>
      <c r="R4" s="48">
        <f t="shared" ref="R4:R14" si="0">SUM(B4:Q4)</f>
        <v>61836631</v>
      </c>
    </row>
    <row r="5" spans="1:18" hidden="1" x14ac:dyDescent="0.25">
      <c r="A5" s="41">
        <v>43373</v>
      </c>
      <c r="B5" s="60">
        <f>+'Therm Sales Master'!B124</f>
        <v>2809188</v>
      </c>
      <c r="C5" s="43">
        <f>+'Therm Sales Master'!D124</f>
        <v>-359</v>
      </c>
      <c r="D5" s="43">
        <f>+'Therm Sales Master'!E124</f>
        <v>648016</v>
      </c>
      <c r="E5" s="58">
        <f>+'Therm Sales Master'!F124</f>
        <v>241009</v>
      </c>
      <c r="F5" s="43">
        <f>+'Therm Sales Master'!G124</f>
        <v>501</v>
      </c>
      <c r="G5" s="43">
        <f>+'Therm Sales Master'!H124</f>
        <v>2784183</v>
      </c>
      <c r="H5" s="58">
        <f>+'Therm Sales Master'!J124</f>
        <v>384208</v>
      </c>
      <c r="I5" s="43">
        <f>+'Therm Sales Master'!K124</f>
        <v>547</v>
      </c>
      <c r="J5" s="58">
        <f>+'Therm Sales Master'!L124</f>
        <v>0</v>
      </c>
      <c r="K5" s="60">
        <f>+'Therm Sales Master'!M124</f>
        <v>118645</v>
      </c>
      <c r="L5" s="60">
        <f>+'Therm Sales Master'!N124</f>
        <v>30461110</v>
      </c>
      <c r="M5" s="43">
        <f>+'Therm Sales Master'!O124</f>
        <v>15312916</v>
      </c>
      <c r="N5" s="43">
        <f>+'Therm Sales Master'!P124</f>
        <v>14381027</v>
      </c>
      <c r="O5" s="43">
        <f>+'Therm Sales Master'!Q124</f>
        <v>2080893</v>
      </c>
      <c r="P5" s="58">
        <f>+'Therm Sales Master'!R124</f>
        <v>0</v>
      </c>
      <c r="R5" s="43">
        <f t="shared" si="0"/>
        <v>69221884</v>
      </c>
    </row>
    <row r="6" spans="1:18" hidden="1" x14ac:dyDescent="0.25">
      <c r="A6" s="41">
        <v>43404</v>
      </c>
      <c r="B6" s="60">
        <f>+'Therm Sales Master'!B125</f>
        <v>5307116</v>
      </c>
      <c r="C6" s="43">
        <f>+'Therm Sales Master'!D125</f>
        <v>0</v>
      </c>
      <c r="D6" s="43">
        <f>+'Therm Sales Master'!E125</f>
        <v>1031586</v>
      </c>
      <c r="E6" s="58">
        <f>+'Therm Sales Master'!F125</f>
        <v>447130</v>
      </c>
      <c r="F6" s="43">
        <f>+'Therm Sales Master'!G125</f>
        <v>2079</v>
      </c>
      <c r="G6" s="43">
        <f>+'Therm Sales Master'!H125</f>
        <v>4259766</v>
      </c>
      <c r="H6" s="58">
        <f>+'Therm Sales Master'!J125</f>
        <v>674628</v>
      </c>
      <c r="I6" s="43">
        <f>+'Therm Sales Master'!K125</f>
        <v>21</v>
      </c>
      <c r="J6" s="58">
        <f>+'Therm Sales Master'!L125</f>
        <v>0</v>
      </c>
      <c r="K6" s="60">
        <f>+'Therm Sales Master'!M125</f>
        <v>197742</v>
      </c>
      <c r="L6" s="60">
        <f>+'Therm Sales Master'!N125</f>
        <v>32448578</v>
      </c>
      <c r="M6" s="43">
        <f>+'Therm Sales Master'!O125</f>
        <v>7714309</v>
      </c>
      <c r="N6" s="43">
        <f>+'Therm Sales Master'!P125</f>
        <v>4034082</v>
      </c>
      <c r="O6" s="43">
        <f>+'Therm Sales Master'!Q125</f>
        <v>2001543</v>
      </c>
      <c r="P6" s="58">
        <f>+'Therm Sales Master'!R125</f>
        <v>0</v>
      </c>
      <c r="R6" s="43">
        <f t="shared" si="0"/>
        <v>58118580</v>
      </c>
    </row>
    <row r="7" spans="1:18" hidden="1" x14ac:dyDescent="0.25">
      <c r="A7" s="41">
        <v>43434</v>
      </c>
      <c r="B7" s="60">
        <f>+'Therm Sales Master'!B126+'Therm Sales Master'!B127</f>
        <v>8960930</v>
      </c>
      <c r="C7" s="43">
        <f>+'Therm Sales Master'!D126+'Therm Sales Master'!D127</f>
        <v>63</v>
      </c>
      <c r="D7" s="43">
        <f>+'Therm Sales Master'!E126+'Therm Sales Master'!E127</f>
        <v>989360</v>
      </c>
      <c r="E7" s="58">
        <f>+'Therm Sales Master'!F126+'Therm Sales Master'!F127</f>
        <v>185027</v>
      </c>
      <c r="F7" s="43">
        <f>+'Therm Sales Master'!G126+'Therm Sales Master'!G127</f>
        <v>3464</v>
      </c>
      <c r="G7" s="43">
        <f>+'Therm Sales Master'!H126+'Therm Sales Master'!H127</f>
        <v>6153881</v>
      </c>
      <c r="H7" s="58">
        <f>+'Therm Sales Master'!J126+'Therm Sales Master'!J127</f>
        <v>791745</v>
      </c>
      <c r="I7" s="43">
        <f>+'Therm Sales Master'!K126+'Therm Sales Master'!K127</f>
        <v>0</v>
      </c>
      <c r="J7" s="58">
        <f>+'Therm Sales Master'!L126+'Therm Sales Master'!L127</f>
        <v>0</v>
      </c>
      <c r="K7" s="60">
        <f>+'Therm Sales Master'!M126+'Therm Sales Master'!M127</f>
        <v>217688</v>
      </c>
      <c r="L7" s="60">
        <f>+'Therm Sales Master'!N126+'Therm Sales Master'!N127</f>
        <v>25948738</v>
      </c>
      <c r="M7" s="43">
        <f>+'Therm Sales Master'!O126+'Therm Sales Master'!O127</f>
        <v>76766</v>
      </c>
      <c r="N7" s="43">
        <f>+'Therm Sales Master'!P126+'Therm Sales Master'!P127</f>
        <v>28205</v>
      </c>
      <c r="O7" s="43">
        <f>+'Therm Sales Master'!Q126+'Therm Sales Master'!Q127</f>
        <v>33898</v>
      </c>
      <c r="P7" s="58">
        <f>+'Therm Sales Master'!R126+'Therm Sales Master'!R127</f>
        <v>0</v>
      </c>
      <c r="R7" s="43">
        <f t="shared" si="0"/>
        <v>43389765</v>
      </c>
    </row>
    <row r="8" spans="1:18" hidden="1" x14ac:dyDescent="0.25">
      <c r="A8" s="41">
        <v>43465</v>
      </c>
      <c r="B8" s="60">
        <f>+'Therm Sales Master'!B128</f>
        <v>17031202</v>
      </c>
      <c r="C8" s="43">
        <f>+'Therm Sales Master'!D128</f>
        <v>-63</v>
      </c>
      <c r="D8" s="43">
        <f>+'Therm Sales Master'!E128</f>
        <v>1475293</v>
      </c>
      <c r="E8" s="58">
        <f>+'Therm Sales Master'!F128</f>
        <v>305292</v>
      </c>
      <c r="F8" s="43">
        <f>+'Therm Sales Master'!G128</f>
        <v>4915</v>
      </c>
      <c r="G8" s="43">
        <f>+'Therm Sales Master'!H128</f>
        <v>11460190</v>
      </c>
      <c r="H8" s="58">
        <f>+'Therm Sales Master'!J128</f>
        <v>1383646</v>
      </c>
      <c r="I8" s="43">
        <f>+'Therm Sales Master'!K128</f>
        <v>142</v>
      </c>
      <c r="J8" s="58">
        <f>+'Therm Sales Master'!L128</f>
        <v>0</v>
      </c>
      <c r="K8" s="60">
        <f>+'Therm Sales Master'!M128</f>
        <v>260482</v>
      </c>
      <c r="L8" s="60">
        <f>+'Therm Sales Master'!N128</f>
        <v>29346851</v>
      </c>
      <c r="M8" s="43">
        <f>+'Therm Sales Master'!O128</f>
        <v>14382579</v>
      </c>
      <c r="N8" s="43">
        <f>+'Therm Sales Master'!P128</f>
        <v>4450625</v>
      </c>
      <c r="O8" s="43">
        <f>+'Therm Sales Master'!Q128</f>
        <v>57483</v>
      </c>
      <c r="P8" s="58">
        <f>+'Therm Sales Master'!R128</f>
        <v>0</v>
      </c>
      <c r="R8" s="43">
        <f t="shared" si="0"/>
        <v>80158637</v>
      </c>
    </row>
    <row r="9" spans="1:18" x14ac:dyDescent="0.25">
      <c r="A9" s="41">
        <v>43496</v>
      </c>
      <c r="B9" s="60">
        <f>+'Therm Sales Master'!B129</f>
        <v>19425579</v>
      </c>
      <c r="C9" s="43">
        <f>+'Therm Sales Master'!D129</f>
        <v>0</v>
      </c>
      <c r="D9" s="43">
        <f>+'Therm Sales Master'!E129</f>
        <v>1433715</v>
      </c>
      <c r="E9" s="58">
        <f>+'Therm Sales Master'!F129</f>
        <v>330955</v>
      </c>
      <c r="F9" s="43">
        <f>+'Therm Sales Master'!G129</f>
        <v>4626</v>
      </c>
      <c r="G9" s="43">
        <f>+'Therm Sales Master'!H129</f>
        <v>13117967</v>
      </c>
      <c r="H9" s="58">
        <f>+'Therm Sales Master'!J129</f>
        <v>1477641</v>
      </c>
      <c r="I9" s="43">
        <f>+'Therm Sales Master'!K129</f>
        <v>7</v>
      </c>
      <c r="J9" s="58">
        <f>+'Therm Sales Master'!L129</f>
        <v>0</v>
      </c>
      <c r="K9" s="60">
        <f>+'Therm Sales Master'!M129</f>
        <v>258811</v>
      </c>
      <c r="L9" s="60">
        <f>+'Therm Sales Master'!N129</f>
        <v>31076934</v>
      </c>
      <c r="M9" s="43">
        <f>+'Therm Sales Master'!O129</f>
        <v>14944499</v>
      </c>
      <c r="N9" s="43">
        <f>+'Therm Sales Master'!P129</f>
        <v>4088088</v>
      </c>
      <c r="O9" s="43">
        <f>+'Therm Sales Master'!Q129</f>
        <v>106086</v>
      </c>
      <c r="P9" s="58">
        <f>+'Therm Sales Master'!R129</f>
        <v>0</v>
      </c>
      <c r="R9" s="43">
        <f t="shared" si="0"/>
        <v>86264908</v>
      </c>
    </row>
    <row r="10" spans="1:18" hidden="1" x14ac:dyDescent="0.25">
      <c r="A10" s="41">
        <v>43524</v>
      </c>
      <c r="B10" s="60">
        <f>+'Therm Sales Master'!B130</f>
        <v>20826493</v>
      </c>
      <c r="C10" s="43">
        <f>+'Therm Sales Master'!D130</f>
        <v>0</v>
      </c>
      <c r="D10" s="43">
        <f>+'Therm Sales Master'!E130</f>
        <v>1616149</v>
      </c>
      <c r="E10" s="58">
        <f>+'Therm Sales Master'!F130</f>
        <v>325966</v>
      </c>
      <c r="F10" s="43">
        <f>+'Therm Sales Master'!G130</f>
        <v>5486</v>
      </c>
      <c r="G10" s="43">
        <f>+'Therm Sales Master'!H130</f>
        <v>13988227</v>
      </c>
      <c r="H10" s="58">
        <f>+'Therm Sales Master'!J130</f>
        <v>1527495</v>
      </c>
      <c r="I10" s="43">
        <f>+'Therm Sales Master'!K130</f>
        <v>0</v>
      </c>
      <c r="J10" s="58">
        <f>+'Therm Sales Master'!L130</f>
        <v>0</v>
      </c>
      <c r="K10" s="60">
        <f>+'Therm Sales Master'!M130</f>
        <v>270184</v>
      </c>
      <c r="L10" s="60">
        <f>+'Therm Sales Master'!N130</f>
        <v>30225230</v>
      </c>
      <c r="M10" s="43">
        <f>+'Therm Sales Master'!O130</f>
        <v>7408861</v>
      </c>
      <c r="N10" s="43">
        <f>+'Therm Sales Master'!P130</f>
        <v>5846716</v>
      </c>
      <c r="O10" s="43">
        <f>+'Therm Sales Master'!Q130</f>
        <v>228696</v>
      </c>
      <c r="P10" s="58">
        <f>+'Therm Sales Master'!R130</f>
        <v>0</v>
      </c>
      <c r="R10" s="43">
        <f t="shared" si="0"/>
        <v>82269503</v>
      </c>
    </row>
    <row r="11" spans="1:18" hidden="1" x14ac:dyDescent="0.25">
      <c r="A11" s="41">
        <v>43555</v>
      </c>
      <c r="B11" s="60">
        <f>+'Therm Sales Master'!B131</f>
        <v>22406676</v>
      </c>
      <c r="C11" s="43">
        <f>+'Therm Sales Master'!D131</f>
        <v>0</v>
      </c>
      <c r="D11" s="43">
        <f>+'Therm Sales Master'!E131</f>
        <v>1794729</v>
      </c>
      <c r="E11" s="58">
        <f>+'Therm Sales Master'!F131</f>
        <v>344448</v>
      </c>
      <c r="F11" s="43">
        <f>+'Therm Sales Master'!G131</f>
        <v>3527</v>
      </c>
      <c r="G11" s="43">
        <f>+'Therm Sales Master'!H131</f>
        <v>15941825</v>
      </c>
      <c r="H11" s="58">
        <f>+'Therm Sales Master'!J131</f>
        <v>1650107</v>
      </c>
      <c r="I11" s="43">
        <f>+'Therm Sales Master'!K131</f>
        <v>0</v>
      </c>
      <c r="J11" s="58">
        <f>+'Therm Sales Master'!L131</f>
        <v>0</v>
      </c>
      <c r="K11" s="60">
        <f>+'Therm Sales Master'!M131</f>
        <v>248145</v>
      </c>
      <c r="L11" s="60">
        <f>+'Therm Sales Master'!N131</f>
        <v>29441177</v>
      </c>
      <c r="M11" s="43">
        <f>+'Therm Sales Master'!O131</f>
        <v>9817659</v>
      </c>
      <c r="N11" s="43">
        <f>+'Therm Sales Master'!P131</f>
        <v>3088142</v>
      </c>
      <c r="O11" s="43">
        <f>+'Therm Sales Master'!Q131</f>
        <v>0</v>
      </c>
      <c r="P11" s="58">
        <f>+'Therm Sales Master'!R131</f>
        <v>0</v>
      </c>
      <c r="R11" s="43">
        <f t="shared" si="0"/>
        <v>84736435</v>
      </c>
    </row>
    <row r="12" spans="1:18" hidden="1" x14ac:dyDescent="0.25">
      <c r="A12" s="41">
        <v>43585</v>
      </c>
      <c r="B12" s="60">
        <f>+'Therm Sales Master'!B132</f>
        <v>12262358</v>
      </c>
      <c r="C12" s="43">
        <f>+'Therm Sales Master'!D132</f>
        <v>0</v>
      </c>
      <c r="D12" s="43">
        <f>+'Therm Sales Master'!E132</f>
        <v>1331310</v>
      </c>
      <c r="E12" s="58">
        <f>+'Therm Sales Master'!F132</f>
        <v>339049</v>
      </c>
      <c r="F12" s="43">
        <f>+'Therm Sales Master'!G132</f>
        <v>2258</v>
      </c>
      <c r="G12" s="43">
        <f>+'Therm Sales Master'!H132</f>
        <v>9096547</v>
      </c>
      <c r="H12" s="58">
        <f>+'Therm Sales Master'!J132</f>
        <v>1028839</v>
      </c>
      <c r="I12" s="43">
        <f>+'Therm Sales Master'!K132</f>
        <v>128</v>
      </c>
      <c r="J12" s="58">
        <f>+'Therm Sales Master'!L132</f>
        <v>0</v>
      </c>
      <c r="K12" s="60">
        <f>+'Therm Sales Master'!M132</f>
        <v>191467</v>
      </c>
      <c r="L12" s="60">
        <f>+'Therm Sales Master'!N132</f>
        <v>27808927</v>
      </c>
      <c r="M12" s="43">
        <f>+'Therm Sales Master'!O132</f>
        <v>7594206</v>
      </c>
      <c r="N12" s="43">
        <f>+'Therm Sales Master'!P132</f>
        <v>2551096</v>
      </c>
      <c r="O12" s="43">
        <f>+'Therm Sales Master'!Q132</f>
        <v>24270</v>
      </c>
      <c r="P12" s="58">
        <f>+'Therm Sales Master'!R132</f>
        <v>0</v>
      </c>
      <c r="R12" s="43">
        <f t="shared" si="0"/>
        <v>62230455</v>
      </c>
    </row>
    <row r="13" spans="1:18" hidden="1" x14ac:dyDescent="0.25">
      <c r="A13" s="41">
        <v>43616</v>
      </c>
      <c r="B13" s="60">
        <f>+'Therm Sales Master'!B133</f>
        <v>7409569</v>
      </c>
      <c r="C13" s="43">
        <f>+'Therm Sales Master'!D133</f>
        <v>0</v>
      </c>
      <c r="D13" s="43">
        <f>+'Therm Sales Master'!E133</f>
        <v>789879</v>
      </c>
      <c r="E13" s="58">
        <f>+'Therm Sales Master'!F133</f>
        <v>267660</v>
      </c>
      <c r="F13" s="43">
        <f>+'Therm Sales Master'!G133</f>
        <v>645</v>
      </c>
      <c r="G13" s="43">
        <f>+'Therm Sales Master'!H133</f>
        <v>5370530</v>
      </c>
      <c r="H13" s="58">
        <f>+'Therm Sales Master'!J133</f>
        <v>692205</v>
      </c>
      <c r="I13" s="43">
        <f>+'Therm Sales Master'!K133</f>
        <v>151</v>
      </c>
      <c r="J13" s="58">
        <f>+'Therm Sales Master'!L133</f>
        <v>0</v>
      </c>
      <c r="K13" s="60">
        <f>+'Therm Sales Master'!M133</f>
        <v>142256</v>
      </c>
      <c r="L13" s="60">
        <f>+'Therm Sales Master'!N133</f>
        <v>29847911</v>
      </c>
      <c r="M13" s="43">
        <f>+'Therm Sales Master'!O133</f>
        <v>5340649</v>
      </c>
      <c r="N13" s="43">
        <f>+'Therm Sales Master'!P133</f>
        <v>381981</v>
      </c>
      <c r="O13" s="43">
        <f>+'Therm Sales Master'!Q133</f>
        <v>234043</v>
      </c>
      <c r="P13" s="58">
        <f>+'Therm Sales Master'!R133</f>
        <v>0</v>
      </c>
      <c r="R13" s="43">
        <f t="shared" si="0"/>
        <v>50477479</v>
      </c>
    </row>
    <row r="14" spans="1:18" hidden="1" x14ac:dyDescent="0.25">
      <c r="A14" s="41">
        <v>43646</v>
      </c>
      <c r="B14" s="60">
        <f>+'Therm Sales Master'!B134</f>
        <v>4046705</v>
      </c>
      <c r="C14" s="43">
        <f>+'Therm Sales Master'!D134</f>
        <v>0</v>
      </c>
      <c r="D14" s="43">
        <f>+'Therm Sales Master'!E134</f>
        <v>579038</v>
      </c>
      <c r="E14" s="58">
        <f>+'Therm Sales Master'!F134</f>
        <v>275040</v>
      </c>
      <c r="F14" s="43">
        <f>+'Therm Sales Master'!G134</f>
        <v>367</v>
      </c>
      <c r="G14" s="43">
        <f>+'Therm Sales Master'!H134</f>
        <v>3465484</v>
      </c>
      <c r="H14" s="58">
        <f>+'Therm Sales Master'!J134</f>
        <v>479946</v>
      </c>
      <c r="I14" s="43">
        <f>+'Therm Sales Master'!K134</f>
        <v>0</v>
      </c>
      <c r="J14" s="58">
        <f>+'Therm Sales Master'!L134</f>
        <v>0</v>
      </c>
      <c r="K14" s="60">
        <f>+'Therm Sales Master'!M134</f>
        <v>110987</v>
      </c>
      <c r="L14" s="60">
        <f>+'Therm Sales Master'!N134</f>
        <v>27060192</v>
      </c>
      <c r="M14" s="43">
        <f>+'Therm Sales Master'!O134</f>
        <v>7824546</v>
      </c>
      <c r="N14" s="43">
        <f>+'Therm Sales Master'!P134</f>
        <v>6776820</v>
      </c>
      <c r="O14" s="43">
        <f>+'Therm Sales Master'!Q134</f>
        <v>1112893</v>
      </c>
      <c r="P14" s="58">
        <f>+'Therm Sales Master'!R134</f>
        <v>0</v>
      </c>
      <c r="R14" s="43">
        <f t="shared" si="0"/>
        <v>51732018</v>
      </c>
    </row>
    <row r="15" spans="1:18" hidden="1" x14ac:dyDescent="0.25">
      <c r="A15" s="41">
        <v>43677</v>
      </c>
      <c r="B15" s="60">
        <f>+'Therm Sales Master'!B135</f>
        <v>3217527</v>
      </c>
      <c r="C15" s="43">
        <f>+'Therm Sales Master'!D135</f>
        <v>0</v>
      </c>
      <c r="D15" s="43">
        <f>+'Therm Sales Master'!E135</f>
        <v>537168</v>
      </c>
      <c r="E15" s="58">
        <f>+'Therm Sales Master'!F135</f>
        <v>315197</v>
      </c>
      <c r="F15" s="43">
        <f>+'Therm Sales Master'!G135</f>
        <v>155</v>
      </c>
      <c r="G15" s="43">
        <f>+'Therm Sales Master'!H135</f>
        <v>3054528</v>
      </c>
      <c r="H15" s="58">
        <f>+'Therm Sales Master'!J135</f>
        <v>406093</v>
      </c>
      <c r="I15" s="43">
        <f>+'Therm Sales Master'!K135</f>
        <v>163</v>
      </c>
      <c r="J15" s="58">
        <f>+'Therm Sales Master'!L135</f>
        <v>0</v>
      </c>
      <c r="K15" s="60">
        <f>+'Therm Sales Master'!M135</f>
        <v>120028</v>
      </c>
      <c r="L15" s="60">
        <f>+'Therm Sales Master'!N135</f>
        <v>26075307</v>
      </c>
      <c r="M15" s="43">
        <f>+'Therm Sales Master'!O135</f>
        <v>14501183</v>
      </c>
      <c r="N15" s="43">
        <f>+'Therm Sales Master'!P135</f>
        <v>14122838</v>
      </c>
      <c r="O15" s="43">
        <f>+'Therm Sales Master'!Q135</f>
        <v>5050508</v>
      </c>
      <c r="P15" s="58">
        <f>+'Therm Sales Master'!R135</f>
        <v>0</v>
      </c>
      <c r="R15" s="43">
        <f t="shared" ref="R15:R21" si="1">SUM(B15:Q15)</f>
        <v>67400695</v>
      </c>
    </row>
    <row r="16" spans="1:18" x14ac:dyDescent="0.25">
      <c r="A16" s="41">
        <v>43708</v>
      </c>
      <c r="B16" s="60">
        <f>+'Therm Sales Master'!B136</f>
        <v>2775098</v>
      </c>
      <c r="C16" s="43">
        <f>+'Therm Sales Master'!D136</f>
        <v>0</v>
      </c>
      <c r="D16" s="43">
        <f>+'Therm Sales Master'!E136</f>
        <v>564404</v>
      </c>
      <c r="E16" s="58">
        <f>+'Therm Sales Master'!F136</f>
        <v>350812</v>
      </c>
      <c r="F16" s="43">
        <f>+'Therm Sales Master'!G136</f>
        <v>138</v>
      </c>
      <c r="G16" s="43">
        <f>+'Therm Sales Master'!H136</f>
        <v>2791770</v>
      </c>
      <c r="H16" s="58">
        <f>+'Therm Sales Master'!J136</f>
        <v>400926</v>
      </c>
      <c r="I16" s="43">
        <f>+'Therm Sales Master'!K136</f>
        <v>0</v>
      </c>
      <c r="J16" s="58">
        <f>+'Therm Sales Master'!L136</f>
        <v>0</v>
      </c>
      <c r="K16" s="60">
        <f>+'Therm Sales Master'!M136</f>
        <v>93626</v>
      </c>
      <c r="L16" s="60">
        <f>+'Therm Sales Master'!N136</f>
        <v>28191126</v>
      </c>
      <c r="M16" s="43">
        <f>+'Therm Sales Master'!O136</f>
        <v>16164686</v>
      </c>
      <c r="N16" s="43">
        <f>+'Therm Sales Master'!P136</f>
        <v>15605297</v>
      </c>
      <c r="O16" s="43">
        <f>+'Therm Sales Master'!Q136</f>
        <v>9500954</v>
      </c>
      <c r="P16" s="58">
        <f>+'Therm Sales Master'!R136</f>
        <v>0</v>
      </c>
      <c r="R16" s="43">
        <f t="shared" si="1"/>
        <v>76438837</v>
      </c>
    </row>
    <row r="17" spans="1:19" x14ac:dyDescent="0.25">
      <c r="A17" s="41">
        <v>43738</v>
      </c>
      <c r="B17" s="60">
        <f>+'Therm Sales Master'!B137</f>
        <v>2691847</v>
      </c>
      <c r="C17" s="43">
        <f>+'Therm Sales Master'!D137</f>
        <v>0</v>
      </c>
      <c r="D17" s="43">
        <f>+'Therm Sales Master'!E137</f>
        <v>651984</v>
      </c>
      <c r="E17" s="58">
        <f>+'Therm Sales Master'!F137</f>
        <v>310612</v>
      </c>
      <c r="F17" s="43">
        <f>+'Therm Sales Master'!G137</f>
        <v>619</v>
      </c>
      <c r="G17" s="43">
        <f>+'Therm Sales Master'!H137</f>
        <v>2672689</v>
      </c>
      <c r="H17" s="58">
        <f>+'Therm Sales Master'!J137</f>
        <v>346838</v>
      </c>
      <c r="I17" s="43">
        <f>+'Therm Sales Master'!K137</f>
        <v>411</v>
      </c>
      <c r="J17" s="58">
        <f>+'Therm Sales Master'!L137</f>
        <v>0</v>
      </c>
      <c r="K17" s="60">
        <f>+'Therm Sales Master'!M137</f>
        <v>111442</v>
      </c>
      <c r="L17" s="60">
        <f>+'Therm Sales Master'!N137</f>
        <v>31412664</v>
      </c>
      <c r="M17" s="43">
        <f>+'Therm Sales Master'!O137</f>
        <v>15653966</v>
      </c>
      <c r="N17" s="43">
        <f>+'Therm Sales Master'!P137</f>
        <v>14512835</v>
      </c>
      <c r="O17" s="43">
        <f>+'Therm Sales Master'!Q137</f>
        <v>4852567</v>
      </c>
      <c r="P17" s="58">
        <f>+'Therm Sales Master'!R137</f>
        <v>0</v>
      </c>
      <c r="R17" s="43">
        <f t="shared" si="1"/>
        <v>73218474</v>
      </c>
    </row>
    <row r="18" spans="1:19" x14ac:dyDescent="0.25">
      <c r="A18" s="41">
        <v>43769</v>
      </c>
      <c r="B18" s="60">
        <f>+'Therm Sales Master'!B138</f>
        <v>6366467</v>
      </c>
      <c r="C18" s="43">
        <f>+'Therm Sales Master'!D138</f>
        <v>0</v>
      </c>
      <c r="D18" s="43">
        <f>+'Therm Sales Master'!E138</f>
        <v>1274354</v>
      </c>
      <c r="E18" s="58">
        <f>+'Therm Sales Master'!F138</f>
        <v>413276</v>
      </c>
      <c r="F18" s="43">
        <f>+'Therm Sales Master'!G138</f>
        <v>2955</v>
      </c>
      <c r="G18" s="43">
        <f>+'Therm Sales Master'!H138</f>
        <v>4853452</v>
      </c>
      <c r="H18" s="58">
        <f>+'Therm Sales Master'!J138</f>
        <v>2027719</v>
      </c>
      <c r="I18" s="43">
        <f>+'Therm Sales Master'!K138</f>
        <v>317</v>
      </c>
      <c r="J18" s="58">
        <f>+'Therm Sales Master'!L138</f>
        <v>0</v>
      </c>
      <c r="K18" s="60">
        <f>+'Therm Sales Master'!M138</f>
        <v>232820</v>
      </c>
      <c r="L18" s="60">
        <f>+'Therm Sales Master'!N138</f>
        <v>34409561</v>
      </c>
      <c r="M18" s="43">
        <f>+'Therm Sales Master'!O138</f>
        <v>11066352</v>
      </c>
      <c r="N18" s="43">
        <f>+'Therm Sales Master'!P138</f>
        <v>667138</v>
      </c>
      <c r="O18" s="43">
        <f>+'Therm Sales Master'!Q138</f>
        <v>897404</v>
      </c>
      <c r="P18" s="58">
        <f>+'Therm Sales Master'!R138</f>
        <v>0</v>
      </c>
      <c r="R18" s="43">
        <f t="shared" si="1"/>
        <v>62211815</v>
      </c>
    </row>
    <row r="19" spans="1:19" x14ac:dyDescent="0.25">
      <c r="A19" s="41">
        <v>43799</v>
      </c>
      <c r="B19" s="60">
        <f>+'Therm Sales Master'!B139</f>
        <v>7622134</v>
      </c>
      <c r="C19" s="43">
        <f>+'Therm Sales Master'!D139</f>
        <v>0</v>
      </c>
      <c r="D19" s="43">
        <f>+'Therm Sales Master'!E139</f>
        <v>806453</v>
      </c>
      <c r="E19" s="58">
        <f>+'Therm Sales Master'!F139</f>
        <v>292270</v>
      </c>
      <c r="F19" s="43">
        <f>+'Therm Sales Master'!G139</f>
        <v>0</v>
      </c>
      <c r="G19" s="43">
        <f>+'Therm Sales Master'!H139</f>
        <v>5319138</v>
      </c>
      <c r="H19" s="58">
        <f>+'Therm Sales Master'!J139</f>
        <v>626870</v>
      </c>
      <c r="I19" s="43">
        <f>+'Therm Sales Master'!K139</f>
        <v>0</v>
      </c>
      <c r="J19" s="58">
        <f>+'Therm Sales Master'!L139</f>
        <v>0</v>
      </c>
      <c r="K19" s="60">
        <f>+'Therm Sales Master'!M139</f>
        <v>0</v>
      </c>
      <c r="L19" s="60">
        <f>+'Therm Sales Master'!N139</f>
        <v>132</v>
      </c>
      <c r="M19" s="43">
        <f>+'Therm Sales Master'!O139</f>
        <v>0</v>
      </c>
      <c r="N19" s="43">
        <f>+'Therm Sales Master'!P139</f>
        <v>0</v>
      </c>
      <c r="O19" s="43">
        <f>+'Therm Sales Master'!Q139</f>
        <v>0</v>
      </c>
      <c r="P19" s="58">
        <f>+'Therm Sales Master'!R139</f>
        <v>0</v>
      </c>
      <c r="R19" s="43">
        <f t="shared" si="1"/>
        <v>14666997</v>
      </c>
      <c r="S19" s="40" t="s">
        <v>45</v>
      </c>
    </row>
    <row r="20" spans="1:19" x14ac:dyDescent="0.25">
      <c r="A20" s="41">
        <v>43799</v>
      </c>
      <c r="B20" s="60">
        <f>+'Therm Sales Master'!B140</f>
        <v>4006834</v>
      </c>
      <c r="C20" s="43">
        <f>+'Therm Sales Master'!D140</f>
        <v>0</v>
      </c>
      <c r="D20" s="43">
        <f>+'Therm Sales Master'!E140</f>
        <v>352170</v>
      </c>
      <c r="E20" s="58">
        <f>+'Therm Sales Master'!F140</f>
        <v>192646</v>
      </c>
      <c r="F20" s="43">
        <f>+'Therm Sales Master'!G140</f>
        <v>3958</v>
      </c>
      <c r="G20" s="43">
        <f>+'Therm Sales Master'!H140</f>
        <v>2589532</v>
      </c>
      <c r="H20" s="58">
        <f>+'Therm Sales Master'!J140</f>
        <v>1908901</v>
      </c>
      <c r="I20" s="43">
        <f>+'Therm Sales Master'!K140</f>
        <v>491</v>
      </c>
      <c r="J20" s="58">
        <f>+'Therm Sales Master'!L140</f>
        <v>0</v>
      </c>
      <c r="K20" s="60">
        <f>+'Therm Sales Master'!M140</f>
        <v>230233</v>
      </c>
      <c r="L20" s="60">
        <f>+'Therm Sales Master'!N140</f>
        <v>29790523</v>
      </c>
      <c r="M20" s="43">
        <f>+'Therm Sales Master'!O140</f>
        <v>12699045</v>
      </c>
      <c r="N20" s="43">
        <f>+'Therm Sales Master'!P140</f>
        <v>5956005</v>
      </c>
      <c r="O20" s="43">
        <f>+'Therm Sales Master'!Q140</f>
        <v>211269</v>
      </c>
      <c r="P20" s="58">
        <f>+'Therm Sales Master'!R140</f>
        <v>0</v>
      </c>
      <c r="R20" s="43">
        <f t="shared" ref="R20" si="2">SUM(B20:Q20)</f>
        <v>57941607</v>
      </c>
      <c r="S20" s="40" t="s">
        <v>46</v>
      </c>
    </row>
    <row r="21" spans="1:19" x14ac:dyDescent="0.25">
      <c r="A21" s="41">
        <v>43830</v>
      </c>
      <c r="B21" s="60">
        <f>+'Therm Sales Master'!B141</f>
        <v>17650518</v>
      </c>
      <c r="C21" s="43">
        <f>+'Therm Sales Master'!D141</f>
        <v>0</v>
      </c>
      <c r="D21" s="43">
        <f>+'Therm Sales Master'!E141</f>
        <v>1422636</v>
      </c>
      <c r="E21" s="58">
        <f>+'Therm Sales Master'!F141</f>
        <v>368658</v>
      </c>
      <c r="F21" s="43">
        <f>+'Therm Sales Master'!G141</f>
        <v>4552</v>
      </c>
      <c r="G21" s="43">
        <f>+'Therm Sales Master'!H141</f>
        <v>11976706</v>
      </c>
      <c r="H21" s="58">
        <f>+'Therm Sales Master'!J141</f>
        <v>2959155</v>
      </c>
      <c r="I21" s="43">
        <f>+'Therm Sales Master'!K141</f>
        <v>261</v>
      </c>
      <c r="J21" s="58">
        <f>+'Therm Sales Master'!L141</f>
        <v>0</v>
      </c>
      <c r="K21" s="60">
        <f>+'Therm Sales Master'!M141</f>
        <v>254015</v>
      </c>
      <c r="L21" s="60">
        <f>+'Therm Sales Master'!N141</f>
        <v>31617374</v>
      </c>
      <c r="M21" s="43">
        <f>+'Therm Sales Master'!O141</f>
        <v>14173947</v>
      </c>
      <c r="N21" s="43">
        <f>+'Therm Sales Master'!P141</f>
        <v>13886984</v>
      </c>
      <c r="O21" s="43">
        <f>+'Therm Sales Master'!Q141</f>
        <v>1297588</v>
      </c>
      <c r="P21" s="58">
        <f>+'Therm Sales Master'!R141</f>
        <v>0</v>
      </c>
      <c r="R21" s="43">
        <f t="shared" si="1"/>
        <v>95612394</v>
      </c>
    </row>
    <row r="22" spans="1:19" x14ac:dyDescent="0.25">
      <c r="A22" s="41">
        <v>43861</v>
      </c>
      <c r="B22" s="60">
        <f>+'Therm Sales Master'!B142</f>
        <v>21443608</v>
      </c>
      <c r="C22" s="43">
        <f>+'Therm Sales Master'!D142</f>
        <v>0</v>
      </c>
      <c r="D22" s="43">
        <f>+'Therm Sales Master'!E142</f>
        <v>1522757</v>
      </c>
      <c r="E22" s="58">
        <f>+'Therm Sales Master'!F142</f>
        <v>431249</v>
      </c>
      <c r="F22" s="43">
        <f>+'Therm Sales Master'!G142</f>
        <v>4887</v>
      </c>
      <c r="G22" s="43">
        <f>+'Therm Sales Master'!H142</f>
        <v>14478708</v>
      </c>
      <c r="H22" s="58">
        <f>+'Therm Sales Master'!J142</f>
        <v>3309514</v>
      </c>
      <c r="I22" s="43">
        <f>+'Therm Sales Master'!K142</f>
        <v>85</v>
      </c>
      <c r="J22" s="58">
        <f>+'Therm Sales Master'!L142</f>
        <v>0</v>
      </c>
      <c r="K22" s="60">
        <f>+'Therm Sales Master'!M142</f>
        <v>256203</v>
      </c>
      <c r="L22" s="60">
        <f>+'Therm Sales Master'!N142</f>
        <v>32467716</v>
      </c>
      <c r="M22" s="43">
        <f>+'Therm Sales Master'!O142</f>
        <v>12220363</v>
      </c>
      <c r="N22" s="43">
        <f>+'Therm Sales Master'!P142</f>
        <v>9693367</v>
      </c>
      <c r="O22" s="43">
        <f>+'Therm Sales Master'!Q142</f>
        <v>362331</v>
      </c>
      <c r="P22" s="58">
        <f>+'Therm Sales Master'!R142</f>
        <v>0</v>
      </c>
      <c r="R22" s="43">
        <f t="shared" ref="R22:R27" si="3">SUM(B22:Q22)</f>
        <v>96190788</v>
      </c>
    </row>
    <row r="23" spans="1:19" x14ac:dyDescent="0.25">
      <c r="A23" s="41">
        <v>43890</v>
      </c>
      <c r="B23" s="60">
        <f>+'Therm Sales Master'!B143</f>
        <v>17506775</v>
      </c>
      <c r="C23" s="43">
        <f>+'Therm Sales Master'!D143</f>
        <v>0</v>
      </c>
      <c r="D23" s="43">
        <f>+'Therm Sales Master'!E143</f>
        <v>1322495</v>
      </c>
      <c r="E23" s="58">
        <f>+'Therm Sales Master'!F143</f>
        <v>393372</v>
      </c>
      <c r="F23" s="43">
        <f>+'Therm Sales Master'!G143</f>
        <v>4650</v>
      </c>
      <c r="G23" s="43">
        <f>+'Therm Sales Master'!H143</f>
        <v>11970901</v>
      </c>
      <c r="H23" s="58">
        <f>+'Therm Sales Master'!J143</f>
        <v>2889473</v>
      </c>
      <c r="I23" s="43">
        <f>+'Therm Sales Master'!K143</f>
        <v>341</v>
      </c>
      <c r="J23" s="58">
        <f>+'Therm Sales Master'!L143</f>
        <v>0</v>
      </c>
      <c r="K23" s="60">
        <f>+'Therm Sales Master'!M143</f>
        <v>228991</v>
      </c>
      <c r="L23" s="60">
        <f>+'Therm Sales Master'!N143</f>
        <v>30355704</v>
      </c>
      <c r="M23" s="43">
        <f>+'Therm Sales Master'!O143</f>
        <v>11897437</v>
      </c>
      <c r="N23" s="43">
        <f>+'Therm Sales Master'!P143</f>
        <v>7438730</v>
      </c>
      <c r="O23" s="43">
        <f>+'Therm Sales Master'!Q143</f>
        <v>761639</v>
      </c>
      <c r="P23" s="58">
        <f>+'Therm Sales Master'!R143</f>
        <v>0</v>
      </c>
      <c r="R23" s="43">
        <f t="shared" si="3"/>
        <v>84770508</v>
      </c>
    </row>
    <row r="24" spans="1:19" x14ac:dyDescent="0.25">
      <c r="A24" s="41">
        <v>43921</v>
      </c>
      <c r="B24" s="60">
        <f>+'Therm Sales Master'!B144</f>
        <v>17635811</v>
      </c>
      <c r="C24" s="43">
        <f>+'Therm Sales Master'!D144</f>
        <v>0</v>
      </c>
      <c r="D24" s="43">
        <f>+'Therm Sales Master'!E144</f>
        <v>1356275</v>
      </c>
      <c r="E24" s="58">
        <f>+'Therm Sales Master'!F144</f>
        <v>297569</v>
      </c>
      <c r="F24" s="43">
        <f>+'Therm Sales Master'!G144</f>
        <v>4903</v>
      </c>
      <c r="G24" s="43">
        <f>+'Therm Sales Master'!H144</f>
        <v>11812961</v>
      </c>
      <c r="H24" s="58">
        <f>+'Therm Sales Master'!J144</f>
        <v>3033699</v>
      </c>
      <c r="I24" s="43">
        <f>+'Therm Sales Master'!K144</f>
        <v>182</v>
      </c>
      <c r="J24" s="58">
        <f>+'Therm Sales Master'!L144</f>
        <v>0</v>
      </c>
      <c r="K24" s="60">
        <f>+'Therm Sales Master'!M144</f>
        <v>229265</v>
      </c>
      <c r="L24" s="60">
        <f>+'Therm Sales Master'!N144</f>
        <v>32606618</v>
      </c>
      <c r="M24" s="43">
        <f>+'Therm Sales Master'!O144</f>
        <v>15670834</v>
      </c>
      <c r="N24" s="43">
        <f>+'Therm Sales Master'!P144</f>
        <v>14229128</v>
      </c>
      <c r="O24" s="43">
        <f>+'Therm Sales Master'!Q144</f>
        <v>3004872</v>
      </c>
      <c r="P24" s="58">
        <f>+'Therm Sales Master'!R144</f>
        <v>0</v>
      </c>
      <c r="R24" s="43">
        <f t="shared" si="3"/>
        <v>99882117</v>
      </c>
    </row>
    <row r="25" spans="1:19" x14ac:dyDescent="0.25">
      <c r="A25" s="41">
        <v>43951</v>
      </c>
      <c r="B25" s="60">
        <f>+'Therm Sales Master'!B145</f>
        <v>13930299</v>
      </c>
      <c r="C25" s="43">
        <f>+'Therm Sales Master'!D145</f>
        <v>0</v>
      </c>
      <c r="D25" s="43">
        <f>+'Therm Sales Master'!E145</f>
        <v>1128418</v>
      </c>
      <c r="E25" s="58">
        <f>+'Therm Sales Master'!F145</f>
        <v>537766</v>
      </c>
      <c r="F25" s="43">
        <f>+'Therm Sales Master'!G145</f>
        <v>3889</v>
      </c>
      <c r="G25" s="43">
        <f>+'Therm Sales Master'!H145</f>
        <v>8554564</v>
      </c>
      <c r="H25" s="58">
        <f>+'Therm Sales Master'!J145</f>
        <v>2377971</v>
      </c>
      <c r="I25" s="43">
        <f>+'Therm Sales Master'!K145</f>
        <v>193</v>
      </c>
      <c r="J25" s="58">
        <f>+'Therm Sales Master'!L145</f>
        <v>0</v>
      </c>
      <c r="K25" s="60">
        <f>+'Therm Sales Master'!M145</f>
        <v>189521</v>
      </c>
      <c r="L25" s="60">
        <f>+'Therm Sales Master'!N145</f>
        <v>27153616</v>
      </c>
      <c r="M25" s="43">
        <f>+'Therm Sales Master'!O145</f>
        <v>13569738</v>
      </c>
      <c r="N25" s="43">
        <f>+'Therm Sales Master'!P145</f>
        <v>11001952</v>
      </c>
      <c r="O25" s="43">
        <f>+'Therm Sales Master'!Q145</f>
        <v>3430843</v>
      </c>
      <c r="P25" s="58">
        <f>+'Therm Sales Master'!R145</f>
        <v>0</v>
      </c>
      <c r="R25" s="43">
        <f t="shared" si="3"/>
        <v>81878770</v>
      </c>
    </row>
    <row r="26" spans="1:19" x14ac:dyDescent="0.25">
      <c r="A26" s="41">
        <v>43982</v>
      </c>
      <c r="B26" s="60">
        <f>+'Therm Sales Master'!B146</f>
        <v>6809502</v>
      </c>
      <c r="C26" s="43">
        <f>+'Therm Sales Master'!D146</f>
        <v>0</v>
      </c>
      <c r="D26" s="43">
        <f>+'Therm Sales Master'!E146</f>
        <v>713209</v>
      </c>
      <c r="E26" s="58">
        <f>+'Therm Sales Master'!F146</f>
        <v>222952</v>
      </c>
      <c r="F26" s="43">
        <f>+'Therm Sales Master'!G146</f>
        <v>2219</v>
      </c>
      <c r="G26" s="43">
        <f>+'Therm Sales Master'!H146</f>
        <v>4127918</v>
      </c>
      <c r="H26" s="58">
        <f>+'Therm Sales Master'!J146</f>
        <v>1489675</v>
      </c>
      <c r="I26" s="43">
        <f>+'Therm Sales Master'!K146</f>
        <v>0</v>
      </c>
      <c r="J26" s="58">
        <f>+'Therm Sales Master'!L146</f>
        <v>0</v>
      </c>
      <c r="K26" s="60">
        <f>+'Therm Sales Master'!M146</f>
        <v>139474</v>
      </c>
      <c r="L26" s="60">
        <f>+'Therm Sales Master'!N146</f>
        <v>29220834</v>
      </c>
      <c r="M26" s="43">
        <f>+'Therm Sales Master'!O146</f>
        <v>2198918</v>
      </c>
      <c r="N26" s="43">
        <f>+'Therm Sales Master'!P146</f>
        <v>791584</v>
      </c>
      <c r="O26" s="43">
        <f>+'Therm Sales Master'!Q146</f>
        <v>447784</v>
      </c>
      <c r="P26" s="58">
        <f>+'Therm Sales Master'!R146</f>
        <v>0</v>
      </c>
      <c r="R26" s="43">
        <f t="shared" si="3"/>
        <v>46164069</v>
      </c>
    </row>
    <row r="27" spans="1:19" x14ac:dyDescent="0.25">
      <c r="A27" s="41">
        <v>44012</v>
      </c>
      <c r="B27" s="60">
        <f>+'Therm Sales Master'!B147</f>
        <v>5005480</v>
      </c>
      <c r="C27" s="43">
        <f>+'Therm Sales Master'!D147</f>
        <v>0</v>
      </c>
      <c r="D27" s="43">
        <f>+'Therm Sales Master'!E147</f>
        <v>637229</v>
      </c>
      <c r="E27" s="58">
        <f>+'Therm Sales Master'!F147</f>
        <v>433558</v>
      </c>
      <c r="F27" s="43">
        <f>+'Therm Sales Master'!G147</f>
        <v>2099</v>
      </c>
      <c r="G27" s="43">
        <f>+'Therm Sales Master'!H147</f>
        <v>3158885</v>
      </c>
      <c r="H27" s="58">
        <f>+'Therm Sales Master'!J147</f>
        <v>1216237</v>
      </c>
      <c r="I27" s="43">
        <f>+'Therm Sales Master'!K147</f>
        <v>0</v>
      </c>
      <c r="J27" s="58">
        <f>+'Therm Sales Master'!L147</f>
        <v>0</v>
      </c>
      <c r="K27" s="60">
        <f>+'Therm Sales Master'!M147</f>
        <v>109505</v>
      </c>
      <c r="L27" s="60">
        <f>+'Therm Sales Master'!N147</f>
        <v>27661973</v>
      </c>
      <c r="M27" s="43">
        <f>+'Therm Sales Master'!O147</f>
        <v>3015900</v>
      </c>
      <c r="N27" s="43">
        <f>+'Therm Sales Master'!P147</f>
        <v>1306946</v>
      </c>
      <c r="O27" s="43">
        <f>+'Therm Sales Master'!Q147</f>
        <v>736401</v>
      </c>
      <c r="P27" s="58">
        <f>+'Therm Sales Master'!R147</f>
        <v>0</v>
      </c>
      <c r="R27" s="43">
        <f t="shared" si="3"/>
        <v>43284213</v>
      </c>
    </row>
    <row r="28" spans="1:19" x14ac:dyDescent="0.25">
      <c r="A28" s="41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R28" s="48"/>
    </row>
    <row r="29" spans="1:19" hidden="1" x14ac:dyDescent="0.25">
      <c r="A29" s="41">
        <v>43982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R29" s="48"/>
    </row>
    <row r="30" spans="1:19" hidden="1" x14ac:dyDescent="0.25">
      <c r="A30" s="41">
        <v>44012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R30" s="48"/>
    </row>
    <row r="31" spans="1:19" hidden="1" x14ac:dyDescent="0.25">
      <c r="A31" s="4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R31" s="48"/>
    </row>
    <row r="32" spans="1:19" hidden="1" x14ac:dyDescent="0.25">
      <c r="A32" s="41">
        <v>44043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R32" s="48"/>
    </row>
    <row r="33" spans="1:19" hidden="1" x14ac:dyDescent="0.25">
      <c r="A33" s="41">
        <v>44074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R33" s="48"/>
    </row>
    <row r="34" spans="1:19" hidden="1" x14ac:dyDescent="0.25">
      <c r="A34" s="41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R34" s="48"/>
    </row>
    <row r="35" spans="1:19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R35" s="48"/>
    </row>
    <row r="36" spans="1:19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0"/>
      <c r="L36" s="50"/>
      <c r="M36" s="50"/>
      <c r="N36" s="50"/>
      <c r="O36" s="50"/>
      <c r="P36" s="50"/>
    </row>
    <row r="37" spans="1:19" x14ac:dyDescent="0.25">
      <c r="B37" s="42">
        <v>503</v>
      </c>
      <c r="C37" s="42" t="s">
        <v>38</v>
      </c>
      <c r="D37" s="42">
        <v>505</v>
      </c>
      <c r="E37" s="42">
        <v>511</v>
      </c>
      <c r="F37" s="42" t="s">
        <v>39</v>
      </c>
      <c r="G37" s="42">
        <v>504</v>
      </c>
      <c r="H37" s="42" t="s">
        <v>41</v>
      </c>
      <c r="I37" s="42" t="s">
        <v>38</v>
      </c>
      <c r="J37" s="42">
        <v>570</v>
      </c>
      <c r="K37" s="42">
        <v>570</v>
      </c>
      <c r="L37" s="51">
        <v>6631</v>
      </c>
      <c r="M37" s="51">
        <v>6631</v>
      </c>
      <c r="N37" s="51">
        <v>6633</v>
      </c>
      <c r="O37" s="51">
        <v>6635</v>
      </c>
      <c r="P37" s="51">
        <v>916</v>
      </c>
    </row>
    <row r="38" spans="1:19" hidden="1" x14ac:dyDescent="0.25">
      <c r="A38" s="41">
        <v>43343</v>
      </c>
      <c r="B38" s="52">
        <v>-4.6100000000000004E-3</v>
      </c>
      <c r="C38" s="52">
        <v>-2.2399999999999998E-3</v>
      </c>
      <c r="D38" s="52">
        <v>-2.2399999999999998E-3</v>
      </c>
      <c r="E38" s="52">
        <v>-1.83E-3</v>
      </c>
      <c r="F38" s="52">
        <v>-3.5400000000000002E-3</v>
      </c>
      <c r="G38" s="52">
        <v>-3.5400000000000002E-3</v>
      </c>
      <c r="H38" s="52">
        <v>-1.83E-3</v>
      </c>
      <c r="I38" s="52">
        <v>-2.2399999999999998E-3</v>
      </c>
      <c r="J38" s="52">
        <v>-6.8000000000000005E-4</v>
      </c>
      <c r="K38" s="52">
        <v>-6.8000000000000005E-4</v>
      </c>
      <c r="L38" s="49">
        <v>-4.0999999999999999E-4</v>
      </c>
      <c r="M38" s="49">
        <v>-4.0999999999999999E-4</v>
      </c>
      <c r="N38" s="49">
        <v>-4.0999999999999999E-4</v>
      </c>
      <c r="O38" s="49">
        <v>-4.0999999999999999E-4</v>
      </c>
      <c r="P38" s="49">
        <v>-4.0999999999999999E-4</v>
      </c>
    </row>
    <row r="39" spans="1:19" hidden="1" x14ac:dyDescent="0.25">
      <c r="A39" s="41">
        <v>43373</v>
      </c>
      <c r="B39" s="52">
        <v>-4.6100000000000004E-3</v>
      </c>
      <c r="C39" s="52">
        <v>-2.2399999999999998E-3</v>
      </c>
      <c r="D39" s="52">
        <v>-2.2399999999999998E-3</v>
      </c>
      <c r="E39" s="52">
        <v>-1.83E-3</v>
      </c>
      <c r="F39" s="52">
        <v>-3.5400000000000002E-3</v>
      </c>
      <c r="G39" s="52">
        <v>-3.5400000000000002E-3</v>
      </c>
      <c r="H39" s="52">
        <v>-1.83E-3</v>
      </c>
      <c r="I39" s="52">
        <v>-2.2399999999999998E-3</v>
      </c>
      <c r="J39" s="52">
        <v>-6.8000000000000005E-4</v>
      </c>
      <c r="K39" s="52">
        <v>-6.8000000000000005E-4</v>
      </c>
      <c r="L39" s="49">
        <v>-4.0999999999999999E-4</v>
      </c>
      <c r="M39" s="49">
        <v>-4.0999999999999999E-4</v>
      </c>
      <c r="N39" s="49">
        <v>-4.0999999999999999E-4</v>
      </c>
      <c r="O39" s="49">
        <v>-4.0999999999999999E-4</v>
      </c>
      <c r="P39" s="49">
        <v>-4.0999999999999999E-4</v>
      </c>
    </row>
    <row r="40" spans="1:19" hidden="1" x14ac:dyDescent="0.25">
      <c r="A40" s="41">
        <v>43404</v>
      </c>
      <c r="B40" s="52">
        <v>-4.6100000000000004E-3</v>
      </c>
      <c r="C40" s="52">
        <v>-2.2399999999999998E-3</v>
      </c>
      <c r="D40" s="52">
        <v>-2.2399999999999998E-3</v>
      </c>
      <c r="E40" s="52">
        <v>-1.83E-3</v>
      </c>
      <c r="F40" s="52">
        <v>-3.5400000000000002E-3</v>
      </c>
      <c r="G40" s="52">
        <v>-3.5400000000000002E-3</v>
      </c>
      <c r="H40" s="52">
        <v>-1.83E-3</v>
      </c>
      <c r="I40" s="52">
        <v>-2.2399999999999998E-3</v>
      </c>
      <c r="J40" s="52">
        <v>-6.8000000000000005E-4</v>
      </c>
      <c r="K40" s="52">
        <v>-6.8000000000000005E-4</v>
      </c>
      <c r="L40" s="49">
        <v>-4.0999999999999999E-4</v>
      </c>
      <c r="M40" s="49">
        <v>-4.0999999999999999E-4</v>
      </c>
      <c r="N40" s="49">
        <v>-4.0999999999999999E-4</v>
      </c>
      <c r="O40" s="49">
        <v>-4.0999999999999999E-4</v>
      </c>
      <c r="P40" s="49">
        <v>-4.0999999999999999E-4</v>
      </c>
    </row>
    <row r="41" spans="1:19" hidden="1" x14ac:dyDescent="0.25">
      <c r="A41" s="41">
        <v>43434</v>
      </c>
      <c r="B41" s="52">
        <v>-4.6100000000000004E-3</v>
      </c>
      <c r="C41" s="52">
        <v>-2.2399999999999998E-3</v>
      </c>
      <c r="D41" s="52">
        <v>-2.2399999999999998E-3</v>
      </c>
      <c r="E41" s="52">
        <v>-1.83E-3</v>
      </c>
      <c r="F41" s="52">
        <v>-3.5400000000000002E-3</v>
      </c>
      <c r="G41" s="52">
        <v>-3.5400000000000002E-3</v>
      </c>
      <c r="H41" s="52">
        <v>-1.83E-3</v>
      </c>
      <c r="I41" s="52">
        <v>-2.2399999999999998E-3</v>
      </c>
      <c r="J41" s="52">
        <v>-6.8000000000000005E-4</v>
      </c>
      <c r="K41" s="52">
        <v>-6.8000000000000005E-4</v>
      </c>
      <c r="L41" s="49">
        <v>-4.0999999999999999E-4</v>
      </c>
      <c r="M41" s="49">
        <v>-4.0999999999999999E-4</v>
      </c>
      <c r="N41" s="49">
        <v>-4.0999999999999999E-4</v>
      </c>
      <c r="O41" s="49">
        <v>-4.0999999999999999E-4</v>
      </c>
      <c r="P41" s="49">
        <v>-4.0999999999999999E-4</v>
      </c>
      <c r="S41" s="40" t="s">
        <v>105</v>
      </c>
    </row>
    <row r="42" spans="1:19" hidden="1" x14ac:dyDescent="0.25">
      <c r="A42" s="41">
        <v>43465</v>
      </c>
      <c r="B42" s="52">
        <v>-4.6100000000000004E-3</v>
      </c>
      <c r="C42" s="52">
        <v>-2.2399999999999998E-3</v>
      </c>
      <c r="D42" s="52">
        <v>-2.2399999999999998E-3</v>
      </c>
      <c r="E42" s="52">
        <v>-1.83E-3</v>
      </c>
      <c r="F42" s="52">
        <v>-3.5400000000000002E-3</v>
      </c>
      <c r="G42" s="52">
        <v>-3.5400000000000002E-3</v>
      </c>
      <c r="H42" s="52">
        <v>-1.83E-3</v>
      </c>
      <c r="I42" s="52">
        <v>-2.2399999999999998E-3</v>
      </c>
      <c r="J42" s="52">
        <v>-6.8000000000000005E-4</v>
      </c>
      <c r="K42" s="52">
        <v>-6.8000000000000005E-4</v>
      </c>
      <c r="L42" s="49">
        <v>-4.0999999999999999E-4</v>
      </c>
      <c r="M42" s="49">
        <v>-4.0999999999999999E-4</v>
      </c>
      <c r="N42" s="49">
        <v>-4.0999999999999999E-4</v>
      </c>
      <c r="O42" s="49">
        <v>-4.0999999999999999E-4</v>
      </c>
      <c r="P42" s="49">
        <v>-4.0999999999999999E-4</v>
      </c>
    </row>
    <row r="43" spans="1:19" hidden="1" x14ac:dyDescent="0.25">
      <c r="A43" s="41">
        <v>43496</v>
      </c>
      <c r="B43" s="52">
        <v>-4.6100000000000004E-3</v>
      </c>
      <c r="C43" s="52">
        <v>-2.2399999999999998E-3</v>
      </c>
      <c r="D43" s="52">
        <v>-2.2399999999999998E-3</v>
      </c>
      <c r="E43" s="52">
        <v>-1.83E-3</v>
      </c>
      <c r="F43" s="52">
        <v>-3.5400000000000002E-3</v>
      </c>
      <c r="G43" s="52">
        <v>-3.5400000000000002E-3</v>
      </c>
      <c r="H43" s="52">
        <v>-1.83E-3</v>
      </c>
      <c r="I43" s="52">
        <v>-2.2399999999999998E-3</v>
      </c>
      <c r="J43" s="52">
        <v>-6.8000000000000005E-4</v>
      </c>
      <c r="K43" s="52">
        <v>-6.8000000000000005E-4</v>
      </c>
      <c r="L43" s="49">
        <v>-4.0999999999999999E-4</v>
      </c>
      <c r="M43" s="49">
        <v>-4.0999999999999999E-4</v>
      </c>
      <c r="N43" s="49">
        <v>-4.0999999999999999E-4</v>
      </c>
      <c r="O43" s="49">
        <v>-4.0999999999999999E-4</v>
      </c>
      <c r="P43" s="49">
        <v>-4.0999999999999999E-4</v>
      </c>
    </row>
    <row r="44" spans="1:19" hidden="1" x14ac:dyDescent="0.25">
      <c r="A44" s="41">
        <v>43524</v>
      </c>
      <c r="B44" s="52">
        <v>-4.6100000000000004E-3</v>
      </c>
      <c r="C44" s="52">
        <v>-2.2399999999999998E-3</v>
      </c>
      <c r="D44" s="52">
        <v>-2.2399999999999998E-3</v>
      </c>
      <c r="E44" s="52">
        <v>-1.83E-3</v>
      </c>
      <c r="F44" s="52">
        <v>-3.5400000000000002E-3</v>
      </c>
      <c r="G44" s="52">
        <v>-3.5400000000000002E-3</v>
      </c>
      <c r="H44" s="52">
        <v>-1.83E-3</v>
      </c>
      <c r="I44" s="52">
        <v>-2.2399999999999998E-3</v>
      </c>
      <c r="J44" s="52">
        <v>-6.8000000000000005E-4</v>
      </c>
      <c r="K44" s="52">
        <v>-6.8000000000000005E-4</v>
      </c>
      <c r="L44" s="49">
        <v>-4.0999999999999999E-4</v>
      </c>
      <c r="M44" s="49">
        <v>-4.0999999999999999E-4</v>
      </c>
      <c r="N44" s="49">
        <v>-4.0999999999999999E-4</v>
      </c>
      <c r="O44" s="49">
        <v>-4.0999999999999999E-4</v>
      </c>
      <c r="P44" s="49">
        <v>-4.0999999999999999E-4</v>
      </c>
    </row>
    <row r="45" spans="1:19" hidden="1" x14ac:dyDescent="0.25">
      <c r="A45" s="41">
        <v>43555</v>
      </c>
      <c r="B45" s="52">
        <v>-4.6100000000000004E-3</v>
      </c>
      <c r="C45" s="52">
        <v>-2.2399999999999998E-3</v>
      </c>
      <c r="D45" s="52">
        <v>-2.2399999999999998E-3</v>
      </c>
      <c r="E45" s="52">
        <v>-1.83E-3</v>
      </c>
      <c r="F45" s="52">
        <v>-3.5400000000000002E-3</v>
      </c>
      <c r="G45" s="52">
        <v>-3.5400000000000002E-3</v>
      </c>
      <c r="H45" s="52">
        <v>-1.83E-3</v>
      </c>
      <c r="I45" s="52">
        <v>-2.2399999999999998E-3</v>
      </c>
      <c r="J45" s="52">
        <v>-6.8000000000000005E-4</v>
      </c>
      <c r="K45" s="52">
        <v>-6.8000000000000005E-4</v>
      </c>
      <c r="L45" s="49">
        <v>-4.0999999999999999E-4</v>
      </c>
      <c r="M45" s="49">
        <v>-4.0999999999999999E-4</v>
      </c>
      <c r="N45" s="49">
        <v>-4.0999999999999999E-4</v>
      </c>
      <c r="O45" s="49">
        <v>-4.0999999999999999E-4</v>
      </c>
      <c r="P45" s="49">
        <v>-4.0999999999999999E-4</v>
      </c>
    </row>
    <row r="46" spans="1:19" hidden="1" x14ac:dyDescent="0.25">
      <c r="A46" s="41">
        <v>43585</v>
      </c>
      <c r="B46" s="52">
        <v>-4.6100000000000004E-3</v>
      </c>
      <c r="C46" s="52">
        <v>-2.2399999999999998E-3</v>
      </c>
      <c r="D46" s="52">
        <v>-2.2399999999999998E-3</v>
      </c>
      <c r="E46" s="52">
        <v>-1.83E-3</v>
      </c>
      <c r="F46" s="52">
        <v>-3.5400000000000002E-3</v>
      </c>
      <c r="G46" s="52">
        <v>-3.5400000000000002E-3</v>
      </c>
      <c r="H46" s="52">
        <v>-1.83E-3</v>
      </c>
      <c r="I46" s="52">
        <v>-2.2399999999999998E-3</v>
      </c>
      <c r="J46" s="52">
        <v>-6.8000000000000005E-4</v>
      </c>
      <c r="K46" s="52">
        <v>-6.8000000000000005E-4</v>
      </c>
      <c r="L46" s="49">
        <v>-4.0999999999999999E-4</v>
      </c>
      <c r="M46" s="49">
        <v>-4.0999999999999999E-4</v>
      </c>
      <c r="N46" s="49">
        <v>-4.0999999999999999E-4</v>
      </c>
      <c r="O46" s="49">
        <v>-4.0999999999999999E-4</v>
      </c>
      <c r="P46" s="49">
        <v>-4.0999999999999999E-4</v>
      </c>
    </row>
    <row r="47" spans="1:19" hidden="1" x14ac:dyDescent="0.25">
      <c r="A47" s="41">
        <v>43616</v>
      </c>
      <c r="B47" s="52">
        <v>-4.6100000000000004E-3</v>
      </c>
      <c r="C47" s="52">
        <v>-2.2399999999999998E-3</v>
      </c>
      <c r="D47" s="52">
        <v>-2.2399999999999998E-3</v>
      </c>
      <c r="E47" s="52">
        <v>-1.83E-3</v>
      </c>
      <c r="F47" s="52">
        <v>-3.5400000000000002E-3</v>
      </c>
      <c r="G47" s="52">
        <v>-3.5400000000000002E-3</v>
      </c>
      <c r="H47" s="52">
        <v>-1.83E-3</v>
      </c>
      <c r="I47" s="52">
        <v>-2.2399999999999998E-3</v>
      </c>
      <c r="J47" s="52">
        <v>-6.8000000000000005E-4</v>
      </c>
      <c r="K47" s="52">
        <v>-6.8000000000000005E-4</v>
      </c>
      <c r="L47" s="49">
        <v>-4.0999999999999999E-4</v>
      </c>
      <c r="M47" s="49">
        <v>-4.0999999999999999E-4</v>
      </c>
      <c r="N47" s="49">
        <v>-4.0999999999999999E-4</v>
      </c>
      <c r="O47" s="49">
        <v>-4.0999999999999999E-4</v>
      </c>
      <c r="P47" s="49">
        <v>-4.0999999999999999E-4</v>
      </c>
    </row>
    <row r="48" spans="1:19" hidden="1" x14ac:dyDescent="0.25">
      <c r="A48" s="41">
        <v>43646</v>
      </c>
      <c r="B48" s="52">
        <v>-4.6100000000000004E-3</v>
      </c>
      <c r="C48" s="52">
        <v>-2.2399999999999998E-3</v>
      </c>
      <c r="D48" s="52">
        <v>-2.2399999999999998E-3</v>
      </c>
      <c r="E48" s="52">
        <v>-1.83E-3</v>
      </c>
      <c r="F48" s="52">
        <v>-3.5400000000000002E-3</v>
      </c>
      <c r="G48" s="52">
        <v>-3.5400000000000002E-3</v>
      </c>
      <c r="H48" s="52">
        <v>-1.83E-3</v>
      </c>
      <c r="I48" s="52">
        <v>-2.2399999999999998E-3</v>
      </c>
      <c r="J48" s="52">
        <v>-6.8000000000000005E-4</v>
      </c>
      <c r="K48" s="52">
        <v>-6.8000000000000005E-4</v>
      </c>
      <c r="L48" s="49">
        <v>-4.0999999999999999E-4</v>
      </c>
      <c r="M48" s="49">
        <v>-4.0999999999999999E-4</v>
      </c>
      <c r="N48" s="49">
        <v>-4.0999999999999999E-4</v>
      </c>
      <c r="O48" s="49">
        <v>-4.0999999999999999E-4</v>
      </c>
      <c r="P48" s="49">
        <v>-4.0999999999999999E-4</v>
      </c>
    </row>
    <row r="49" spans="1:18" x14ac:dyDescent="0.25">
      <c r="A49" s="41">
        <v>43677</v>
      </c>
      <c r="B49" s="52">
        <v>-4.6100000000000004E-3</v>
      </c>
      <c r="C49" s="52">
        <v>-2.2399999999999998E-3</v>
      </c>
      <c r="D49" s="52">
        <v>-2.2399999999999998E-3</v>
      </c>
      <c r="E49" s="52">
        <v>-1.83E-3</v>
      </c>
      <c r="F49" s="52">
        <v>-3.5400000000000002E-3</v>
      </c>
      <c r="G49" s="52">
        <v>-3.5400000000000002E-3</v>
      </c>
      <c r="H49" s="52">
        <v>-1.83E-3</v>
      </c>
      <c r="I49" s="52">
        <v>-2.2399999999999998E-3</v>
      </c>
      <c r="J49" s="52">
        <v>-6.8000000000000005E-4</v>
      </c>
      <c r="K49" s="52">
        <v>-6.8000000000000005E-4</v>
      </c>
      <c r="L49" s="52">
        <v>-4.0999999999999999E-4</v>
      </c>
      <c r="M49" s="52">
        <v>-4.0999999999999999E-4</v>
      </c>
      <c r="N49" s="52">
        <v>-4.0999999999999999E-4</v>
      </c>
      <c r="O49" s="52">
        <v>-4.0999999999999999E-4</v>
      </c>
      <c r="P49" s="52">
        <v>-4.0999999999999999E-4</v>
      </c>
    </row>
    <row r="50" spans="1:18" x14ac:dyDescent="0.25">
      <c r="A50" s="41">
        <v>43708</v>
      </c>
      <c r="B50" s="52">
        <v>-4.6100000000000004E-3</v>
      </c>
      <c r="C50" s="52">
        <v>-2.2399999999999998E-3</v>
      </c>
      <c r="D50" s="52">
        <v>-2.2399999999999998E-3</v>
      </c>
      <c r="E50" s="52">
        <v>-1.83E-3</v>
      </c>
      <c r="F50" s="52">
        <v>-3.5400000000000002E-3</v>
      </c>
      <c r="G50" s="52">
        <v>-3.5400000000000002E-3</v>
      </c>
      <c r="H50" s="52">
        <v>-1.83E-3</v>
      </c>
      <c r="I50" s="52">
        <v>-2.2399999999999998E-3</v>
      </c>
      <c r="J50" s="52">
        <v>-6.8000000000000005E-4</v>
      </c>
      <c r="K50" s="52">
        <v>-6.8000000000000005E-4</v>
      </c>
      <c r="L50" s="52">
        <v>-4.0999999999999999E-4</v>
      </c>
      <c r="M50" s="52">
        <v>-4.0999999999999999E-4</v>
      </c>
      <c r="N50" s="52">
        <v>-4.0999999999999999E-4</v>
      </c>
      <c r="O50" s="52">
        <v>-4.0999999999999999E-4</v>
      </c>
      <c r="P50" s="52">
        <v>-4.0999999999999999E-4</v>
      </c>
    </row>
    <row r="51" spans="1:18" x14ac:dyDescent="0.25">
      <c r="A51" s="41">
        <v>43738</v>
      </c>
      <c r="B51" s="52">
        <v>-4.6100000000000004E-3</v>
      </c>
      <c r="C51" s="52">
        <v>-2.2399999999999998E-3</v>
      </c>
      <c r="D51" s="52">
        <v>-2.2399999999999998E-3</v>
      </c>
      <c r="E51" s="52">
        <v>-1.83E-3</v>
      </c>
      <c r="F51" s="52">
        <v>-3.5400000000000002E-3</v>
      </c>
      <c r="G51" s="52">
        <v>-3.5400000000000002E-3</v>
      </c>
      <c r="H51" s="52">
        <v>-1.83E-3</v>
      </c>
      <c r="I51" s="52">
        <v>-2.2399999999999998E-3</v>
      </c>
      <c r="J51" s="52">
        <v>-6.8000000000000005E-4</v>
      </c>
      <c r="K51" s="52">
        <v>-6.8000000000000005E-4</v>
      </c>
      <c r="L51" s="52">
        <v>-4.0999999999999999E-4</v>
      </c>
      <c r="M51" s="52">
        <v>-4.0999999999999999E-4</v>
      </c>
      <c r="N51" s="52">
        <v>-4.0999999999999999E-4</v>
      </c>
      <c r="O51" s="52">
        <v>-4.0999999999999999E-4</v>
      </c>
      <c r="P51" s="52">
        <v>-4.0999999999999999E-4</v>
      </c>
    </row>
    <row r="52" spans="1:18" x14ac:dyDescent="0.25">
      <c r="A52" s="41">
        <v>43769</v>
      </c>
      <c r="B52" s="52">
        <v>-4.6100000000000004E-3</v>
      </c>
      <c r="C52" s="52">
        <v>-2.2399999999999998E-3</v>
      </c>
      <c r="D52" s="52">
        <v>-2.2399999999999998E-3</v>
      </c>
      <c r="E52" s="52">
        <v>-1.83E-3</v>
      </c>
      <c r="F52" s="52">
        <v>-3.5400000000000002E-3</v>
      </c>
      <c r="G52" s="52">
        <v>-3.5400000000000002E-3</v>
      </c>
      <c r="H52" s="52">
        <v>-1.83E-3</v>
      </c>
      <c r="I52" s="52">
        <v>-2.2399999999999998E-3</v>
      </c>
      <c r="J52" s="52">
        <v>-6.8000000000000005E-4</v>
      </c>
      <c r="K52" s="52">
        <v>-6.8000000000000005E-4</v>
      </c>
      <c r="L52" s="52">
        <v>-4.0999999999999999E-4</v>
      </c>
      <c r="M52" s="52">
        <v>-4.0999999999999999E-4</v>
      </c>
      <c r="N52" s="52">
        <v>-4.0999999999999999E-4</v>
      </c>
      <c r="O52" s="52">
        <v>-4.0999999999999999E-4</v>
      </c>
      <c r="P52" s="52">
        <v>-4.0999999999999999E-4</v>
      </c>
      <c r="R52" s="40" t="s">
        <v>45</v>
      </c>
    </row>
    <row r="53" spans="1:18" x14ac:dyDescent="0.25">
      <c r="A53" s="41">
        <v>43799</v>
      </c>
      <c r="B53" s="52">
        <v>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R53" s="40" t="s">
        <v>46</v>
      </c>
    </row>
    <row r="54" spans="1:18" x14ac:dyDescent="0.25">
      <c r="A54" s="41">
        <v>43830</v>
      </c>
      <c r="B54" s="52">
        <v>0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</row>
    <row r="55" spans="1:18" x14ac:dyDescent="0.25">
      <c r="A55" s="41">
        <v>43861</v>
      </c>
      <c r="B55" s="52">
        <v>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</row>
    <row r="56" spans="1:18" x14ac:dyDescent="0.25">
      <c r="A56" s="41">
        <v>43890</v>
      </c>
      <c r="B56" s="52"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</row>
    <row r="57" spans="1:18" x14ac:dyDescent="0.25">
      <c r="A57" s="41">
        <v>43921</v>
      </c>
      <c r="B57" s="52"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</row>
    <row r="58" spans="1:18" x14ac:dyDescent="0.25">
      <c r="A58" s="41">
        <v>43951</v>
      </c>
      <c r="B58" s="52"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</row>
    <row r="59" spans="1:18" x14ac:dyDescent="0.25">
      <c r="A59" s="41">
        <v>43982</v>
      </c>
      <c r="B59" s="52"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</row>
    <row r="60" spans="1:18" x14ac:dyDescent="0.25">
      <c r="A60" s="41">
        <v>44012</v>
      </c>
      <c r="B60" s="52"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</row>
    <row r="61" spans="1:18" hidden="1" x14ac:dyDescent="0.25">
      <c r="A61" s="41">
        <v>44043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49"/>
      <c r="M61" s="49"/>
      <c r="N61" s="49"/>
      <c r="O61" s="49"/>
      <c r="P61" s="49"/>
    </row>
    <row r="62" spans="1:18" hidden="1" x14ac:dyDescent="0.25">
      <c r="A62" s="41">
        <v>44074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49"/>
      <c r="M62" s="49"/>
      <c r="N62" s="49"/>
      <c r="O62" s="49"/>
      <c r="P62" s="49"/>
    </row>
    <row r="63" spans="1:18" hidden="1" x14ac:dyDescent="0.25">
      <c r="A63" s="41">
        <v>44104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49"/>
      <c r="M63" s="49"/>
      <c r="N63" s="49"/>
      <c r="O63" s="49"/>
      <c r="P63" s="49"/>
    </row>
    <row r="64" spans="1:18" hidden="1" x14ac:dyDescent="0.25">
      <c r="A64" s="41">
        <v>44135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49"/>
      <c r="M64" s="49"/>
      <c r="N64" s="49"/>
      <c r="O64" s="49"/>
      <c r="P64" s="49"/>
    </row>
    <row r="65" spans="1:30" hidden="1" x14ac:dyDescent="0.25">
      <c r="A65" s="41">
        <v>44165</v>
      </c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49"/>
      <c r="M65" s="49"/>
      <c r="N65" s="49"/>
      <c r="O65" s="49"/>
      <c r="P65" s="49"/>
    </row>
    <row r="66" spans="1:30" hidden="1" x14ac:dyDescent="0.25">
      <c r="A66" s="41">
        <v>44196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49"/>
      <c r="M66" s="49"/>
      <c r="N66" s="49"/>
      <c r="O66" s="49"/>
      <c r="P66" s="49"/>
    </row>
    <row r="69" spans="1:30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0"/>
      <c r="L69" s="50"/>
      <c r="M69" s="50"/>
      <c r="N69" s="50"/>
      <c r="O69" s="50"/>
      <c r="P69" s="50"/>
    </row>
    <row r="70" spans="1:30" x14ac:dyDescent="0.25">
      <c r="B70" s="42">
        <v>503</v>
      </c>
      <c r="C70" s="42" t="s">
        <v>38</v>
      </c>
      <c r="D70" s="42">
        <v>505</v>
      </c>
      <c r="E70" s="42">
        <v>511</v>
      </c>
      <c r="F70" s="42" t="s">
        <v>39</v>
      </c>
      <c r="G70" s="42">
        <v>504</v>
      </c>
      <c r="H70" s="42" t="s">
        <v>41</v>
      </c>
      <c r="I70" s="42" t="s">
        <v>38</v>
      </c>
      <c r="J70" s="42">
        <v>570</v>
      </c>
      <c r="K70" s="42">
        <v>570</v>
      </c>
      <c r="L70" s="51">
        <v>6631</v>
      </c>
      <c r="M70" s="51">
        <v>6631</v>
      </c>
      <c r="N70" s="51">
        <v>6633</v>
      </c>
      <c r="O70" s="51">
        <v>6635</v>
      </c>
      <c r="P70" s="51">
        <v>916</v>
      </c>
      <c r="R70" s="45" t="s">
        <v>51</v>
      </c>
      <c r="T70" s="51">
        <v>4800</v>
      </c>
      <c r="U70" s="51">
        <v>4809</v>
      </c>
      <c r="V70" s="51">
        <v>4810</v>
      </c>
      <c r="W70" s="51">
        <v>4811</v>
      </c>
      <c r="X70" s="51">
        <v>4813</v>
      </c>
      <c r="Y70" s="51" t="s">
        <v>12</v>
      </c>
      <c r="Z70" s="51">
        <v>4861</v>
      </c>
      <c r="AA70" s="51">
        <v>4863</v>
      </c>
      <c r="AB70" s="51" t="s">
        <v>14</v>
      </c>
      <c r="AC70" s="45" t="s">
        <v>51</v>
      </c>
    </row>
    <row r="71" spans="1:30" hidden="1" x14ac:dyDescent="0.25">
      <c r="A71" s="41">
        <f>'TAX Interest Rates'!A17</f>
        <v>43343</v>
      </c>
      <c r="B71" s="44">
        <f t="shared" ref="B71:P71" si="4">ROUND(-B4*B38,2)</f>
        <v>4595.6899999999996</v>
      </c>
      <c r="C71" s="44">
        <f t="shared" si="4"/>
        <v>0</v>
      </c>
      <c r="D71" s="44">
        <f t="shared" si="4"/>
        <v>358.56</v>
      </c>
      <c r="E71" s="44">
        <f t="shared" si="4"/>
        <v>161.94</v>
      </c>
      <c r="F71" s="44">
        <f t="shared" si="4"/>
        <v>0.56000000000000005</v>
      </c>
      <c r="G71" s="44">
        <f t="shared" si="4"/>
        <v>3490.55</v>
      </c>
      <c r="H71" s="44">
        <f t="shared" si="4"/>
        <v>251.3</v>
      </c>
      <c r="I71" s="44">
        <f t="shared" si="4"/>
        <v>0.8</v>
      </c>
      <c r="J71" s="44">
        <f t="shared" si="4"/>
        <v>0</v>
      </c>
      <c r="K71" s="44">
        <f t="shared" si="4"/>
        <v>63.51</v>
      </c>
      <c r="L71" s="44">
        <f t="shared" si="4"/>
        <v>11039.24</v>
      </c>
      <c r="M71" s="44">
        <f t="shared" si="4"/>
        <v>0</v>
      </c>
      <c r="N71" s="44">
        <f t="shared" si="4"/>
        <v>5232.6400000000003</v>
      </c>
      <c r="O71" s="44">
        <f t="shared" si="4"/>
        <v>2170.33</v>
      </c>
      <c r="P71" s="44">
        <f t="shared" si="4"/>
        <v>5901.09</v>
      </c>
      <c r="R71" s="40">
        <f t="shared" ref="R71:R81" si="5">SUM(B71:Q71)</f>
        <v>33266.209999999992</v>
      </c>
      <c r="T71" s="40">
        <f>+B71</f>
        <v>4595.6899999999996</v>
      </c>
      <c r="U71" s="40">
        <f>+C71+D71+E71</f>
        <v>520.5</v>
      </c>
      <c r="V71" s="40">
        <f>+F71+G71+H71</f>
        <v>3742.4100000000003</v>
      </c>
      <c r="W71" s="40">
        <f>+I71+J71</f>
        <v>0.8</v>
      </c>
      <c r="X71" s="40">
        <f>+K71</f>
        <v>63.51</v>
      </c>
      <c r="Y71" s="40">
        <f>SUM(T71:X71)</f>
        <v>8922.91</v>
      </c>
      <c r="Z71" s="40">
        <f>+L71</f>
        <v>11039.24</v>
      </c>
      <c r="AA71" s="40">
        <f>+M71+N71+O71+P71</f>
        <v>13304.060000000001</v>
      </c>
      <c r="AB71" s="40">
        <f>SUM(Z71:AA71)</f>
        <v>24343.300000000003</v>
      </c>
      <c r="AC71" s="40">
        <f>+Y71+AB71</f>
        <v>33266.210000000006</v>
      </c>
    </row>
    <row r="72" spans="1:30" hidden="1" x14ac:dyDescent="0.25">
      <c r="A72" s="41">
        <f>'TAX Interest Rates'!A18</f>
        <v>43373</v>
      </c>
      <c r="B72" s="44">
        <f t="shared" ref="B72:O72" si="6">ROUND(-B5*B39,2)</f>
        <v>12950.36</v>
      </c>
      <c r="C72" s="44">
        <f t="shared" si="6"/>
        <v>-0.8</v>
      </c>
      <c r="D72" s="44">
        <f t="shared" si="6"/>
        <v>1451.56</v>
      </c>
      <c r="E72" s="44">
        <f t="shared" si="6"/>
        <v>441.05</v>
      </c>
      <c r="F72" s="44">
        <f t="shared" si="6"/>
        <v>1.77</v>
      </c>
      <c r="G72" s="44">
        <f t="shared" si="6"/>
        <v>9856.01</v>
      </c>
      <c r="H72" s="44">
        <f t="shared" si="6"/>
        <v>703.1</v>
      </c>
      <c r="I72" s="44">
        <f t="shared" si="6"/>
        <v>1.23</v>
      </c>
      <c r="J72" s="44">
        <f t="shared" si="6"/>
        <v>0</v>
      </c>
      <c r="K72" s="44">
        <f t="shared" si="6"/>
        <v>80.680000000000007</v>
      </c>
      <c r="L72" s="44">
        <f t="shared" si="6"/>
        <v>12489.06</v>
      </c>
      <c r="M72" s="44">
        <f t="shared" si="6"/>
        <v>6278.3</v>
      </c>
      <c r="N72" s="44">
        <f t="shared" si="6"/>
        <v>5896.22</v>
      </c>
      <c r="O72" s="44">
        <f t="shared" si="6"/>
        <v>853.17</v>
      </c>
      <c r="P72" s="44">
        <f t="shared" ref="P72:P85" si="7">ROUND(-P5*P39,2)</f>
        <v>0</v>
      </c>
      <c r="R72" s="40">
        <f t="shared" si="5"/>
        <v>51001.71</v>
      </c>
      <c r="T72" s="40">
        <f t="shared" ref="T72:T81" si="8">+B72</f>
        <v>12950.36</v>
      </c>
      <c r="U72" s="40">
        <f t="shared" ref="U72:U81" si="9">+C72+D72+E72</f>
        <v>1891.81</v>
      </c>
      <c r="V72" s="40">
        <f t="shared" ref="V72:V81" si="10">+F72+G72+H72</f>
        <v>10560.880000000001</v>
      </c>
      <c r="W72" s="40">
        <f t="shared" ref="W72:W81" si="11">+I72+J72</f>
        <v>1.23</v>
      </c>
      <c r="X72" s="40">
        <f t="shared" ref="X72:X81" si="12">+K72</f>
        <v>80.680000000000007</v>
      </c>
      <c r="Y72" s="40">
        <f t="shared" ref="Y72:Y81" si="13">SUM(T72:X72)</f>
        <v>25484.960000000003</v>
      </c>
      <c r="Z72" s="40">
        <f t="shared" ref="Z72:Z81" si="14">+L72</f>
        <v>12489.06</v>
      </c>
      <c r="AA72" s="40">
        <f t="shared" ref="AA72:AA81" si="15">+M72+N72+O72+P72</f>
        <v>13027.69</v>
      </c>
      <c r="AB72" s="40">
        <f t="shared" ref="AB72:AB81" si="16">SUM(Z72:AA72)</f>
        <v>25516.75</v>
      </c>
      <c r="AC72" s="40">
        <f t="shared" ref="AC72:AC81" si="17">+Y72+AB72</f>
        <v>51001.710000000006</v>
      </c>
      <c r="AD72" s="40">
        <f>+R72-Y72-AB72</f>
        <v>0</v>
      </c>
    </row>
    <row r="73" spans="1:30" hidden="1" x14ac:dyDescent="0.25">
      <c r="A73" s="41">
        <f>'TAX Interest Rates'!A19</f>
        <v>43404</v>
      </c>
      <c r="B73" s="44">
        <f t="shared" ref="B73:O73" si="18">ROUND(-B6*B40,2)</f>
        <v>24465.8</v>
      </c>
      <c r="C73" s="44">
        <f t="shared" si="18"/>
        <v>0</v>
      </c>
      <c r="D73" s="44">
        <f t="shared" si="18"/>
        <v>2310.75</v>
      </c>
      <c r="E73" s="44">
        <f t="shared" si="18"/>
        <v>818.25</v>
      </c>
      <c r="F73" s="44">
        <f t="shared" si="18"/>
        <v>7.36</v>
      </c>
      <c r="G73" s="44">
        <f t="shared" si="18"/>
        <v>15079.57</v>
      </c>
      <c r="H73" s="44">
        <f t="shared" si="18"/>
        <v>1234.57</v>
      </c>
      <c r="I73" s="44">
        <f t="shared" si="18"/>
        <v>0.05</v>
      </c>
      <c r="J73" s="44">
        <f t="shared" si="18"/>
        <v>0</v>
      </c>
      <c r="K73" s="44">
        <f t="shared" si="18"/>
        <v>134.46</v>
      </c>
      <c r="L73" s="44">
        <f t="shared" si="18"/>
        <v>13303.92</v>
      </c>
      <c r="M73" s="44">
        <f t="shared" si="18"/>
        <v>3162.87</v>
      </c>
      <c r="N73" s="44">
        <f t="shared" si="18"/>
        <v>1653.97</v>
      </c>
      <c r="O73" s="44">
        <f t="shared" si="18"/>
        <v>820.63</v>
      </c>
      <c r="P73" s="44">
        <f t="shared" si="7"/>
        <v>0</v>
      </c>
      <c r="R73" s="40">
        <f t="shared" si="5"/>
        <v>62992.2</v>
      </c>
      <c r="T73" s="40">
        <f t="shared" si="8"/>
        <v>24465.8</v>
      </c>
      <c r="U73" s="40">
        <f t="shared" si="9"/>
        <v>3129</v>
      </c>
      <c r="V73" s="40">
        <f t="shared" si="10"/>
        <v>16321.5</v>
      </c>
      <c r="W73" s="40">
        <f t="shared" si="11"/>
        <v>0.05</v>
      </c>
      <c r="X73" s="40">
        <f t="shared" si="12"/>
        <v>134.46</v>
      </c>
      <c r="Y73" s="40">
        <f t="shared" si="13"/>
        <v>44050.810000000005</v>
      </c>
      <c r="Z73" s="40">
        <f t="shared" si="14"/>
        <v>13303.92</v>
      </c>
      <c r="AA73" s="40">
        <f t="shared" si="15"/>
        <v>5637.47</v>
      </c>
      <c r="AB73" s="40">
        <f t="shared" si="16"/>
        <v>18941.39</v>
      </c>
      <c r="AC73" s="40">
        <f t="shared" si="17"/>
        <v>62992.200000000004</v>
      </c>
      <c r="AD73" s="40">
        <f t="shared" ref="AD73:AD81" si="19">+R73-Y73-AB73</f>
        <v>0</v>
      </c>
    </row>
    <row r="74" spans="1:30" hidden="1" x14ac:dyDescent="0.25">
      <c r="A74" s="41">
        <f>'TAX Interest Rates'!A20</f>
        <v>43434</v>
      </c>
      <c r="B74" s="44">
        <f t="shared" ref="B74:O74" si="20">ROUND(-B7*B41,2)</f>
        <v>41309.89</v>
      </c>
      <c r="C74" s="44">
        <f t="shared" si="20"/>
        <v>0.14000000000000001</v>
      </c>
      <c r="D74" s="44">
        <f t="shared" si="20"/>
        <v>2216.17</v>
      </c>
      <c r="E74" s="44">
        <f t="shared" si="20"/>
        <v>338.6</v>
      </c>
      <c r="F74" s="44">
        <f t="shared" si="20"/>
        <v>12.26</v>
      </c>
      <c r="G74" s="44">
        <f t="shared" si="20"/>
        <v>21784.74</v>
      </c>
      <c r="H74" s="44">
        <f t="shared" si="20"/>
        <v>1448.89</v>
      </c>
      <c r="I74" s="44">
        <f t="shared" si="20"/>
        <v>0</v>
      </c>
      <c r="J74" s="44">
        <f t="shared" si="20"/>
        <v>0</v>
      </c>
      <c r="K74" s="44">
        <f t="shared" si="20"/>
        <v>148.03</v>
      </c>
      <c r="L74" s="44">
        <f t="shared" si="20"/>
        <v>10638.98</v>
      </c>
      <c r="M74" s="44">
        <f t="shared" si="20"/>
        <v>31.47</v>
      </c>
      <c r="N74" s="44">
        <f t="shared" si="20"/>
        <v>11.56</v>
      </c>
      <c r="O74" s="44">
        <f t="shared" si="20"/>
        <v>13.9</v>
      </c>
      <c r="P74" s="44">
        <f t="shared" si="7"/>
        <v>0</v>
      </c>
      <c r="R74" s="40">
        <f t="shared" si="5"/>
        <v>77954.62999999999</v>
      </c>
      <c r="T74" s="40">
        <f t="shared" si="8"/>
        <v>41309.89</v>
      </c>
      <c r="U74" s="40">
        <f t="shared" si="9"/>
        <v>2554.91</v>
      </c>
      <c r="V74" s="40">
        <f t="shared" si="10"/>
        <v>23245.89</v>
      </c>
      <c r="W74" s="40">
        <f t="shared" si="11"/>
        <v>0</v>
      </c>
      <c r="X74" s="40">
        <f t="shared" si="12"/>
        <v>148.03</v>
      </c>
      <c r="Y74" s="40">
        <f t="shared" si="13"/>
        <v>67258.720000000001</v>
      </c>
      <c r="Z74" s="40">
        <f t="shared" si="14"/>
        <v>10638.98</v>
      </c>
      <c r="AA74" s="40">
        <f t="shared" si="15"/>
        <v>56.93</v>
      </c>
      <c r="AB74" s="40">
        <f t="shared" si="16"/>
        <v>10695.91</v>
      </c>
      <c r="AC74" s="40">
        <f t="shared" si="17"/>
        <v>77954.63</v>
      </c>
      <c r="AD74" s="40">
        <f t="shared" si="19"/>
        <v>0</v>
      </c>
    </row>
    <row r="75" spans="1:30" hidden="1" x14ac:dyDescent="0.25">
      <c r="A75" s="41">
        <f>'TAX Interest Rates'!A21</f>
        <v>43465</v>
      </c>
      <c r="B75" s="44">
        <f t="shared" ref="B75:O75" si="21">ROUND(-B8*B42,2)</f>
        <v>78513.84</v>
      </c>
      <c r="C75" s="44">
        <f t="shared" si="21"/>
        <v>-0.14000000000000001</v>
      </c>
      <c r="D75" s="44">
        <f t="shared" si="21"/>
        <v>3304.66</v>
      </c>
      <c r="E75" s="44">
        <f t="shared" si="21"/>
        <v>558.67999999999995</v>
      </c>
      <c r="F75" s="44">
        <f t="shared" si="21"/>
        <v>17.399999999999999</v>
      </c>
      <c r="G75" s="44">
        <f t="shared" si="21"/>
        <v>40569.07</v>
      </c>
      <c r="H75" s="44">
        <f t="shared" si="21"/>
        <v>2532.0700000000002</v>
      </c>
      <c r="I75" s="44">
        <f t="shared" si="21"/>
        <v>0.32</v>
      </c>
      <c r="J75" s="44">
        <f t="shared" si="21"/>
        <v>0</v>
      </c>
      <c r="K75" s="44">
        <f t="shared" si="21"/>
        <v>177.13</v>
      </c>
      <c r="L75" s="44">
        <f t="shared" si="21"/>
        <v>12032.21</v>
      </c>
      <c r="M75" s="44">
        <f t="shared" si="21"/>
        <v>5896.86</v>
      </c>
      <c r="N75" s="44">
        <f t="shared" si="21"/>
        <v>1824.76</v>
      </c>
      <c r="O75" s="44">
        <f t="shared" si="21"/>
        <v>23.57</v>
      </c>
      <c r="P75" s="44">
        <f t="shared" si="7"/>
        <v>0</v>
      </c>
      <c r="R75" s="40">
        <f t="shared" si="5"/>
        <v>145450.43</v>
      </c>
      <c r="T75" s="40">
        <f t="shared" si="8"/>
        <v>78513.84</v>
      </c>
      <c r="U75" s="40">
        <f t="shared" si="9"/>
        <v>3863.2</v>
      </c>
      <c r="V75" s="40">
        <f t="shared" si="10"/>
        <v>43118.54</v>
      </c>
      <c r="W75" s="40">
        <f t="shared" si="11"/>
        <v>0.32</v>
      </c>
      <c r="X75" s="40">
        <f t="shared" si="12"/>
        <v>177.13</v>
      </c>
      <c r="Y75" s="40">
        <f t="shared" si="13"/>
        <v>125673.03</v>
      </c>
      <c r="Z75" s="40">
        <f t="shared" si="14"/>
        <v>12032.21</v>
      </c>
      <c r="AA75" s="40">
        <f t="shared" si="15"/>
        <v>7745.19</v>
      </c>
      <c r="AB75" s="40">
        <f t="shared" si="16"/>
        <v>19777.399999999998</v>
      </c>
      <c r="AC75" s="40">
        <f t="shared" si="17"/>
        <v>145450.43</v>
      </c>
      <c r="AD75" s="40">
        <f t="shared" si="19"/>
        <v>0</v>
      </c>
    </row>
    <row r="76" spans="1:30" hidden="1" x14ac:dyDescent="0.25">
      <c r="A76" s="41">
        <f>'TAX Interest Rates'!A22</f>
        <v>43496</v>
      </c>
      <c r="B76" s="44">
        <f t="shared" ref="B76:O76" si="22">ROUND(-B9*B43,2)</f>
        <v>89551.92</v>
      </c>
      <c r="C76" s="44">
        <f t="shared" si="22"/>
        <v>0</v>
      </c>
      <c r="D76" s="44">
        <f t="shared" si="22"/>
        <v>3211.52</v>
      </c>
      <c r="E76" s="44">
        <f t="shared" si="22"/>
        <v>605.65</v>
      </c>
      <c r="F76" s="44">
        <f t="shared" si="22"/>
        <v>16.38</v>
      </c>
      <c r="G76" s="44">
        <f t="shared" si="22"/>
        <v>46437.599999999999</v>
      </c>
      <c r="H76" s="44">
        <f t="shared" si="22"/>
        <v>2704.08</v>
      </c>
      <c r="I76" s="44">
        <f t="shared" si="22"/>
        <v>0.02</v>
      </c>
      <c r="J76" s="44">
        <f t="shared" si="22"/>
        <v>0</v>
      </c>
      <c r="K76" s="44">
        <f t="shared" si="22"/>
        <v>175.99</v>
      </c>
      <c r="L76" s="44">
        <f t="shared" si="22"/>
        <v>12741.54</v>
      </c>
      <c r="M76" s="44">
        <f t="shared" si="22"/>
        <v>6127.24</v>
      </c>
      <c r="N76" s="44">
        <f t="shared" si="22"/>
        <v>1676.12</v>
      </c>
      <c r="O76" s="44">
        <f t="shared" si="22"/>
        <v>43.5</v>
      </c>
      <c r="P76" s="44">
        <f t="shared" si="7"/>
        <v>0</v>
      </c>
      <c r="R76" s="40">
        <f t="shared" si="5"/>
        <v>163291.55999999997</v>
      </c>
      <c r="T76" s="40">
        <f t="shared" si="8"/>
        <v>89551.92</v>
      </c>
      <c r="U76" s="40">
        <f t="shared" si="9"/>
        <v>3817.17</v>
      </c>
      <c r="V76" s="40">
        <f t="shared" si="10"/>
        <v>49158.06</v>
      </c>
      <c r="W76" s="40">
        <f t="shared" si="11"/>
        <v>0.02</v>
      </c>
      <c r="X76" s="40">
        <f t="shared" si="12"/>
        <v>175.99</v>
      </c>
      <c r="Y76" s="40">
        <f t="shared" si="13"/>
        <v>142703.15999999997</v>
      </c>
      <c r="Z76" s="40">
        <f t="shared" si="14"/>
        <v>12741.54</v>
      </c>
      <c r="AA76" s="40">
        <f t="shared" si="15"/>
        <v>7846.86</v>
      </c>
      <c r="AB76" s="40">
        <f t="shared" si="16"/>
        <v>20588.400000000001</v>
      </c>
      <c r="AC76" s="40">
        <f t="shared" si="17"/>
        <v>163291.55999999997</v>
      </c>
      <c r="AD76" s="40">
        <f t="shared" si="19"/>
        <v>0</v>
      </c>
    </row>
    <row r="77" spans="1:30" hidden="1" x14ac:dyDescent="0.25">
      <c r="A77" s="41">
        <f>'TAX Interest Rates'!A23</f>
        <v>43524</v>
      </c>
      <c r="B77" s="44">
        <f t="shared" ref="B77:O77" si="23">ROUND(-B10*B44,2)</f>
        <v>96010.13</v>
      </c>
      <c r="C77" s="44">
        <f t="shared" si="23"/>
        <v>0</v>
      </c>
      <c r="D77" s="44">
        <f t="shared" si="23"/>
        <v>3620.17</v>
      </c>
      <c r="E77" s="44">
        <f t="shared" si="23"/>
        <v>596.52</v>
      </c>
      <c r="F77" s="44">
        <f t="shared" si="23"/>
        <v>19.420000000000002</v>
      </c>
      <c r="G77" s="44">
        <f t="shared" si="23"/>
        <v>49518.32</v>
      </c>
      <c r="H77" s="44">
        <f t="shared" si="23"/>
        <v>2795.32</v>
      </c>
      <c r="I77" s="44">
        <f t="shared" si="23"/>
        <v>0</v>
      </c>
      <c r="J77" s="44">
        <f t="shared" si="23"/>
        <v>0</v>
      </c>
      <c r="K77" s="44">
        <f t="shared" si="23"/>
        <v>183.73</v>
      </c>
      <c r="L77" s="44">
        <f t="shared" si="23"/>
        <v>12392.34</v>
      </c>
      <c r="M77" s="44">
        <f t="shared" si="23"/>
        <v>3037.63</v>
      </c>
      <c r="N77" s="44">
        <f t="shared" si="23"/>
        <v>2397.15</v>
      </c>
      <c r="O77" s="44">
        <f t="shared" si="23"/>
        <v>93.77</v>
      </c>
      <c r="P77" s="44">
        <f t="shared" si="7"/>
        <v>0</v>
      </c>
      <c r="R77" s="40">
        <f t="shared" si="5"/>
        <v>170664.5</v>
      </c>
      <c r="T77" s="40">
        <f t="shared" si="8"/>
        <v>96010.13</v>
      </c>
      <c r="U77" s="40">
        <f t="shared" si="9"/>
        <v>4216.6900000000005</v>
      </c>
      <c r="V77" s="40">
        <f t="shared" si="10"/>
        <v>52333.06</v>
      </c>
      <c r="W77" s="40">
        <f t="shared" si="11"/>
        <v>0</v>
      </c>
      <c r="X77" s="40">
        <f t="shared" si="12"/>
        <v>183.73</v>
      </c>
      <c r="Y77" s="40">
        <f t="shared" si="13"/>
        <v>152743.61000000002</v>
      </c>
      <c r="Z77" s="40">
        <f t="shared" si="14"/>
        <v>12392.34</v>
      </c>
      <c r="AA77" s="40">
        <f t="shared" si="15"/>
        <v>5528.5500000000011</v>
      </c>
      <c r="AB77" s="40">
        <f t="shared" si="16"/>
        <v>17920.89</v>
      </c>
      <c r="AC77" s="40">
        <f t="shared" si="17"/>
        <v>170664.5</v>
      </c>
      <c r="AD77" s="40">
        <f t="shared" si="19"/>
        <v>0</v>
      </c>
    </row>
    <row r="78" spans="1:30" hidden="1" x14ac:dyDescent="0.25">
      <c r="A78" s="41">
        <f>'TAX Interest Rates'!A24</f>
        <v>43555</v>
      </c>
      <c r="B78" s="44">
        <f t="shared" ref="B78:O78" si="24">ROUND(-B11*B45,2)</f>
        <v>103294.78</v>
      </c>
      <c r="C78" s="44">
        <f t="shared" si="24"/>
        <v>0</v>
      </c>
      <c r="D78" s="44">
        <f t="shared" si="24"/>
        <v>4020.19</v>
      </c>
      <c r="E78" s="44">
        <f t="shared" si="24"/>
        <v>630.34</v>
      </c>
      <c r="F78" s="44">
        <f t="shared" si="24"/>
        <v>12.49</v>
      </c>
      <c r="G78" s="44">
        <f t="shared" si="24"/>
        <v>56434.06</v>
      </c>
      <c r="H78" s="44">
        <f t="shared" si="24"/>
        <v>3019.7</v>
      </c>
      <c r="I78" s="44">
        <f t="shared" si="24"/>
        <v>0</v>
      </c>
      <c r="J78" s="44">
        <f t="shared" si="24"/>
        <v>0</v>
      </c>
      <c r="K78" s="44">
        <f t="shared" si="24"/>
        <v>168.74</v>
      </c>
      <c r="L78" s="44">
        <f t="shared" si="24"/>
        <v>12070.88</v>
      </c>
      <c r="M78" s="44">
        <f t="shared" si="24"/>
        <v>4025.24</v>
      </c>
      <c r="N78" s="44">
        <f t="shared" si="24"/>
        <v>1266.1400000000001</v>
      </c>
      <c r="O78" s="44">
        <f t="shared" si="24"/>
        <v>0</v>
      </c>
      <c r="P78" s="44">
        <f t="shared" si="7"/>
        <v>0</v>
      </c>
      <c r="R78" s="40">
        <f t="shared" si="5"/>
        <v>184942.56</v>
      </c>
      <c r="T78" s="40">
        <f t="shared" si="8"/>
        <v>103294.78</v>
      </c>
      <c r="U78" s="40">
        <f t="shared" si="9"/>
        <v>4650.53</v>
      </c>
      <c r="V78" s="40">
        <f t="shared" si="10"/>
        <v>59466.249999999993</v>
      </c>
      <c r="W78" s="40">
        <f t="shared" si="11"/>
        <v>0</v>
      </c>
      <c r="X78" s="40">
        <f t="shared" si="12"/>
        <v>168.74</v>
      </c>
      <c r="Y78" s="40">
        <f t="shared" si="13"/>
        <v>167580.29999999999</v>
      </c>
      <c r="Z78" s="40">
        <f t="shared" si="14"/>
        <v>12070.88</v>
      </c>
      <c r="AA78" s="40">
        <f t="shared" si="15"/>
        <v>5291.38</v>
      </c>
      <c r="AB78" s="40">
        <f t="shared" si="16"/>
        <v>17362.259999999998</v>
      </c>
      <c r="AC78" s="40">
        <f t="shared" si="17"/>
        <v>184942.56</v>
      </c>
      <c r="AD78" s="40">
        <f t="shared" si="19"/>
        <v>0</v>
      </c>
    </row>
    <row r="79" spans="1:30" hidden="1" x14ac:dyDescent="0.25">
      <c r="A79" s="41">
        <f>'TAX Interest Rates'!A25</f>
        <v>43585</v>
      </c>
      <c r="B79" s="44">
        <f t="shared" ref="B79:O79" si="25">ROUND(-B12*B46,2)</f>
        <v>56529.47</v>
      </c>
      <c r="C79" s="44">
        <f t="shared" si="25"/>
        <v>0</v>
      </c>
      <c r="D79" s="44">
        <f t="shared" si="25"/>
        <v>2982.13</v>
      </c>
      <c r="E79" s="44">
        <f t="shared" si="25"/>
        <v>620.46</v>
      </c>
      <c r="F79" s="44">
        <f t="shared" si="25"/>
        <v>7.99</v>
      </c>
      <c r="G79" s="44">
        <f t="shared" si="25"/>
        <v>32201.78</v>
      </c>
      <c r="H79" s="44">
        <f t="shared" si="25"/>
        <v>1882.78</v>
      </c>
      <c r="I79" s="44">
        <f t="shared" si="25"/>
        <v>0.28999999999999998</v>
      </c>
      <c r="J79" s="44">
        <f t="shared" si="25"/>
        <v>0</v>
      </c>
      <c r="K79" s="44">
        <f t="shared" si="25"/>
        <v>130.19999999999999</v>
      </c>
      <c r="L79" s="44">
        <f t="shared" si="25"/>
        <v>11401.66</v>
      </c>
      <c r="M79" s="44">
        <f t="shared" si="25"/>
        <v>3113.62</v>
      </c>
      <c r="N79" s="44">
        <f t="shared" si="25"/>
        <v>1045.95</v>
      </c>
      <c r="O79" s="44">
        <f t="shared" si="25"/>
        <v>9.9499999999999993</v>
      </c>
      <c r="P79" s="44">
        <f t="shared" si="7"/>
        <v>0</v>
      </c>
      <c r="R79" s="40">
        <f t="shared" si="5"/>
        <v>109926.27999999997</v>
      </c>
      <c r="T79" s="40">
        <f t="shared" si="8"/>
        <v>56529.47</v>
      </c>
      <c r="U79" s="40">
        <f t="shared" si="9"/>
        <v>3602.59</v>
      </c>
      <c r="V79" s="40">
        <f t="shared" si="10"/>
        <v>34092.550000000003</v>
      </c>
      <c r="W79" s="40">
        <f t="shared" si="11"/>
        <v>0.28999999999999998</v>
      </c>
      <c r="X79" s="40">
        <f t="shared" si="12"/>
        <v>130.19999999999999</v>
      </c>
      <c r="Y79" s="40">
        <f t="shared" si="13"/>
        <v>94355.099999999991</v>
      </c>
      <c r="Z79" s="40">
        <f t="shared" si="14"/>
        <v>11401.66</v>
      </c>
      <c r="AA79" s="40">
        <f t="shared" si="15"/>
        <v>4169.5199999999995</v>
      </c>
      <c r="AB79" s="40">
        <f t="shared" si="16"/>
        <v>15571.18</v>
      </c>
      <c r="AC79" s="40">
        <f t="shared" si="17"/>
        <v>109926.28</v>
      </c>
      <c r="AD79" s="40">
        <f t="shared" si="19"/>
        <v>-2.1827872842550278E-11</v>
      </c>
    </row>
    <row r="80" spans="1:30" hidden="1" x14ac:dyDescent="0.25">
      <c r="A80" s="41">
        <f>'TAX Interest Rates'!A26</f>
        <v>43616</v>
      </c>
      <c r="B80" s="44">
        <f t="shared" ref="B80:O80" si="26">ROUND(-B13*B47,2)</f>
        <v>34158.11</v>
      </c>
      <c r="C80" s="44">
        <f t="shared" si="26"/>
        <v>0</v>
      </c>
      <c r="D80" s="44">
        <f t="shared" si="26"/>
        <v>1769.33</v>
      </c>
      <c r="E80" s="44">
        <f t="shared" si="26"/>
        <v>489.82</v>
      </c>
      <c r="F80" s="44">
        <f t="shared" si="26"/>
        <v>2.2799999999999998</v>
      </c>
      <c r="G80" s="44">
        <f t="shared" si="26"/>
        <v>19011.68</v>
      </c>
      <c r="H80" s="44">
        <f t="shared" si="26"/>
        <v>1266.74</v>
      </c>
      <c r="I80" s="44">
        <f t="shared" si="26"/>
        <v>0.34</v>
      </c>
      <c r="J80" s="44">
        <f t="shared" si="26"/>
        <v>0</v>
      </c>
      <c r="K80" s="44">
        <f t="shared" si="26"/>
        <v>96.73</v>
      </c>
      <c r="L80" s="44">
        <f t="shared" si="26"/>
        <v>12237.64</v>
      </c>
      <c r="M80" s="44">
        <f t="shared" si="26"/>
        <v>2189.67</v>
      </c>
      <c r="N80" s="44">
        <f t="shared" si="26"/>
        <v>156.61000000000001</v>
      </c>
      <c r="O80" s="44">
        <f t="shared" si="26"/>
        <v>95.96</v>
      </c>
      <c r="P80" s="44">
        <f t="shared" si="7"/>
        <v>0</v>
      </c>
      <c r="R80" s="40">
        <f t="shared" si="5"/>
        <v>71474.91</v>
      </c>
      <c r="T80" s="40">
        <f t="shared" si="8"/>
        <v>34158.11</v>
      </c>
      <c r="U80" s="40">
        <f t="shared" si="9"/>
        <v>2259.15</v>
      </c>
      <c r="V80" s="40">
        <f t="shared" si="10"/>
        <v>20280.7</v>
      </c>
      <c r="W80" s="40">
        <f t="shared" si="11"/>
        <v>0.34</v>
      </c>
      <c r="X80" s="40">
        <f t="shared" si="12"/>
        <v>96.73</v>
      </c>
      <c r="Y80" s="40">
        <f t="shared" si="13"/>
        <v>56795.030000000006</v>
      </c>
      <c r="Z80" s="40">
        <f t="shared" si="14"/>
        <v>12237.64</v>
      </c>
      <c r="AA80" s="40">
        <f t="shared" si="15"/>
        <v>2442.2400000000002</v>
      </c>
      <c r="AB80" s="40">
        <f t="shared" si="16"/>
        <v>14679.88</v>
      </c>
      <c r="AC80" s="40">
        <f t="shared" si="17"/>
        <v>71474.91</v>
      </c>
      <c r="AD80" s="40">
        <f t="shared" si="19"/>
        <v>0</v>
      </c>
    </row>
    <row r="81" spans="1:30" hidden="1" x14ac:dyDescent="0.25">
      <c r="A81" s="41">
        <f>'TAX Interest Rates'!A27</f>
        <v>43646</v>
      </c>
      <c r="B81" s="44">
        <f t="shared" ref="B81:O81" si="27">ROUND(-B14*B48,2)</f>
        <v>18655.310000000001</v>
      </c>
      <c r="C81" s="44">
        <f t="shared" si="27"/>
        <v>0</v>
      </c>
      <c r="D81" s="44">
        <f t="shared" si="27"/>
        <v>1297.05</v>
      </c>
      <c r="E81" s="44">
        <f t="shared" si="27"/>
        <v>503.32</v>
      </c>
      <c r="F81" s="44">
        <f t="shared" si="27"/>
        <v>1.3</v>
      </c>
      <c r="G81" s="44">
        <f t="shared" si="27"/>
        <v>12267.81</v>
      </c>
      <c r="H81" s="44">
        <f t="shared" si="27"/>
        <v>878.3</v>
      </c>
      <c r="I81" s="44">
        <f t="shared" si="27"/>
        <v>0</v>
      </c>
      <c r="J81" s="44">
        <f t="shared" si="27"/>
        <v>0</v>
      </c>
      <c r="K81" s="44">
        <f t="shared" si="27"/>
        <v>75.47</v>
      </c>
      <c r="L81" s="44">
        <f t="shared" si="27"/>
        <v>11094.68</v>
      </c>
      <c r="M81" s="44">
        <f t="shared" si="27"/>
        <v>3208.06</v>
      </c>
      <c r="N81" s="44">
        <f t="shared" si="27"/>
        <v>2778.5</v>
      </c>
      <c r="O81" s="44">
        <f t="shared" si="27"/>
        <v>456.29</v>
      </c>
      <c r="P81" s="44">
        <f t="shared" si="7"/>
        <v>0</v>
      </c>
      <c r="R81" s="40">
        <f t="shared" si="5"/>
        <v>51216.090000000004</v>
      </c>
      <c r="T81" s="40">
        <f t="shared" si="8"/>
        <v>18655.310000000001</v>
      </c>
      <c r="U81" s="40">
        <f t="shared" si="9"/>
        <v>1800.37</v>
      </c>
      <c r="V81" s="40">
        <f t="shared" si="10"/>
        <v>13147.409999999998</v>
      </c>
      <c r="W81" s="40">
        <f t="shared" si="11"/>
        <v>0</v>
      </c>
      <c r="X81" s="40">
        <f t="shared" si="12"/>
        <v>75.47</v>
      </c>
      <c r="Y81" s="40">
        <f t="shared" si="13"/>
        <v>33678.559999999998</v>
      </c>
      <c r="Z81" s="40">
        <f t="shared" si="14"/>
        <v>11094.68</v>
      </c>
      <c r="AA81" s="40">
        <f t="shared" si="15"/>
        <v>6442.8499999999995</v>
      </c>
      <c r="AB81" s="40">
        <f t="shared" si="16"/>
        <v>17537.53</v>
      </c>
      <c r="AC81" s="40">
        <f t="shared" si="17"/>
        <v>51216.09</v>
      </c>
      <c r="AD81" s="40">
        <f t="shared" si="19"/>
        <v>0</v>
      </c>
    </row>
    <row r="82" spans="1:30" x14ac:dyDescent="0.25">
      <c r="A82" s="41">
        <f>'TAX Interest Rates'!A28</f>
        <v>43677</v>
      </c>
      <c r="B82" s="44">
        <f t="shared" ref="B82:O82" si="28">ROUND(-B15*B49,2)</f>
        <v>14832.8</v>
      </c>
      <c r="C82" s="44">
        <f t="shared" si="28"/>
        <v>0</v>
      </c>
      <c r="D82" s="44">
        <f t="shared" si="28"/>
        <v>1203.26</v>
      </c>
      <c r="E82" s="44">
        <f t="shared" si="28"/>
        <v>576.80999999999995</v>
      </c>
      <c r="F82" s="44">
        <f t="shared" si="28"/>
        <v>0.55000000000000004</v>
      </c>
      <c r="G82" s="44">
        <f t="shared" si="28"/>
        <v>10813.03</v>
      </c>
      <c r="H82" s="44">
        <f t="shared" si="28"/>
        <v>743.15</v>
      </c>
      <c r="I82" s="44">
        <f t="shared" si="28"/>
        <v>0.37</v>
      </c>
      <c r="J82" s="44">
        <f t="shared" si="28"/>
        <v>0</v>
      </c>
      <c r="K82" s="44">
        <f t="shared" si="28"/>
        <v>81.62</v>
      </c>
      <c r="L82" s="44">
        <f t="shared" si="28"/>
        <v>10690.88</v>
      </c>
      <c r="M82" s="44">
        <f t="shared" si="28"/>
        <v>5945.49</v>
      </c>
      <c r="N82" s="44">
        <f t="shared" si="28"/>
        <v>5790.36</v>
      </c>
      <c r="O82" s="44">
        <f t="shared" si="28"/>
        <v>2070.71</v>
      </c>
      <c r="P82" s="44">
        <f t="shared" si="7"/>
        <v>0</v>
      </c>
      <c r="R82" s="40">
        <f t="shared" ref="R82:R88" si="29">SUM(B82:Q82)</f>
        <v>52749.029999999992</v>
      </c>
      <c r="T82" s="40">
        <f t="shared" ref="T82:T88" si="30">+B82</f>
        <v>14832.8</v>
      </c>
      <c r="U82" s="40">
        <f t="shared" ref="U82:U88" si="31">+C82+D82+E82</f>
        <v>1780.07</v>
      </c>
      <c r="V82" s="40">
        <f t="shared" ref="V82:V88" si="32">+F82+G82+H82</f>
        <v>11556.73</v>
      </c>
      <c r="W82" s="40">
        <f t="shared" ref="W82:W88" si="33">+I82+J82</f>
        <v>0.37</v>
      </c>
      <c r="X82" s="40">
        <f t="shared" ref="X82:X88" si="34">+K82</f>
        <v>81.62</v>
      </c>
      <c r="Y82" s="40">
        <f t="shared" ref="Y82:Y88" si="35">SUM(T82:X82)</f>
        <v>28251.589999999997</v>
      </c>
      <c r="Z82" s="40">
        <f t="shared" ref="Z82:Z88" si="36">+L82</f>
        <v>10690.88</v>
      </c>
      <c r="AA82" s="40">
        <f t="shared" ref="AA82:AA88" si="37">+M82+N82+O82+P82</f>
        <v>13806.559999999998</v>
      </c>
      <c r="AB82" s="40">
        <f t="shared" ref="AB82:AB88" si="38">SUM(Z82:AA82)</f>
        <v>24497.439999999995</v>
      </c>
      <c r="AC82" s="40">
        <f t="shared" ref="AC82:AC88" si="39">+Y82+AB82</f>
        <v>52749.029999999992</v>
      </c>
      <c r="AD82" s="40">
        <f t="shared" ref="AD82:AD88" si="40">+R82-Y82-AB82</f>
        <v>0</v>
      </c>
    </row>
    <row r="83" spans="1:30" x14ac:dyDescent="0.25">
      <c r="A83" s="41">
        <f>'TAX Interest Rates'!A29</f>
        <v>43708</v>
      </c>
      <c r="B83" s="44">
        <f t="shared" ref="B83:O83" si="41">ROUND(-B16*B50,2)</f>
        <v>12793.2</v>
      </c>
      <c r="C83" s="44">
        <f t="shared" si="41"/>
        <v>0</v>
      </c>
      <c r="D83" s="44">
        <f t="shared" si="41"/>
        <v>1264.26</v>
      </c>
      <c r="E83" s="44">
        <f t="shared" si="41"/>
        <v>641.99</v>
      </c>
      <c r="F83" s="44">
        <f t="shared" si="41"/>
        <v>0.49</v>
      </c>
      <c r="G83" s="44">
        <f t="shared" si="41"/>
        <v>9882.8700000000008</v>
      </c>
      <c r="H83" s="44">
        <f t="shared" si="41"/>
        <v>733.69</v>
      </c>
      <c r="I83" s="44">
        <f t="shared" si="41"/>
        <v>0</v>
      </c>
      <c r="J83" s="44">
        <f t="shared" si="41"/>
        <v>0</v>
      </c>
      <c r="K83" s="44">
        <f t="shared" si="41"/>
        <v>63.67</v>
      </c>
      <c r="L83" s="44">
        <f t="shared" si="41"/>
        <v>11558.36</v>
      </c>
      <c r="M83" s="44">
        <f t="shared" si="41"/>
        <v>6627.52</v>
      </c>
      <c r="N83" s="44">
        <f t="shared" si="41"/>
        <v>6398.17</v>
      </c>
      <c r="O83" s="44">
        <f t="shared" si="41"/>
        <v>3895.39</v>
      </c>
      <c r="P83" s="44">
        <f t="shared" si="7"/>
        <v>0</v>
      </c>
      <c r="R83" s="40">
        <f t="shared" si="29"/>
        <v>53859.61</v>
      </c>
      <c r="T83" s="40">
        <f t="shared" si="30"/>
        <v>12793.2</v>
      </c>
      <c r="U83" s="40">
        <f t="shared" si="31"/>
        <v>1906.25</v>
      </c>
      <c r="V83" s="40">
        <f t="shared" si="32"/>
        <v>10617.050000000001</v>
      </c>
      <c r="W83" s="40">
        <f t="shared" si="33"/>
        <v>0</v>
      </c>
      <c r="X83" s="40">
        <f t="shared" si="34"/>
        <v>63.67</v>
      </c>
      <c r="Y83" s="40">
        <f t="shared" si="35"/>
        <v>25380.17</v>
      </c>
      <c r="Z83" s="40">
        <f t="shared" si="36"/>
        <v>11558.36</v>
      </c>
      <c r="AA83" s="40">
        <f t="shared" si="37"/>
        <v>16921.080000000002</v>
      </c>
      <c r="AB83" s="40">
        <f t="shared" si="38"/>
        <v>28479.440000000002</v>
      </c>
      <c r="AC83" s="40">
        <f t="shared" si="39"/>
        <v>53859.61</v>
      </c>
      <c r="AD83" s="40">
        <f t="shared" si="40"/>
        <v>0</v>
      </c>
    </row>
    <row r="84" spans="1:30" x14ac:dyDescent="0.25">
      <c r="A84" s="41">
        <f>'TAX Interest Rates'!A30</f>
        <v>43738</v>
      </c>
      <c r="B84" s="44">
        <f t="shared" ref="B84:O84" si="42">ROUND(-B17*B51,2)</f>
        <v>12409.41</v>
      </c>
      <c r="C84" s="44">
        <f t="shared" si="42"/>
        <v>0</v>
      </c>
      <c r="D84" s="44">
        <f t="shared" si="42"/>
        <v>1460.44</v>
      </c>
      <c r="E84" s="44">
        <f t="shared" si="42"/>
        <v>568.41999999999996</v>
      </c>
      <c r="F84" s="44">
        <f t="shared" si="42"/>
        <v>2.19</v>
      </c>
      <c r="G84" s="44">
        <f t="shared" si="42"/>
        <v>9461.32</v>
      </c>
      <c r="H84" s="44">
        <f t="shared" si="42"/>
        <v>634.71</v>
      </c>
      <c r="I84" s="44">
        <f t="shared" si="42"/>
        <v>0.92</v>
      </c>
      <c r="J84" s="44">
        <f t="shared" si="42"/>
        <v>0</v>
      </c>
      <c r="K84" s="44">
        <f t="shared" si="42"/>
        <v>75.78</v>
      </c>
      <c r="L84" s="44">
        <f t="shared" si="42"/>
        <v>12879.19</v>
      </c>
      <c r="M84" s="44">
        <f t="shared" si="42"/>
        <v>6418.13</v>
      </c>
      <c r="N84" s="44">
        <f t="shared" si="42"/>
        <v>5950.26</v>
      </c>
      <c r="O84" s="44">
        <f t="shared" si="42"/>
        <v>1989.55</v>
      </c>
      <c r="P84" s="44">
        <f t="shared" si="7"/>
        <v>0</v>
      </c>
      <c r="R84" s="40">
        <f t="shared" si="29"/>
        <v>51850.32</v>
      </c>
      <c r="T84" s="40">
        <f t="shared" si="30"/>
        <v>12409.41</v>
      </c>
      <c r="U84" s="40">
        <f t="shared" si="31"/>
        <v>2028.8600000000001</v>
      </c>
      <c r="V84" s="40">
        <f t="shared" si="32"/>
        <v>10098.220000000001</v>
      </c>
      <c r="W84" s="40">
        <f t="shared" si="33"/>
        <v>0.92</v>
      </c>
      <c r="X84" s="40">
        <f t="shared" si="34"/>
        <v>75.78</v>
      </c>
      <c r="Y84" s="40">
        <f t="shared" si="35"/>
        <v>24613.19</v>
      </c>
      <c r="Z84" s="40">
        <f t="shared" si="36"/>
        <v>12879.19</v>
      </c>
      <c r="AA84" s="40">
        <f t="shared" si="37"/>
        <v>14357.939999999999</v>
      </c>
      <c r="AB84" s="40">
        <f t="shared" si="38"/>
        <v>27237.129999999997</v>
      </c>
      <c r="AC84" s="40">
        <f t="shared" si="39"/>
        <v>51850.319999999992</v>
      </c>
      <c r="AD84" s="40">
        <f t="shared" si="40"/>
        <v>0</v>
      </c>
    </row>
    <row r="85" spans="1:30" x14ac:dyDescent="0.25">
      <c r="A85" s="41">
        <f>'TAX Interest Rates'!A31</f>
        <v>43769</v>
      </c>
      <c r="B85" s="44">
        <f t="shared" ref="B85:O85" si="43">ROUND(-B18*B52,2)</f>
        <v>29349.41</v>
      </c>
      <c r="C85" s="44">
        <f t="shared" si="43"/>
        <v>0</v>
      </c>
      <c r="D85" s="44">
        <f t="shared" si="43"/>
        <v>2854.55</v>
      </c>
      <c r="E85" s="44">
        <f t="shared" si="43"/>
        <v>756.3</v>
      </c>
      <c r="F85" s="44">
        <f t="shared" si="43"/>
        <v>10.46</v>
      </c>
      <c r="G85" s="44">
        <f t="shared" si="43"/>
        <v>17181.22</v>
      </c>
      <c r="H85" s="44">
        <f t="shared" si="43"/>
        <v>3710.73</v>
      </c>
      <c r="I85" s="44">
        <f t="shared" si="43"/>
        <v>0.71</v>
      </c>
      <c r="J85" s="44">
        <f t="shared" si="43"/>
        <v>0</v>
      </c>
      <c r="K85" s="44">
        <f t="shared" si="43"/>
        <v>158.32</v>
      </c>
      <c r="L85" s="44">
        <f t="shared" si="43"/>
        <v>14107.92</v>
      </c>
      <c r="M85" s="44">
        <f t="shared" si="43"/>
        <v>4537.2</v>
      </c>
      <c r="N85" s="44">
        <f t="shared" si="43"/>
        <v>273.52999999999997</v>
      </c>
      <c r="O85" s="44">
        <f t="shared" si="43"/>
        <v>367.94</v>
      </c>
      <c r="P85" s="44">
        <f t="shared" si="7"/>
        <v>0</v>
      </c>
      <c r="R85" s="40">
        <f t="shared" si="29"/>
        <v>73308.290000000008</v>
      </c>
      <c r="T85" s="40">
        <f t="shared" si="30"/>
        <v>29349.41</v>
      </c>
      <c r="U85" s="40">
        <f t="shared" si="31"/>
        <v>3610.8500000000004</v>
      </c>
      <c r="V85" s="40">
        <f t="shared" si="32"/>
        <v>20902.41</v>
      </c>
      <c r="W85" s="40">
        <f t="shared" si="33"/>
        <v>0.71</v>
      </c>
      <c r="X85" s="40">
        <f t="shared" si="34"/>
        <v>158.32</v>
      </c>
      <c r="Y85" s="40">
        <f t="shared" si="35"/>
        <v>54021.7</v>
      </c>
      <c r="Z85" s="40">
        <f t="shared" si="36"/>
        <v>14107.92</v>
      </c>
      <c r="AA85" s="40">
        <f t="shared" si="37"/>
        <v>5178.6699999999992</v>
      </c>
      <c r="AB85" s="40">
        <f t="shared" si="38"/>
        <v>19286.59</v>
      </c>
      <c r="AC85" s="40">
        <f t="shared" si="39"/>
        <v>73308.289999999994</v>
      </c>
      <c r="AD85" s="40">
        <f t="shared" si="40"/>
        <v>0</v>
      </c>
    </row>
    <row r="86" spans="1:30" x14ac:dyDescent="0.25">
      <c r="A86" s="41">
        <f>'TAX Interest Rates'!A32</f>
        <v>43799</v>
      </c>
      <c r="B86" s="44">
        <f>ROUND(-B19*B52,2)</f>
        <v>35138.04</v>
      </c>
      <c r="C86" s="44">
        <f t="shared" ref="C86:P86" si="44">ROUND(-C19*C52,2)</f>
        <v>0</v>
      </c>
      <c r="D86" s="44">
        <f t="shared" si="44"/>
        <v>1806.45</v>
      </c>
      <c r="E86" s="44">
        <f t="shared" si="44"/>
        <v>534.85</v>
      </c>
      <c r="F86" s="44">
        <f t="shared" si="44"/>
        <v>0</v>
      </c>
      <c r="G86" s="44">
        <f t="shared" si="44"/>
        <v>18829.75</v>
      </c>
      <c r="H86" s="44">
        <f t="shared" si="44"/>
        <v>1147.17</v>
      </c>
      <c r="I86" s="44">
        <f t="shared" si="44"/>
        <v>0</v>
      </c>
      <c r="J86" s="44">
        <f t="shared" si="44"/>
        <v>0</v>
      </c>
      <c r="K86" s="44">
        <f t="shared" si="44"/>
        <v>0</v>
      </c>
      <c r="L86" s="44">
        <f t="shared" si="44"/>
        <v>0.05</v>
      </c>
      <c r="M86" s="44">
        <f t="shared" si="44"/>
        <v>0</v>
      </c>
      <c r="N86" s="44">
        <f t="shared" si="44"/>
        <v>0</v>
      </c>
      <c r="O86" s="44">
        <f t="shared" si="44"/>
        <v>0</v>
      </c>
      <c r="P86" s="44">
        <f t="shared" si="44"/>
        <v>0</v>
      </c>
      <c r="R86" s="40">
        <f t="shared" si="29"/>
        <v>57456.31</v>
      </c>
      <c r="S86" s="40" t="s">
        <v>45</v>
      </c>
      <c r="T86" s="40">
        <f t="shared" si="30"/>
        <v>35138.04</v>
      </c>
      <c r="U86" s="40">
        <f t="shared" si="31"/>
        <v>2341.3000000000002</v>
      </c>
      <c r="V86" s="40">
        <f t="shared" si="32"/>
        <v>19976.919999999998</v>
      </c>
      <c r="W86" s="40">
        <f t="shared" si="33"/>
        <v>0</v>
      </c>
      <c r="X86" s="40">
        <f t="shared" si="34"/>
        <v>0</v>
      </c>
      <c r="Y86" s="40">
        <f t="shared" si="35"/>
        <v>57456.26</v>
      </c>
      <c r="Z86" s="40">
        <f t="shared" si="36"/>
        <v>0.05</v>
      </c>
      <c r="AA86" s="40">
        <f t="shared" si="37"/>
        <v>0</v>
      </c>
      <c r="AB86" s="40">
        <f t="shared" si="38"/>
        <v>0.05</v>
      </c>
      <c r="AC86" s="40">
        <f t="shared" si="39"/>
        <v>57456.310000000005</v>
      </c>
      <c r="AD86" s="40">
        <f t="shared" si="40"/>
        <v>-4.3655773440676171E-12</v>
      </c>
    </row>
    <row r="87" spans="1:30" x14ac:dyDescent="0.25">
      <c r="A87" s="41">
        <f>'TAX Interest Rates'!A32</f>
        <v>43799</v>
      </c>
      <c r="B87" s="44">
        <f>ROUND(-B20*B53,2)</f>
        <v>0</v>
      </c>
      <c r="C87" s="44">
        <f t="shared" ref="C87:P87" si="45">ROUND(-C20*C53,2)</f>
        <v>0</v>
      </c>
      <c r="D87" s="44">
        <f t="shared" si="45"/>
        <v>0</v>
      </c>
      <c r="E87" s="44">
        <f t="shared" si="45"/>
        <v>0</v>
      </c>
      <c r="F87" s="44">
        <f t="shared" si="45"/>
        <v>0</v>
      </c>
      <c r="G87" s="44">
        <f t="shared" si="45"/>
        <v>0</v>
      </c>
      <c r="H87" s="44">
        <f t="shared" si="45"/>
        <v>0</v>
      </c>
      <c r="I87" s="44">
        <f t="shared" si="45"/>
        <v>0</v>
      </c>
      <c r="J87" s="44">
        <f t="shared" si="45"/>
        <v>0</v>
      </c>
      <c r="K87" s="44">
        <f t="shared" si="45"/>
        <v>0</v>
      </c>
      <c r="L87" s="44">
        <f t="shared" si="45"/>
        <v>0</v>
      </c>
      <c r="M87" s="44">
        <f t="shared" si="45"/>
        <v>0</v>
      </c>
      <c r="N87" s="44">
        <f t="shared" si="45"/>
        <v>0</v>
      </c>
      <c r="O87" s="44">
        <f t="shared" si="45"/>
        <v>0</v>
      </c>
      <c r="P87" s="44">
        <f t="shared" si="45"/>
        <v>0</v>
      </c>
      <c r="R87" s="40">
        <f t="shared" ref="R87" si="46">SUM(B87:Q87)</f>
        <v>0</v>
      </c>
      <c r="S87" s="40" t="s">
        <v>46</v>
      </c>
      <c r="T87" s="40">
        <f t="shared" ref="T87" si="47">+B87</f>
        <v>0</v>
      </c>
      <c r="U87" s="40">
        <f t="shared" ref="U87" si="48">+C87+D87+E87</f>
        <v>0</v>
      </c>
      <c r="V87" s="40">
        <f t="shared" ref="V87" si="49">+F87+G87+H87</f>
        <v>0</v>
      </c>
      <c r="W87" s="40">
        <f t="shared" ref="W87" si="50">+I87+J87</f>
        <v>0</v>
      </c>
      <c r="X87" s="40">
        <f t="shared" ref="X87" si="51">+K87</f>
        <v>0</v>
      </c>
      <c r="Y87" s="40">
        <f t="shared" ref="Y87" si="52">SUM(T87:X87)</f>
        <v>0</v>
      </c>
      <c r="Z87" s="40">
        <f t="shared" ref="Z87" si="53">+L87</f>
        <v>0</v>
      </c>
      <c r="AA87" s="40">
        <f t="shared" ref="AA87" si="54">+M87+N87+O87+P87</f>
        <v>0</v>
      </c>
      <c r="AB87" s="40">
        <f t="shared" ref="AB87" si="55">SUM(Z87:AA87)</f>
        <v>0</v>
      </c>
      <c r="AC87" s="40">
        <f t="shared" ref="AC87" si="56">+Y87+AB87</f>
        <v>0</v>
      </c>
      <c r="AD87" s="40">
        <f t="shared" ref="AD87" si="57">+R87-Y87-AB87</f>
        <v>0</v>
      </c>
    </row>
    <row r="88" spans="1:30" x14ac:dyDescent="0.25">
      <c r="A88" s="41">
        <f>'TAX Interest Rates'!A33</f>
        <v>43830</v>
      </c>
      <c r="B88" s="44">
        <f t="shared" ref="B88:O88" si="58">ROUND(-B21*B54,2)</f>
        <v>0</v>
      </c>
      <c r="C88" s="44">
        <f t="shared" si="58"/>
        <v>0</v>
      </c>
      <c r="D88" s="44">
        <f t="shared" si="58"/>
        <v>0</v>
      </c>
      <c r="E88" s="44">
        <f t="shared" si="58"/>
        <v>0</v>
      </c>
      <c r="F88" s="44">
        <f t="shared" si="58"/>
        <v>0</v>
      </c>
      <c r="G88" s="44">
        <f t="shared" si="58"/>
        <v>0</v>
      </c>
      <c r="H88" s="44">
        <f t="shared" si="58"/>
        <v>0</v>
      </c>
      <c r="I88" s="44">
        <f t="shared" si="58"/>
        <v>0</v>
      </c>
      <c r="J88" s="44">
        <f t="shared" si="58"/>
        <v>0</v>
      </c>
      <c r="K88" s="44">
        <f t="shared" si="58"/>
        <v>0</v>
      </c>
      <c r="L88" s="44">
        <f t="shared" si="58"/>
        <v>0</v>
      </c>
      <c r="M88" s="44">
        <f t="shared" si="58"/>
        <v>0</v>
      </c>
      <c r="N88" s="44">
        <f t="shared" si="58"/>
        <v>0</v>
      </c>
      <c r="O88" s="44">
        <f t="shared" si="58"/>
        <v>0</v>
      </c>
      <c r="P88" s="44">
        <f>ROUND(-P21*P54,2)</f>
        <v>0</v>
      </c>
      <c r="R88" s="40">
        <f t="shared" si="29"/>
        <v>0</v>
      </c>
      <c r="T88" s="40">
        <f t="shared" si="30"/>
        <v>0</v>
      </c>
      <c r="U88" s="40">
        <f t="shared" si="31"/>
        <v>0</v>
      </c>
      <c r="V88" s="40">
        <f t="shared" si="32"/>
        <v>0</v>
      </c>
      <c r="W88" s="40">
        <f t="shared" si="33"/>
        <v>0</v>
      </c>
      <c r="X88" s="40">
        <f t="shared" si="34"/>
        <v>0</v>
      </c>
      <c r="Y88" s="40">
        <f t="shared" si="35"/>
        <v>0</v>
      </c>
      <c r="Z88" s="40">
        <f t="shared" si="36"/>
        <v>0</v>
      </c>
      <c r="AA88" s="40">
        <f t="shared" si="37"/>
        <v>0</v>
      </c>
      <c r="AB88" s="40">
        <f t="shared" si="38"/>
        <v>0</v>
      </c>
      <c r="AC88" s="40">
        <f t="shared" si="39"/>
        <v>0</v>
      </c>
      <c r="AD88" s="40">
        <f t="shared" si="40"/>
        <v>0</v>
      </c>
    </row>
    <row r="89" spans="1:30" x14ac:dyDescent="0.25">
      <c r="A89" s="41">
        <f>'TAX Interest Rates'!A34</f>
        <v>43861</v>
      </c>
      <c r="B89" s="44">
        <f t="shared" ref="B89:O89" si="59">ROUND(-B22*B55,2)</f>
        <v>0</v>
      </c>
      <c r="C89" s="44">
        <f t="shared" si="59"/>
        <v>0</v>
      </c>
      <c r="D89" s="44">
        <f t="shared" si="59"/>
        <v>0</v>
      </c>
      <c r="E89" s="44">
        <f t="shared" si="59"/>
        <v>0</v>
      </c>
      <c r="F89" s="44">
        <f t="shared" si="59"/>
        <v>0</v>
      </c>
      <c r="G89" s="44">
        <f t="shared" si="59"/>
        <v>0</v>
      </c>
      <c r="H89" s="44">
        <f t="shared" si="59"/>
        <v>0</v>
      </c>
      <c r="I89" s="44">
        <f t="shared" si="59"/>
        <v>0</v>
      </c>
      <c r="J89" s="44">
        <f t="shared" si="59"/>
        <v>0</v>
      </c>
      <c r="K89" s="44">
        <f t="shared" si="59"/>
        <v>0</v>
      </c>
      <c r="L89" s="44">
        <f t="shared" si="59"/>
        <v>0</v>
      </c>
      <c r="M89" s="44">
        <f t="shared" si="59"/>
        <v>0</v>
      </c>
      <c r="N89" s="44">
        <f t="shared" si="59"/>
        <v>0</v>
      </c>
      <c r="O89" s="44">
        <f t="shared" si="59"/>
        <v>0</v>
      </c>
      <c r="P89" s="44">
        <f>ROUND(-P22*P55,2)</f>
        <v>0</v>
      </c>
      <c r="R89" s="40">
        <f t="shared" ref="R89:R100" si="60">SUM(B89:Q89)</f>
        <v>0</v>
      </c>
      <c r="T89" s="40">
        <f t="shared" ref="T89:T100" si="61">+B89</f>
        <v>0</v>
      </c>
      <c r="U89" s="40">
        <f t="shared" ref="U89:U100" si="62">+C89+D89+E89</f>
        <v>0</v>
      </c>
      <c r="V89" s="40">
        <f t="shared" ref="V89:V100" si="63">+F89+G89+H89</f>
        <v>0</v>
      </c>
      <c r="W89" s="40">
        <f t="shared" ref="W89:W100" si="64">+I89+J89</f>
        <v>0</v>
      </c>
      <c r="X89" s="40">
        <f t="shared" ref="X89:X100" si="65">+K89</f>
        <v>0</v>
      </c>
      <c r="Y89" s="40">
        <f t="shared" ref="Y89:Y100" si="66">SUM(T89:X89)</f>
        <v>0</v>
      </c>
      <c r="Z89" s="40">
        <f t="shared" ref="Z89:Z100" si="67">+L89</f>
        <v>0</v>
      </c>
      <c r="AA89" s="40">
        <f t="shared" ref="AA89:AA100" si="68">+M89+N89+O89+P89</f>
        <v>0</v>
      </c>
      <c r="AB89" s="40">
        <f t="shared" ref="AB89:AB100" si="69">SUM(Z89:AA89)</f>
        <v>0</v>
      </c>
      <c r="AC89" s="40">
        <f t="shared" ref="AC89:AC100" si="70">+Y89+AB89</f>
        <v>0</v>
      </c>
      <c r="AD89" s="40">
        <f t="shared" ref="AD89:AD100" si="71">+R89-Y89-AB89</f>
        <v>0</v>
      </c>
    </row>
    <row r="90" spans="1:30" x14ac:dyDescent="0.25">
      <c r="A90" s="41">
        <f>'TAX Interest Rates'!A35</f>
        <v>43890</v>
      </c>
      <c r="B90" s="44">
        <f t="shared" ref="B90:P90" si="72">ROUND(-B23*B56,2)</f>
        <v>0</v>
      </c>
      <c r="C90" s="44">
        <f t="shared" si="72"/>
        <v>0</v>
      </c>
      <c r="D90" s="44">
        <f t="shared" si="72"/>
        <v>0</v>
      </c>
      <c r="E90" s="44">
        <f t="shared" si="72"/>
        <v>0</v>
      </c>
      <c r="F90" s="44">
        <f t="shared" si="72"/>
        <v>0</v>
      </c>
      <c r="G90" s="44">
        <f t="shared" si="72"/>
        <v>0</v>
      </c>
      <c r="H90" s="44">
        <f t="shared" si="72"/>
        <v>0</v>
      </c>
      <c r="I90" s="44">
        <f t="shared" si="72"/>
        <v>0</v>
      </c>
      <c r="J90" s="44">
        <f t="shared" si="72"/>
        <v>0</v>
      </c>
      <c r="K90" s="44">
        <f t="shared" si="72"/>
        <v>0</v>
      </c>
      <c r="L90" s="44">
        <f t="shared" si="72"/>
        <v>0</v>
      </c>
      <c r="M90" s="44">
        <f t="shared" si="72"/>
        <v>0</v>
      </c>
      <c r="N90" s="44">
        <f t="shared" si="72"/>
        <v>0</v>
      </c>
      <c r="O90" s="44">
        <f t="shared" si="72"/>
        <v>0</v>
      </c>
      <c r="P90" s="44">
        <f t="shared" si="72"/>
        <v>0</v>
      </c>
      <c r="R90" s="40">
        <f t="shared" si="60"/>
        <v>0</v>
      </c>
      <c r="T90" s="40">
        <f t="shared" si="61"/>
        <v>0</v>
      </c>
      <c r="U90" s="40">
        <f t="shared" si="62"/>
        <v>0</v>
      </c>
      <c r="V90" s="40">
        <f t="shared" si="63"/>
        <v>0</v>
      </c>
      <c r="W90" s="40">
        <f t="shared" si="64"/>
        <v>0</v>
      </c>
      <c r="X90" s="40">
        <f t="shared" si="65"/>
        <v>0</v>
      </c>
      <c r="Y90" s="40">
        <f t="shared" si="66"/>
        <v>0</v>
      </c>
      <c r="Z90" s="40">
        <f t="shared" si="67"/>
        <v>0</v>
      </c>
      <c r="AA90" s="40">
        <f t="shared" si="68"/>
        <v>0</v>
      </c>
      <c r="AB90" s="40">
        <f t="shared" si="69"/>
        <v>0</v>
      </c>
      <c r="AC90" s="40">
        <f t="shared" si="70"/>
        <v>0</v>
      </c>
      <c r="AD90" s="40">
        <f t="shared" si="71"/>
        <v>0</v>
      </c>
    </row>
    <row r="91" spans="1:30" x14ac:dyDescent="0.25">
      <c r="A91" s="41">
        <f>'TAX Interest Rates'!A36</f>
        <v>43921</v>
      </c>
      <c r="B91" s="44">
        <f t="shared" ref="B91:P91" si="73">ROUND(-B24*B57,2)</f>
        <v>0</v>
      </c>
      <c r="C91" s="44">
        <f t="shared" si="73"/>
        <v>0</v>
      </c>
      <c r="D91" s="44">
        <f t="shared" si="73"/>
        <v>0</v>
      </c>
      <c r="E91" s="44">
        <f t="shared" si="73"/>
        <v>0</v>
      </c>
      <c r="F91" s="44">
        <f t="shared" si="73"/>
        <v>0</v>
      </c>
      <c r="G91" s="44">
        <f t="shared" si="73"/>
        <v>0</v>
      </c>
      <c r="H91" s="44">
        <f t="shared" si="73"/>
        <v>0</v>
      </c>
      <c r="I91" s="44">
        <f t="shared" si="73"/>
        <v>0</v>
      </c>
      <c r="J91" s="44">
        <f t="shared" si="73"/>
        <v>0</v>
      </c>
      <c r="K91" s="44">
        <f t="shared" si="73"/>
        <v>0</v>
      </c>
      <c r="L91" s="44">
        <f t="shared" si="73"/>
        <v>0</v>
      </c>
      <c r="M91" s="44">
        <f t="shared" si="73"/>
        <v>0</v>
      </c>
      <c r="N91" s="44">
        <f t="shared" si="73"/>
        <v>0</v>
      </c>
      <c r="O91" s="44">
        <f t="shared" si="73"/>
        <v>0</v>
      </c>
      <c r="P91" s="44">
        <f t="shared" si="73"/>
        <v>0</v>
      </c>
      <c r="R91" s="40">
        <f t="shared" si="60"/>
        <v>0</v>
      </c>
      <c r="T91" s="40">
        <f t="shared" si="61"/>
        <v>0</v>
      </c>
      <c r="U91" s="40">
        <f t="shared" si="62"/>
        <v>0</v>
      </c>
      <c r="V91" s="40">
        <f t="shared" si="63"/>
        <v>0</v>
      </c>
      <c r="W91" s="40">
        <f t="shared" si="64"/>
        <v>0</v>
      </c>
      <c r="X91" s="40">
        <f t="shared" si="65"/>
        <v>0</v>
      </c>
      <c r="Y91" s="40">
        <f t="shared" si="66"/>
        <v>0</v>
      </c>
      <c r="Z91" s="40">
        <f t="shared" si="67"/>
        <v>0</v>
      </c>
      <c r="AA91" s="40">
        <f t="shared" si="68"/>
        <v>0</v>
      </c>
      <c r="AB91" s="40">
        <f t="shared" si="69"/>
        <v>0</v>
      </c>
      <c r="AC91" s="40">
        <f t="shared" si="70"/>
        <v>0</v>
      </c>
      <c r="AD91" s="40">
        <f t="shared" si="71"/>
        <v>0</v>
      </c>
    </row>
    <row r="92" spans="1:30" x14ac:dyDescent="0.25">
      <c r="A92" s="41">
        <f>'TAX Interest Rates'!A37</f>
        <v>43951</v>
      </c>
      <c r="B92" s="44">
        <f t="shared" ref="B92:P92" si="74">ROUND(-B25*B58,2)</f>
        <v>0</v>
      </c>
      <c r="C92" s="44">
        <f t="shared" si="74"/>
        <v>0</v>
      </c>
      <c r="D92" s="44">
        <f t="shared" si="74"/>
        <v>0</v>
      </c>
      <c r="E92" s="44">
        <f t="shared" si="74"/>
        <v>0</v>
      </c>
      <c r="F92" s="44">
        <f t="shared" si="74"/>
        <v>0</v>
      </c>
      <c r="G92" s="44">
        <f t="shared" si="74"/>
        <v>0</v>
      </c>
      <c r="H92" s="44">
        <f t="shared" si="74"/>
        <v>0</v>
      </c>
      <c r="I92" s="44">
        <f t="shared" si="74"/>
        <v>0</v>
      </c>
      <c r="J92" s="44">
        <f t="shared" si="74"/>
        <v>0</v>
      </c>
      <c r="K92" s="44">
        <f t="shared" si="74"/>
        <v>0</v>
      </c>
      <c r="L92" s="44">
        <f t="shared" si="74"/>
        <v>0</v>
      </c>
      <c r="M92" s="44">
        <f t="shared" si="74"/>
        <v>0</v>
      </c>
      <c r="N92" s="44">
        <f t="shared" si="74"/>
        <v>0</v>
      </c>
      <c r="O92" s="44">
        <f t="shared" si="74"/>
        <v>0</v>
      </c>
      <c r="P92" s="44">
        <f t="shared" si="74"/>
        <v>0</v>
      </c>
      <c r="R92" s="40">
        <f t="shared" si="60"/>
        <v>0</v>
      </c>
      <c r="T92" s="40">
        <f t="shared" si="61"/>
        <v>0</v>
      </c>
      <c r="U92" s="40">
        <f t="shared" si="62"/>
        <v>0</v>
      </c>
      <c r="V92" s="40">
        <f t="shared" si="63"/>
        <v>0</v>
      </c>
      <c r="W92" s="40">
        <f t="shared" si="64"/>
        <v>0</v>
      </c>
      <c r="X92" s="40">
        <f t="shared" si="65"/>
        <v>0</v>
      </c>
      <c r="Y92" s="40">
        <f t="shared" si="66"/>
        <v>0</v>
      </c>
      <c r="Z92" s="40">
        <f t="shared" si="67"/>
        <v>0</v>
      </c>
      <c r="AA92" s="40">
        <f t="shared" si="68"/>
        <v>0</v>
      </c>
      <c r="AB92" s="40">
        <f t="shared" si="69"/>
        <v>0</v>
      </c>
      <c r="AC92" s="40">
        <f t="shared" si="70"/>
        <v>0</v>
      </c>
      <c r="AD92" s="40">
        <f t="shared" si="71"/>
        <v>0</v>
      </c>
    </row>
    <row r="93" spans="1:30" x14ac:dyDescent="0.25">
      <c r="A93" s="41">
        <f>'TAX Interest Rates'!A38</f>
        <v>43982</v>
      </c>
      <c r="B93" s="44">
        <f t="shared" ref="B93:P93" si="75">ROUND(-B26*B59,2)</f>
        <v>0</v>
      </c>
      <c r="C93" s="44">
        <f t="shared" si="75"/>
        <v>0</v>
      </c>
      <c r="D93" s="44">
        <f t="shared" si="75"/>
        <v>0</v>
      </c>
      <c r="E93" s="44">
        <f t="shared" si="75"/>
        <v>0</v>
      </c>
      <c r="F93" s="44">
        <f t="shared" si="75"/>
        <v>0</v>
      </c>
      <c r="G93" s="44">
        <f t="shared" si="75"/>
        <v>0</v>
      </c>
      <c r="H93" s="44">
        <f t="shared" si="75"/>
        <v>0</v>
      </c>
      <c r="I93" s="44">
        <f t="shared" si="75"/>
        <v>0</v>
      </c>
      <c r="J93" s="44">
        <f t="shared" si="75"/>
        <v>0</v>
      </c>
      <c r="K93" s="44">
        <f t="shared" si="75"/>
        <v>0</v>
      </c>
      <c r="L93" s="44">
        <f t="shared" si="75"/>
        <v>0</v>
      </c>
      <c r="M93" s="44">
        <f t="shared" si="75"/>
        <v>0</v>
      </c>
      <c r="N93" s="44">
        <f t="shared" si="75"/>
        <v>0</v>
      </c>
      <c r="O93" s="44">
        <f t="shared" si="75"/>
        <v>0</v>
      </c>
      <c r="P93" s="44">
        <f t="shared" si="75"/>
        <v>0</v>
      </c>
      <c r="R93" s="40">
        <f t="shared" si="60"/>
        <v>0</v>
      </c>
      <c r="T93" s="40">
        <f t="shared" si="61"/>
        <v>0</v>
      </c>
      <c r="U93" s="40">
        <f t="shared" si="62"/>
        <v>0</v>
      </c>
      <c r="V93" s="40">
        <f t="shared" si="63"/>
        <v>0</v>
      </c>
      <c r="W93" s="40">
        <f t="shared" si="64"/>
        <v>0</v>
      </c>
      <c r="X93" s="40">
        <f t="shared" si="65"/>
        <v>0</v>
      </c>
      <c r="Y93" s="40">
        <f t="shared" si="66"/>
        <v>0</v>
      </c>
      <c r="Z93" s="40">
        <f t="shared" si="67"/>
        <v>0</v>
      </c>
      <c r="AA93" s="40">
        <f t="shared" si="68"/>
        <v>0</v>
      </c>
      <c r="AB93" s="40">
        <f t="shared" si="69"/>
        <v>0</v>
      </c>
      <c r="AC93" s="40">
        <f t="shared" si="70"/>
        <v>0</v>
      </c>
      <c r="AD93" s="40">
        <f t="shared" si="71"/>
        <v>0</v>
      </c>
    </row>
    <row r="94" spans="1:30" x14ac:dyDescent="0.25">
      <c r="A94" s="41">
        <f>'TAX Interest Rates'!A39</f>
        <v>44012</v>
      </c>
      <c r="B94" s="44">
        <f t="shared" ref="B94:P94" si="76">ROUND(-B27*B60,2)</f>
        <v>0</v>
      </c>
      <c r="C94" s="44">
        <f t="shared" si="76"/>
        <v>0</v>
      </c>
      <c r="D94" s="44">
        <f t="shared" si="76"/>
        <v>0</v>
      </c>
      <c r="E94" s="44">
        <f t="shared" si="76"/>
        <v>0</v>
      </c>
      <c r="F94" s="44">
        <f t="shared" si="76"/>
        <v>0</v>
      </c>
      <c r="G94" s="44">
        <f t="shared" si="76"/>
        <v>0</v>
      </c>
      <c r="H94" s="44">
        <f t="shared" si="76"/>
        <v>0</v>
      </c>
      <c r="I94" s="44">
        <f t="shared" si="76"/>
        <v>0</v>
      </c>
      <c r="J94" s="44">
        <f t="shared" si="76"/>
        <v>0</v>
      </c>
      <c r="K94" s="44">
        <f t="shared" si="76"/>
        <v>0</v>
      </c>
      <c r="L94" s="44">
        <f t="shared" si="76"/>
        <v>0</v>
      </c>
      <c r="M94" s="44">
        <f t="shared" si="76"/>
        <v>0</v>
      </c>
      <c r="N94" s="44">
        <f t="shared" si="76"/>
        <v>0</v>
      </c>
      <c r="O94" s="44">
        <f t="shared" si="76"/>
        <v>0</v>
      </c>
      <c r="P94" s="44">
        <f t="shared" si="76"/>
        <v>0</v>
      </c>
      <c r="R94" s="40">
        <f t="shared" si="60"/>
        <v>0</v>
      </c>
      <c r="T94" s="40">
        <f t="shared" si="61"/>
        <v>0</v>
      </c>
      <c r="U94" s="40">
        <f t="shared" si="62"/>
        <v>0</v>
      </c>
      <c r="V94" s="40">
        <f t="shared" si="63"/>
        <v>0</v>
      </c>
      <c r="W94" s="40">
        <f t="shared" si="64"/>
        <v>0</v>
      </c>
      <c r="X94" s="40">
        <f t="shared" si="65"/>
        <v>0</v>
      </c>
      <c r="Y94" s="40">
        <f t="shared" si="66"/>
        <v>0</v>
      </c>
      <c r="Z94" s="40">
        <f t="shared" si="67"/>
        <v>0</v>
      </c>
      <c r="AA94" s="40">
        <f t="shared" si="68"/>
        <v>0</v>
      </c>
      <c r="AB94" s="40">
        <f t="shared" si="69"/>
        <v>0</v>
      </c>
      <c r="AC94" s="40">
        <f t="shared" si="70"/>
        <v>0</v>
      </c>
      <c r="AD94" s="40">
        <f t="shared" si="71"/>
        <v>0</v>
      </c>
    </row>
    <row r="95" spans="1:30" hidden="1" x14ac:dyDescent="0.25">
      <c r="A95" s="41">
        <f>'TAX Interest Rates'!A40</f>
        <v>44043</v>
      </c>
      <c r="B95" s="44">
        <f t="shared" ref="B95:P95" si="77">ROUND(-B28*B61,2)</f>
        <v>0</v>
      </c>
      <c r="C95" s="44">
        <f t="shared" si="77"/>
        <v>0</v>
      </c>
      <c r="D95" s="44">
        <f t="shared" si="77"/>
        <v>0</v>
      </c>
      <c r="E95" s="44">
        <f t="shared" si="77"/>
        <v>0</v>
      </c>
      <c r="F95" s="44">
        <f t="shared" si="77"/>
        <v>0</v>
      </c>
      <c r="G95" s="44">
        <f t="shared" si="77"/>
        <v>0</v>
      </c>
      <c r="H95" s="44">
        <f t="shared" si="77"/>
        <v>0</v>
      </c>
      <c r="I95" s="44">
        <f t="shared" si="77"/>
        <v>0</v>
      </c>
      <c r="J95" s="44">
        <f t="shared" si="77"/>
        <v>0</v>
      </c>
      <c r="K95" s="44">
        <f t="shared" si="77"/>
        <v>0</v>
      </c>
      <c r="L95" s="44">
        <f t="shared" si="77"/>
        <v>0</v>
      </c>
      <c r="M95" s="44">
        <f t="shared" si="77"/>
        <v>0</v>
      </c>
      <c r="N95" s="44">
        <f t="shared" si="77"/>
        <v>0</v>
      </c>
      <c r="O95" s="44">
        <f t="shared" si="77"/>
        <v>0</v>
      </c>
      <c r="P95" s="44">
        <f t="shared" si="77"/>
        <v>0</v>
      </c>
      <c r="R95" s="40">
        <f t="shared" si="60"/>
        <v>0</v>
      </c>
      <c r="T95" s="40">
        <f t="shared" si="61"/>
        <v>0</v>
      </c>
      <c r="U95" s="40">
        <f t="shared" si="62"/>
        <v>0</v>
      </c>
      <c r="V95" s="40">
        <f t="shared" si="63"/>
        <v>0</v>
      </c>
      <c r="W95" s="40">
        <f t="shared" si="64"/>
        <v>0</v>
      </c>
      <c r="X95" s="40">
        <f t="shared" si="65"/>
        <v>0</v>
      </c>
      <c r="Y95" s="40">
        <f t="shared" si="66"/>
        <v>0</v>
      </c>
      <c r="Z95" s="40">
        <f t="shared" si="67"/>
        <v>0</v>
      </c>
      <c r="AA95" s="40">
        <f t="shared" si="68"/>
        <v>0</v>
      </c>
      <c r="AB95" s="40">
        <f t="shared" si="69"/>
        <v>0</v>
      </c>
      <c r="AC95" s="40">
        <f t="shared" si="70"/>
        <v>0</v>
      </c>
      <c r="AD95" s="40">
        <f t="shared" si="71"/>
        <v>0</v>
      </c>
    </row>
    <row r="96" spans="1:30" hidden="1" x14ac:dyDescent="0.25">
      <c r="A96" s="41">
        <f>'TAX Interest Rates'!A41</f>
        <v>44074</v>
      </c>
      <c r="B96" s="44">
        <f t="shared" ref="B96:P96" si="78">ROUND(-B29*B62,2)</f>
        <v>0</v>
      </c>
      <c r="C96" s="44">
        <f t="shared" si="78"/>
        <v>0</v>
      </c>
      <c r="D96" s="44">
        <f t="shared" si="78"/>
        <v>0</v>
      </c>
      <c r="E96" s="44">
        <f t="shared" si="78"/>
        <v>0</v>
      </c>
      <c r="F96" s="44">
        <f t="shared" si="78"/>
        <v>0</v>
      </c>
      <c r="G96" s="44">
        <f t="shared" si="78"/>
        <v>0</v>
      </c>
      <c r="H96" s="44">
        <f t="shared" si="78"/>
        <v>0</v>
      </c>
      <c r="I96" s="44">
        <f t="shared" si="78"/>
        <v>0</v>
      </c>
      <c r="J96" s="44">
        <f t="shared" si="78"/>
        <v>0</v>
      </c>
      <c r="K96" s="44">
        <f t="shared" si="78"/>
        <v>0</v>
      </c>
      <c r="L96" s="44">
        <f t="shared" si="78"/>
        <v>0</v>
      </c>
      <c r="M96" s="44">
        <f t="shared" si="78"/>
        <v>0</v>
      </c>
      <c r="N96" s="44">
        <f t="shared" si="78"/>
        <v>0</v>
      </c>
      <c r="O96" s="44">
        <f t="shared" si="78"/>
        <v>0</v>
      </c>
      <c r="P96" s="44">
        <f t="shared" si="78"/>
        <v>0</v>
      </c>
      <c r="R96" s="40">
        <f t="shared" si="60"/>
        <v>0</v>
      </c>
      <c r="T96" s="40">
        <f t="shared" si="61"/>
        <v>0</v>
      </c>
      <c r="U96" s="40">
        <f t="shared" si="62"/>
        <v>0</v>
      </c>
      <c r="V96" s="40">
        <f t="shared" si="63"/>
        <v>0</v>
      </c>
      <c r="W96" s="40">
        <f t="shared" si="64"/>
        <v>0</v>
      </c>
      <c r="X96" s="40">
        <f t="shared" si="65"/>
        <v>0</v>
      </c>
      <c r="Y96" s="40">
        <f t="shared" si="66"/>
        <v>0</v>
      </c>
      <c r="Z96" s="40">
        <f t="shared" si="67"/>
        <v>0</v>
      </c>
      <c r="AA96" s="40">
        <f t="shared" si="68"/>
        <v>0</v>
      </c>
      <c r="AB96" s="40">
        <f t="shared" si="69"/>
        <v>0</v>
      </c>
      <c r="AC96" s="40">
        <f t="shared" si="70"/>
        <v>0</v>
      </c>
      <c r="AD96" s="40">
        <f t="shared" si="71"/>
        <v>0</v>
      </c>
    </row>
    <row r="97" spans="1:30" hidden="1" x14ac:dyDescent="0.25">
      <c r="A97" s="41">
        <f>'TAX Interest Rates'!A42</f>
        <v>44104</v>
      </c>
      <c r="B97" s="44">
        <f t="shared" ref="B97:P97" si="79">ROUND(-B30*B63,2)</f>
        <v>0</v>
      </c>
      <c r="C97" s="44">
        <f t="shared" si="79"/>
        <v>0</v>
      </c>
      <c r="D97" s="44">
        <f t="shared" si="79"/>
        <v>0</v>
      </c>
      <c r="E97" s="44">
        <f t="shared" si="79"/>
        <v>0</v>
      </c>
      <c r="F97" s="44">
        <f t="shared" si="79"/>
        <v>0</v>
      </c>
      <c r="G97" s="44">
        <f t="shared" si="79"/>
        <v>0</v>
      </c>
      <c r="H97" s="44">
        <f t="shared" si="79"/>
        <v>0</v>
      </c>
      <c r="I97" s="44">
        <f t="shared" si="79"/>
        <v>0</v>
      </c>
      <c r="J97" s="44">
        <f t="shared" si="79"/>
        <v>0</v>
      </c>
      <c r="K97" s="44">
        <f t="shared" si="79"/>
        <v>0</v>
      </c>
      <c r="L97" s="44">
        <f t="shared" si="79"/>
        <v>0</v>
      </c>
      <c r="M97" s="44">
        <f t="shared" si="79"/>
        <v>0</v>
      </c>
      <c r="N97" s="44">
        <f t="shared" si="79"/>
        <v>0</v>
      </c>
      <c r="O97" s="44">
        <f t="shared" si="79"/>
        <v>0</v>
      </c>
      <c r="P97" s="44">
        <f t="shared" si="79"/>
        <v>0</v>
      </c>
      <c r="R97" s="40">
        <f t="shared" si="60"/>
        <v>0</v>
      </c>
      <c r="T97" s="40">
        <f t="shared" si="61"/>
        <v>0</v>
      </c>
      <c r="U97" s="40">
        <f t="shared" si="62"/>
        <v>0</v>
      </c>
      <c r="V97" s="40">
        <f t="shared" si="63"/>
        <v>0</v>
      </c>
      <c r="W97" s="40">
        <f t="shared" si="64"/>
        <v>0</v>
      </c>
      <c r="X97" s="40">
        <f t="shared" si="65"/>
        <v>0</v>
      </c>
      <c r="Y97" s="40">
        <f t="shared" si="66"/>
        <v>0</v>
      </c>
      <c r="Z97" s="40">
        <f t="shared" si="67"/>
        <v>0</v>
      </c>
      <c r="AA97" s="40">
        <f t="shared" si="68"/>
        <v>0</v>
      </c>
      <c r="AB97" s="40">
        <f t="shared" si="69"/>
        <v>0</v>
      </c>
      <c r="AC97" s="40">
        <f t="shared" si="70"/>
        <v>0</v>
      </c>
      <c r="AD97" s="40">
        <f t="shared" si="71"/>
        <v>0</v>
      </c>
    </row>
    <row r="98" spans="1:30" hidden="1" x14ac:dyDescent="0.25">
      <c r="A98" s="41">
        <f>'TAX Interest Rates'!A43</f>
        <v>44135</v>
      </c>
      <c r="B98" s="44">
        <f t="shared" ref="B98:P98" si="80">ROUND(-B31*B64,2)</f>
        <v>0</v>
      </c>
      <c r="C98" s="44">
        <f t="shared" si="80"/>
        <v>0</v>
      </c>
      <c r="D98" s="44">
        <f t="shared" si="80"/>
        <v>0</v>
      </c>
      <c r="E98" s="44">
        <f t="shared" si="80"/>
        <v>0</v>
      </c>
      <c r="F98" s="44">
        <f t="shared" si="80"/>
        <v>0</v>
      </c>
      <c r="G98" s="44">
        <f t="shared" si="80"/>
        <v>0</v>
      </c>
      <c r="H98" s="44">
        <f t="shared" si="80"/>
        <v>0</v>
      </c>
      <c r="I98" s="44">
        <f t="shared" si="80"/>
        <v>0</v>
      </c>
      <c r="J98" s="44">
        <f t="shared" si="80"/>
        <v>0</v>
      </c>
      <c r="K98" s="44">
        <f t="shared" si="80"/>
        <v>0</v>
      </c>
      <c r="L98" s="44">
        <f t="shared" si="80"/>
        <v>0</v>
      </c>
      <c r="M98" s="44">
        <f t="shared" si="80"/>
        <v>0</v>
      </c>
      <c r="N98" s="44">
        <f t="shared" si="80"/>
        <v>0</v>
      </c>
      <c r="O98" s="44">
        <f t="shared" si="80"/>
        <v>0</v>
      </c>
      <c r="P98" s="44">
        <f t="shared" si="80"/>
        <v>0</v>
      </c>
      <c r="R98" s="40">
        <f t="shared" si="60"/>
        <v>0</v>
      </c>
      <c r="T98" s="40">
        <f t="shared" si="61"/>
        <v>0</v>
      </c>
      <c r="U98" s="40">
        <f t="shared" si="62"/>
        <v>0</v>
      </c>
      <c r="V98" s="40">
        <f t="shared" si="63"/>
        <v>0</v>
      </c>
      <c r="W98" s="40">
        <f t="shared" si="64"/>
        <v>0</v>
      </c>
      <c r="X98" s="40">
        <f t="shared" si="65"/>
        <v>0</v>
      </c>
      <c r="Y98" s="40">
        <f t="shared" si="66"/>
        <v>0</v>
      </c>
      <c r="Z98" s="40">
        <f t="shared" si="67"/>
        <v>0</v>
      </c>
      <c r="AA98" s="40">
        <f t="shared" si="68"/>
        <v>0</v>
      </c>
      <c r="AB98" s="40">
        <f t="shared" si="69"/>
        <v>0</v>
      </c>
      <c r="AC98" s="40">
        <f t="shared" si="70"/>
        <v>0</v>
      </c>
      <c r="AD98" s="40">
        <f t="shared" si="71"/>
        <v>0</v>
      </c>
    </row>
    <row r="99" spans="1:30" hidden="1" x14ac:dyDescent="0.25">
      <c r="A99" s="41">
        <f>'TAX Interest Rates'!A44</f>
        <v>44165</v>
      </c>
      <c r="B99" s="44">
        <f t="shared" ref="B99:P99" si="81">ROUND(-B32*B65,2)</f>
        <v>0</v>
      </c>
      <c r="C99" s="44">
        <f t="shared" si="81"/>
        <v>0</v>
      </c>
      <c r="D99" s="44">
        <f t="shared" si="81"/>
        <v>0</v>
      </c>
      <c r="E99" s="44">
        <f t="shared" si="81"/>
        <v>0</v>
      </c>
      <c r="F99" s="44">
        <f t="shared" si="81"/>
        <v>0</v>
      </c>
      <c r="G99" s="44">
        <f t="shared" si="81"/>
        <v>0</v>
      </c>
      <c r="H99" s="44">
        <f t="shared" si="81"/>
        <v>0</v>
      </c>
      <c r="I99" s="44">
        <f t="shared" si="81"/>
        <v>0</v>
      </c>
      <c r="J99" s="44">
        <f t="shared" si="81"/>
        <v>0</v>
      </c>
      <c r="K99" s="44">
        <f t="shared" si="81"/>
        <v>0</v>
      </c>
      <c r="L99" s="44">
        <f t="shared" si="81"/>
        <v>0</v>
      </c>
      <c r="M99" s="44">
        <f t="shared" si="81"/>
        <v>0</v>
      </c>
      <c r="N99" s="44">
        <f t="shared" si="81"/>
        <v>0</v>
      </c>
      <c r="O99" s="44">
        <f t="shared" si="81"/>
        <v>0</v>
      </c>
      <c r="P99" s="44">
        <f t="shared" si="81"/>
        <v>0</v>
      </c>
      <c r="R99" s="40">
        <f t="shared" si="60"/>
        <v>0</v>
      </c>
      <c r="T99" s="40">
        <f t="shared" si="61"/>
        <v>0</v>
      </c>
      <c r="U99" s="40">
        <f t="shared" si="62"/>
        <v>0</v>
      </c>
      <c r="V99" s="40">
        <f t="shared" si="63"/>
        <v>0</v>
      </c>
      <c r="W99" s="40">
        <f t="shared" si="64"/>
        <v>0</v>
      </c>
      <c r="X99" s="40">
        <f t="shared" si="65"/>
        <v>0</v>
      </c>
      <c r="Y99" s="40">
        <f t="shared" si="66"/>
        <v>0</v>
      </c>
      <c r="Z99" s="40">
        <f t="shared" si="67"/>
        <v>0</v>
      </c>
      <c r="AA99" s="40">
        <f t="shared" si="68"/>
        <v>0</v>
      </c>
      <c r="AB99" s="40">
        <f t="shared" si="69"/>
        <v>0</v>
      </c>
      <c r="AC99" s="40">
        <f t="shared" si="70"/>
        <v>0</v>
      </c>
      <c r="AD99" s="40">
        <f t="shared" si="71"/>
        <v>0</v>
      </c>
    </row>
    <row r="100" spans="1:30" hidden="1" x14ac:dyDescent="0.25">
      <c r="A100" s="41">
        <f>'TAX Interest Rates'!A45</f>
        <v>44196</v>
      </c>
      <c r="B100" s="44">
        <f t="shared" ref="B100:P100" si="82">ROUND(-B33*B66,2)</f>
        <v>0</v>
      </c>
      <c r="C100" s="44">
        <f t="shared" si="82"/>
        <v>0</v>
      </c>
      <c r="D100" s="44">
        <f t="shared" si="82"/>
        <v>0</v>
      </c>
      <c r="E100" s="44">
        <f t="shared" si="82"/>
        <v>0</v>
      </c>
      <c r="F100" s="44">
        <f t="shared" si="82"/>
        <v>0</v>
      </c>
      <c r="G100" s="44">
        <f t="shared" si="82"/>
        <v>0</v>
      </c>
      <c r="H100" s="44">
        <f t="shared" si="82"/>
        <v>0</v>
      </c>
      <c r="I100" s="44">
        <f t="shared" si="82"/>
        <v>0</v>
      </c>
      <c r="J100" s="44">
        <f t="shared" si="82"/>
        <v>0</v>
      </c>
      <c r="K100" s="44">
        <f t="shared" si="82"/>
        <v>0</v>
      </c>
      <c r="L100" s="44">
        <f t="shared" si="82"/>
        <v>0</v>
      </c>
      <c r="M100" s="44">
        <f t="shared" si="82"/>
        <v>0</v>
      </c>
      <c r="N100" s="44">
        <f t="shared" si="82"/>
        <v>0</v>
      </c>
      <c r="O100" s="44">
        <f t="shared" si="82"/>
        <v>0</v>
      </c>
      <c r="P100" s="44">
        <f t="shared" si="82"/>
        <v>0</v>
      </c>
      <c r="R100" s="40">
        <f t="shared" si="60"/>
        <v>0</v>
      </c>
      <c r="T100" s="40">
        <f t="shared" si="61"/>
        <v>0</v>
      </c>
      <c r="U100" s="40">
        <f t="shared" si="62"/>
        <v>0</v>
      </c>
      <c r="V100" s="40">
        <f t="shared" si="63"/>
        <v>0</v>
      </c>
      <c r="W100" s="40">
        <f t="shared" si="64"/>
        <v>0</v>
      </c>
      <c r="X100" s="40">
        <f t="shared" si="65"/>
        <v>0</v>
      </c>
      <c r="Y100" s="40">
        <f t="shared" si="66"/>
        <v>0</v>
      </c>
      <c r="Z100" s="40">
        <f t="shared" si="67"/>
        <v>0</v>
      </c>
      <c r="AA100" s="40">
        <f t="shared" si="68"/>
        <v>0</v>
      </c>
      <c r="AB100" s="40">
        <f t="shared" si="69"/>
        <v>0</v>
      </c>
      <c r="AC100" s="40">
        <f t="shared" si="70"/>
        <v>0</v>
      </c>
      <c r="AD100" s="40">
        <f t="shared" si="71"/>
        <v>0</v>
      </c>
    </row>
  </sheetData>
  <mergeCells count="4">
    <mergeCell ref="C2:E2"/>
    <mergeCell ref="F2:H2"/>
    <mergeCell ref="I2:J2"/>
    <mergeCell ref="M2:P2"/>
  </mergeCells>
  <printOptions horizontalCentered="1"/>
  <pageMargins left="0.25" right="0.25" top="0.75" bottom="0.75" header="0.3" footer="0.3"/>
  <pageSetup scale="71" orientation="landscape" r:id="rId1"/>
  <headerFooter>
    <oddFooter xml:space="preserve">&amp;LWA Tax Deferral Accounts&amp;C&amp;A&amp;R47WA.2540.20485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43"/>
  <sheetViews>
    <sheetView view="pageBreakPreview" topLeftCell="A4" zoomScale="115" zoomScaleNormal="100" zoomScaleSheetLayoutView="115" workbookViewId="0">
      <selection activeCell="L30" sqref="L30"/>
    </sheetView>
  </sheetViews>
  <sheetFormatPr defaultColWidth="8.88671875" defaultRowHeight="12.75" x14ac:dyDescent="0.2"/>
  <cols>
    <col min="1" max="2" width="8.88671875" style="2"/>
    <col min="3" max="3" width="10.109375" style="2" customWidth="1"/>
    <col min="4" max="4" width="8.88671875" style="2"/>
    <col min="5" max="5" width="10.21875" style="2" customWidth="1"/>
    <col min="6" max="6" width="8.88671875" style="2"/>
    <col min="7" max="7" width="13.109375" style="2" customWidth="1"/>
    <col min="8" max="8" width="11.6640625" style="2" customWidth="1"/>
    <col min="9" max="9" width="15.109375" style="2" bestFit="1" customWidth="1"/>
    <col min="10" max="10" width="16.21875" style="2" bestFit="1" customWidth="1"/>
    <col min="11" max="11" width="9" style="25" bestFit="1" customWidth="1"/>
    <col min="12" max="12" width="10.33203125" style="2" bestFit="1" customWidth="1"/>
    <col min="13" max="16384" width="8.88671875" style="2"/>
  </cols>
  <sheetData>
    <row r="1" spans="1:12" x14ac:dyDescent="0.2">
      <c r="A1" s="209" t="s">
        <v>65</v>
      </c>
      <c r="B1" s="210"/>
      <c r="C1" s="211" t="s">
        <v>66</v>
      </c>
      <c r="D1" s="211"/>
      <c r="E1" s="211"/>
      <c r="F1" s="211"/>
      <c r="G1" s="211"/>
      <c r="H1" s="212"/>
      <c r="I1" s="27"/>
    </row>
    <row r="2" spans="1:12" x14ac:dyDescent="0.2">
      <c r="A2" s="206" t="s">
        <v>67</v>
      </c>
      <c r="B2" s="186"/>
      <c r="C2" s="207" t="s">
        <v>119</v>
      </c>
      <c r="D2" s="207"/>
      <c r="E2" s="207"/>
      <c r="F2" s="207"/>
      <c r="G2" s="207"/>
      <c r="H2" s="208"/>
      <c r="I2" s="27"/>
    </row>
    <row r="3" spans="1:12" x14ac:dyDescent="0.2">
      <c r="A3" s="206" t="s">
        <v>69</v>
      </c>
      <c r="B3" s="186"/>
      <c r="C3" s="207" t="s">
        <v>120</v>
      </c>
      <c r="D3" s="207"/>
      <c r="E3" s="207"/>
      <c r="F3" s="207"/>
      <c r="G3" s="207"/>
      <c r="H3" s="208"/>
      <c r="I3" s="27"/>
    </row>
    <row r="4" spans="1:12" x14ac:dyDescent="0.2">
      <c r="A4" s="206" t="s">
        <v>71</v>
      </c>
      <c r="B4" s="186"/>
      <c r="C4" s="207"/>
      <c r="D4" s="207"/>
      <c r="E4" s="207"/>
      <c r="F4" s="207"/>
      <c r="G4" s="207"/>
      <c r="H4" s="208"/>
      <c r="I4" s="27"/>
    </row>
    <row r="5" spans="1:12" x14ac:dyDescent="0.2">
      <c r="A5" s="206" t="s">
        <v>72</v>
      </c>
      <c r="B5" s="186"/>
      <c r="C5" s="207" t="s">
        <v>75</v>
      </c>
      <c r="D5" s="207"/>
      <c r="E5" s="207"/>
      <c r="F5" s="207"/>
      <c r="G5" s="207"/>
      <c r="H5" s="208"/>
      <c r="I5" s="27"/>
    </row>
    <row r="6" spans="1:12" x14ac:dyDescent="0.2">
      <c r="A6" s="206" t="s">
        <v>74</v>
      </c>
      <c r="B6" s="186"/>
      <c r="C6" s="207" t="s">
        <v>117</v>
      </c>
      <c r="D6" s="207"/>
      <c r="E6" s="207"/>
      <c r="F6" s="207"/>
      <c r="G6" s="207"/>
      <c r="H6" s="208"/>
      <c r="I6" s="27"/>
    </row>
    <row r="7" spans="1:12" ht="13.5" thickBot="1" x14ac:dyDescent="0.25">
      <c r="A7" s="201" t="s">
        <v>76</v>
      </c>
      <c r="B7" s="202"/>
      <c r="C7" s="203" t="s">
        <v>121</v>
      </c>
      <c r="D7" s="203"/>
      <c r="E7" s="203"/>
      <c r="F7" s="203"/>
      <c r="G7" s="203"/>
      <c r="H7" s="204"/>
      <c r="I7" s="30"/>
    </row>
    <row r="8" spans="1:12" x14ac:dyDescent="0.2">
      <c r="A8" s="34"/>
      <c r="B8" s="34"/>
      <c r="C8" s="35"/>
      <c r="D8" s="35"/>
      <c r="E8" s="35"/>
      <c r="F8" s="35"/>
      <c r="G8" s="35"/>
      <c r="H8" s="35"/>
      <c r="J8" s="36"/>
    </row>
    <row r="9" spans="1:12" x14ac:dyDescent="0.2">
      <c r="A9" s="7"/>
      <c r="D9" s="194" t="s">
        <v>78</v>
      </c>
      <c r="E9" s="194"/>
      <c r="F9" s="194"/>
    </row>
    <row r="10" spans="1:12" s="99" customFormat="1" x14ac:dyDescent="0.2">
      <c r="A10" s="8" t="s">
        <v>24</v>
      </c>
      <c r="B10" s="8" t="s">
        <v>79</v>
      </c>
      <c r="C10" s="8" t="s">
        <v>62</v>
      </c>
      <c r="D10" s="8" t="s">
        <v>80</v>
      </c>
      <c r="E10" s="8" t="s">
        <v>58</v>
      </c>
      <c r="F10" s="8" t="s">
        <v>81</v>
      </c>
      <c r="G10" s="8" t="s">
        <v>82</v>
      </c>
      <c r="H10" s="8" t="s">
        <v>83</v>
      </c>
      <c r="I10" s="19" t="s">
        <v>84</v>
      </c>
      <c r="J10" s="19" t="s">
        <v>85</v>
      </c>
      <c r="K10" s="19" t="s">
        <v>86</v>
      </c>
      <c r="L10" s="19" t="s">
        <v>87</v>
      </c>
    </row>
    <row r="11" spans="1:12" x14ac:dyDescent="0.2">
      <c r="A11" s="31"/>
      <c r="B11" s="31"/>
      <c r="C11" s="31"/>
      <c r="D11" s="31"/>
      <c r="E11" s="31"/>
      <c r="F11" s="31"/>
      <c r="G11" s="31"/>
      <c r="H11" s="29"/>
      <c r="I11" s="30"/>
    </row>
    <row r="12" spans="1:12" x14ac:dyDescent="0.2">
      <c r="A12" s="205" t="s">
        <v>102</v>
      </c>
      <c r="B12" s="205"/>
      <c r="C12" s="205"/>
      <c r="D12" s="205"/>
      <c r="E12" s="205"/>
      <c r="F12" s="205"/>
      <c r="G12" s="29">
        <v>-286262.65999999997</v>
      </c>
      <c r="H12" s="29"/>
      <c r="I12" s="37"/>
      <c r="J12" s="24"/>
    </row>
    <row r="13" spans="1:12" x14ac:dyDescent="0.2">
      <c r="A13" s="205"/>
      <c r="B13" s="205"/>
      <c r="C13" s="205"/>
      <c r="D13" s="205"/>
      <c r="E13" s="205"/>
      <c r="F13" s="205"/>
      <c r="G13" s="29"/>
      <c r="H13" s="29">
        <f>SUM(G12:G12)</f>
        <v>-286262.65999999997</v>
      </c>
      <c r="I13" s="30"/>
    </row>
    <row r="14" spans="1:12" x14ac:dyDescent="0.2">
      <c r="A14" s="28">
        <f>'TAX Interest Rates'!A17</f>
        <v>43343</v>
      </c>
      <c r="B14" s="47" t="s">
        <v>103</v>
      </c>
      <c r="C14" s="46">
        <f>+'Temp Rate Credit Gross up'!R4</f>
        <v>61836631</v>
      </c>
      <c r="D14" s="24"/>
      <c r="E14" s="29">
        <f>+'Temp Rate Credit Gross up'!R71+0.54</f>
        <v>10621.750000000002</v>
      </c>
      <c r="F14" s="29">
        <f t="shared" ref="F14:F18" si="0">ROUND(H13*VLOOKUP(A14,TAXINT18,2)/365*VLOOKUP(A14,TAXINT18,3),2)</f>
        <v>0</v>
      </c>
      <c r="G14" s="29">
        <v>-70434.19</v>
      </c>
      <c r="H14" s="29">
        <f>SUM(D14:G14)+H13</f>
        <v>-346075.1</v>
      </c>
      <c r="I14" s="37">
        <v>-346075.1</v>
      </c>
      <c r="J14" s="2">
        <f>I14-H14</f>
        <v>0</v>
      </c>
      <c r="K14" s="25" t="s">
        <v>98</v>
      </c>
      <c r="L14" s="38">
        <v>43364</v>
      </c>
    </row>
    <row r="15" spans="1:12" x14ac:dyDescent="0.2">
      <c r="A15" s="28">
        <f>'TAX Interest Rates'!A18</f>
        <v>43373</v>
      </c>
      <c r="B15" s="47" t="s">
        <v>103</v>
      </c>
      <c r="C15" s="46">
        <f>+'Temp Rate Credit Gross up'!R5</f>
        <v>69221884</v>
      </c>
      <c r="D15" s="24" t="s">
        <v>122</v>
      </c>
      <c r="E15" s="29">
        <f>+'Temp Rate Credit Gross up'!R72+0.54</f>
        <v>16381.800000000003</v>
      </c>
      <c r="F15" s="29">
        <f t="shared" si="0"/>
        <v>0</v>
      </c>
      <c r="G15" s="29"/>
      <c r="H15" s="29">
        <f t="shared" ref="H15:H24" si="1">SUM(D15:G15)+H14</f>
        <v>-329693.3</v>
      </c>
      <c r="I15" s="37">
        <v>-329693.3</v>
      </c>
      <c r="J15" s="24">
        <f>I15-H15</f>
        <v>0</v>
      </c>
      <c r="K15" s="25" t="s">
        <v>98</v>
      </c>
      <c r="L15" s="38">
        <v>43381</v>
      </c>
    </row>
    <row r="16" spans="1:12" x14ac:dyDescent="0.2">
      <c r="A16" s="28">
        <f>'TAX Interest Rates'!A19</f>
        <v>43404</v>
      </c>
      <c r="B16" s="47" t="s">
        <v>103</v>
      </c>
      <c r="C16" s="46">
        <f>+'Temp Rate Credit Gross up'!R6</f>
        <v>58118580</v>
      </c>
      <c r="D16" s="37">
        <v>0</v>
      </c>
      <c r="E16" s="29">
        <f>+'Temp Rate Credit Gross up'!R73</f>
        <v>20337.240000000002</v>
      </c>
      <c r="F16" s="29">
        <f t="shared" si="0"/>
        <v>0</v>
      </c>
      <c r="G16" s="30"/>
      <c r="H16" s="32">
        <f t="shared" si="1"/>
        <v>-309356.06</v>
      </c>
      <c r="I16" s="37">
        <v>-309356.06</v>
      </c>
      <c r="J16" s="24">
        <f t="shared" ref="J16:J30" si="2">I16-H16</f>
        <v>0</v>
      </c>
      <c r="K16" s="25" t="s">
        <v>98</v>
      </c>
      <c r="L16" s="38">
        <v>43411</v>
      </c>
    </row>
    <row r="17" spans="1:12" x14ac:dyDescent="0.2">
      <c r="A17" s="28">
        <f>'TAX Interest Rates'!A20</f>
        <v>43434</v>
      </c>
      <c r="B17" s="47" t="s">
        <v>103</v>
      </c>
      <c r="C17" s="46">
        <f>+'Temp Rate Credit Gross up'!R7</f>
        <v>43389765</v>
      </c>
      <c r="D17" s="37">
        <v>0</v>
      </c>
      <c r="E17" s="29">
        <f>+'Temp Rate Credit Gross up'!R74</f>
        <v>25269.979999999996</v>
      </c>
      <c r="F17" s="29">
        <f t="shared" si="0"/>
        <v>0</v>
      </c>
      <c r="G17" s="30"/>
      <c r="H17" s="32">
        <f t="shared" si="1"/>
        <v>-284086.08</v>
      </c>
      <c r="I17" s="2">
        <v>-284086.08</v>
      </c>
      <c r="J17" s="24">
        <f t="shared" si="2"/>
        <v>0</v>
      </c>
      <c r="K17" s="25" t="s">
        <v>98</v>
      </c>
      <c r="L17" s="38">
        <v>43444</v>
      </c>
    </row>
    <row r="18" spans="1:12" x14ac:dyDescent="0.2">
      <c r="A18" s="28">
        <f>'TAX Interest Rates'!A21</f>
        <v>43465</v>
      </c>
      <c r="B18" s="47" t="s">
        <v>103</v>
      </c>
      <c r="C18" s="46">
        <f>+'Temp Rate Credit Gross up'!R8</f>
        <v>80158637</v>
      </c>
      <c r="D18" s="37">
        <v>0</v>
      </c>
      <c r="E18" s="29">
        <f>+'Temp Rate Credit Gross up'!R75</f>
        <v>47150.239999999998</v>
      </c>
      <c r="F18" s="29">
        <f t="shared" si="0"/>
        <v>0</v>
      </c>
      <c r="G18" s="30"/>
      <c r="H18" s="32">
        <f t="shared" si="1"/>
        <v>-236935.84000000003</v>
      </c>
      <c r="I18" s="2">
        <v>-236935.84</v>
      </c>
      <c r="J18" s="24">
        <f t="shared" si="2"/>
        <v>0</v>
      </c>
      <c r="K18" s="25" t="s">
        <v>98</v>
      </c>
      <c r="L18" s="38">
        <v>43482</v>
      </c>
    </row>
    <row r="19" spans="1:12" x14ac:dyDescent="0.2">
      <c r="A19" s="28">
        <f>'TAX Interest Rates'!A22</f>
        <v>43496</v>
      </c>
      <c r="B19" s="47" t="s">
        <v>103</v>
      </c>
      <c r="C19" s="46">
        <f>+'Temp Rate Credit Gross up'!R9</f>
        <v>86264908</v>
      </c>
      <c r="D19" s="37">
        <v>0</v>
      </c>
      <c r="E19" s="29">
        <f>+'Temp Rate Credit Gross up'!R76</f>
        <v>52946.080000000002</v>
      </c>
      <c r="F19" s="29">
        <f t="shared" ref="F19:F24" si="3">ROUND(H18*VLOOKUP(A19,TAXINT19,2)/365*VLOOKUP(A19,TAXINT19,3),2)</f>
        <v>0</v>
      </c>
      <c r="G19" s="30"/>
      <c r="H19" s="32">
        <f t="shared" si="1"/>
        <v>-183989.76000000001</v>
      </c>
      <c r="I19" s="2">
        <v>-183989.76000000001</v>
      </c>
      <c r="J19" s="24">
        <f t="shared" si="2"/>
        <v>0</v>
      </c>
      <c r="K19" s="25" t="s">
        <v>98</v>
      </c>
      <c r="L19" s="38">
        <v>43531</v>
      </c>
    </row>
    <row r="20" spans="1:12" x14ac:dyDescent="0.2">
      <c r="A20" s="28">
        <f>'TAX Interest Rates'!A23</f>
        <v>43524</v>
      </c>
      <c r="B20" s="47" t="s">
        <v>103</v>
      </c>
      <c r="C20" s="46">
        <f>+'Temp Rate Credit Gross up'!R10</f>
        <v>82269503</v>
      </c>
      <c r="D20" s="37">
        <v>0</v>
      </c>
      <c r="E20" s="29">
        <f>+'Temp Rate Credit Gross up'!R77</f>
        <v>55366.05000000001</v>
      </c>
      <c r="F20" s="29">
        <f t="shared" si="3"/>
        <v>0</v>
      </c>
      <c r="G20" s="30"/>
      <c r="H20" s="32">
        <f t="shared" si="1"/>
        <v>-128623.70999999999</v>
      </c>
      <c r="I20" s="2">
        <v>-128623.71</v>
      </c>
      <c r="J20" s="24">
        <f t="shared" si="2"/>
        <v>0</v>
      </c>
      <c r="K20" s="25" t="s">
        <v>98</v>
      </c>
      <c r="L20" s="38">
        <v>43531</v>
      </c>
    </row>
    <row r="21" spans="1:12" x14ac:dyDescent="0.2">
      <c r="A21" s="28">
        <f>'TAX Interest Rates'!A24</f>
        <v>43555</v>
      </c>
      <c r="B21" s="47" t="s">
        <v>103</v>
      </c>
      <c r="C21" s="46">
        <f>+'Temp Rate Credit Gross up'!R11</f>
        <v>84736435</v>
      </c>
      <c r="D21" s="37"/>
      <c r="E21" s="29">
        <f>+'Temp Rate Credit Gross up'!R78</f>
        <v>60013.749999999993</v>
      </c>
      <c r="F21" s="29">
        <f t="shared" si="3"/>
        <v>0</v>
      </c>
      <c r="G21" s="30"/>
      <c r="H21" s="32">
        <f t="shared" si="1"/>
        <v>-68609.959999999992</v>
      </c>
      <c r="I21" s="2">
        <v>-68609.960000000006</v>
      </c>
      <c r="J21" s="24">
        <f t="shared" si="2"/>
        <v>0</v>
      </c>
      <c r="K21" s="25" t="s">
        <v>98</v>
      </c>
      <c r="L21" s="38">
        <v>43560</v>
      </c>
    </row>
    <row r="22" spans="1:12" x14ac:dyDescent="0.2">
      <c r="A22" s="28">
        <f>'TAX Interest Rates'!A25</f>
        <v>43585</v>
      </c>
      <c r="B22" s="47" t="s">
        <v>103</v>
      </c>
      <c r="C22" s="46">
        <f>+'Temp Rate Credit Gross up'!R12</f>
        <v>62230455</v>
      </c>
      <c r="D22" s="24"/>
      <c r="E22" s="29">
        <f>+'Temp Rate Credit Gross up'!R79</f>
        <v>35629.18</v>
      </c>
      <c r="F22" s="29">
        <f t="shared" si="3"/>
        <v>0</v>
      </c>
      <c r="H22" s="32">
        <f t="shared" si="1"/>
        <v>-32980.779999999992</v>
      </c>
      <c r="I22" s="2">
        <v>-32980.78</v>
      </c>
      <c r="J22" s="24">
        <f t="shared" si="2"/>
        <v>0</v>
      </c>
      <c r="K22" s="25" t="s">
        <v>98</v>
      </c>
      <c r="L22" s="38">
        <v>43593</v>
      </c>
    </row>
    <row r="23" spans="1:12" x14ac:dyDescent="0.2">
      <c r="A23" s="28">
        <f>'TAX Interest Rates'!A26</f>
        <v>43616</v>
      </c>
      <c r="B23" s="47" t="s">
        <v>103</v>
      </c>
      <c r="C23" s="46">
        <f>+'Temp Rate Credit Gross up'!R13</f>
        <v>50477479</v>
      </c>
      <c r="D23" s="24"/>
      <c r="E23" s="29">
        <f>+'Temp Rate Credit Gross up'!R80</f>
        <v>23129.739999999998</v>
      </c>
      <c r="F23" s="29">
        <f t="shared" si="3"/>
        <v>0</v>
      </c>
      <c r="H23" s="32">
        <f t="shared" si="1"/>
        <v>-9851.0399999999936</v>
      </c>
      <c r="I23" s="2">
        <v>-9851.0400000000009</v>
      </c>
      <c r="J23" s="24">
        <f t="shared" si="2"/>
        <v>0</v>
      </c>
      <c r="K23" s="25" t="s">
        <v>98</v>
      </c>
      <c r="L23" s="38">
        <v>43623</v>
      </c>
    </row>
    <row r="24" spans="1:12" x14ac:dyDescent="0.2">
      <c r="A24" s="28">
        <f>'TAX Interest Rates'!A27</f>
        <v>43646</v>
      </c>
      <c r="B24" s="47" t="s">
        <v>103</v>
      </c>
      <c r="C24" s="46">
        <f>+'Temp Rate Credit Gross up'!R14</f>
        <v>51732018</v>
      </c>
      <c r="D24" s="24"/>
      <c r="E24" s="29">
        <f>+'Temp Rate Credit Gross up'!R81</f>
        <v>16516.579999999998</v>
      </c>
      <c r="F24" s="29">
        <f t="shared" si="3"/>
        <v>0</v>
      </c>
      <c r="H24" s="32">
        <f t="shared" si="1"/>
        <v>6665.5400000000045</v>
      </c>
      <c r="I24" s="2">
        <v>6665.54</v>
      </c>
      <c r="J24" s="24">
        <f t="shared" si="2"/>
        <v>0</v>
      </c>
      <c r="K24" s="25" t="s">
        <v>98</v>
      </c>
      <c r="L24" s="38">
        <v>43654</v>
      </c>
    </row>
    <row r="25" spans="1:12" x14ac:dyDescent="0.2">
      <c r="A25" s="28">
        <f>'TAX Interest Rates'!A28</f>
        <v>43677</v>
      </c>
      <c r="B25" s="47" t="s">
        <v>103</v>
      </c>
      <c r="C25" s="46">
        <f>+'Temp Rate Credit Gross up'!R15</f>
        <v>67400695</v>
      </c>
      <c r="D25" s="24"/>
      <c r="E25" s="29">
        <f>+'Temp Rate Credit Gross up'!R82</f>
        <v>16958.099999999999</v>
      </c>
      <c r="F25" s="29">
        <f t="shared" ref="F25:F30" si="4">ROUND(H24*VLOOKUP(A25,TAXINT19,2)/365*VLOOKUP(A25,TAXINT19,3),2)</f>
        <v>0</v>
      </c>
      <c r="H25" s="32">
        <f t="shared" ref="H25:H30" si="5">SUM(D25:G25)+H24</f>
        <v>23623.640000000003</v>
      </c>
      <c r="I25" s="2">
        <v>23623.64</v>
      </c>
      <c r="J25" s="24">
        <f t="shared" si="2"/>
        <v>0</v>
      </c>
      <c r="K25" s="25" t="s">
        <v>98</v>
      </c>
      <c r="L25" s="38">
        <v>43685</v>
      </c>
    </row>
    <row r="26" spans="1:12" x14ac:dyDescent="0.2">
      <c r="A26" s="28">
        <f>'TAX Interest Rates'!A29</f>
        <v>43708</v>
      </c>
      <c r="B26" s="47" t="s">
        <v>103</v>
      </c>
      <c r="C26" s="46">
        <f>+'Temp Rate Credit Gross up'!R16</f>
        <v>76438837</v>
      </c>
      <c r="D26" s="24"/>
      <c r="E26" s="29">
        <f>+'Temp Rate Credit Gross up'!R83</f>
        <v>17287.080000000002</v>
      </c>
      <c r="F26" s="29">
        <f t="shared" si="4"/>
        <v>0</v>
      </c>
      <c r="H26" s="32">
        <f t="shared" si="5"/>
        <v>40910.720000000001</v>
      </c>
      <c r="I26" s="2">
        <v>40910.720000000001</v>
      </c>
      <c r="J26" s="24">
        <f t="shared" si="2"/>
        <v>0</v>
      </c>
      <c r="K26" s="25" t="s">
        <v>98</v>
      </c>
      <c r="L26" s="38">
        <v>43717</v>
      </c>
    </row>
    <row r="27" spans="1:12" x14ac:dyDescent="0.2">
      <c r="A27" s="28">
        <f>'TAX Interest Rates'!A30</f>
        <v>43738</v>
      </c>
      <c r="B27" s="47" t="s">
        <v>103</v>
      </c>
      <c r="C27" s="46">
        <f>+'Temp Rate Credit Gross up'!R17</f>
        <v>73218474</v>
      </c>
      <c r="D27" s="24"/>
      <c r="E27" s="29">
        <f>+'Temp Rate Credit Gross up'!R84</f>
        <v>16643.480000000003</v>
      </c>
      <c r="F27" s="29">
        <f t="shared" si="4"/>
        <v>0</v>
      </c>
      <c r="H27" s="32">
        <f t="shared" si="5"/>
        <v>57554.200000000004</v>
      </c>
      <c r="I27" s="2">
        <v>57554.2</v>
      </c>
      <c r="J27" s="24">
        <f t="shared" si="2"/>
        <v>0</v>
      </c>
      <c r="K27" s="25" t="s">
        <v>98</v>
      </c>
      <c r="L27" s="38">
        <v>43745</v>
      </c>
    </row>
    <row r="28" spans="1:12" x14ac:dyDescent="0.2">
      <c r="A28" s="28">
        <f>'TAX Interest Rates'!A31</f>
        <v>43769</v>
      </c>
      <c r="B28" s="47" t="s">
        <v>103</v>
      </c>
      <c r="C28" s="46">
        <f>+'Temp Rate Credit Gross up'!R18</f>
        <v>62211815</v>
      </c>
      <c r="D28" s="24"/>
      <c r="E28" s="29">
        <f>+'Temp Rate Credit Gross up'!R85</f>
        <v>23696.16</v>
      </c>
      <c r="F28" s="29">
        <f t="shared" si="4"/>
        <v>0</v>
      </c>
      <c r="H28" s="32">
        <f t="shared" si="5"/>
        <v>81250.36</v>
      </c>
      <c r="I28" s="2">
        <v>81250.36</v>
      </c>
      <c r="J28" s="24">
        <f t="shared" si="2"/>
        <v>0</v>
      </c>
      <c r="K28" s="25" t="s">
        <v>98</v>
      </c>
      <c r="L28" s="38">
        <v>43776</v>
      </c>
    </row>
    <row r="29" spans="1:12" x14ac:dyDescent="0.2">
      <c r="A29" s="28">
        <f>'TAX Interest Rates'!A32</f>
        <v>43799</v>
      </c>
      <c r="B29" s="47" t="s">
        <v>104</v>
      </c>
      <c r="C29" s="46">
        <f>+'Temp Rate Credit Gross up'!R19+'Temp Rate Credit Gross up'!R20</f>
        <v>72608604</v>
      </c>
      <c r="D29" s="24"/>
      <c r="E29" s="29">
        <f>+'Temp Rate Credit Gross up'!R86+'Temp Rate Credit Gross up'!R87</f>
        <v>18690.419999999998</v>
      </c>
      <c r="F29" s="29">
        <f t="shared" si="4"/>
        <v>0</v>
      </c>
      <c r="H29" s="32">
        <f t="shared" si="5"/>
        <v>99940.78</v>
      </c>
      <c r="I29" s="2">
        <f>157397.09-57456.31</f>
        <v>99940.78</v>
      </c>
      <c r="J29" s="24">
        <f t="shared" si="2"/>
        <v>0</v>
      </c>
      <c r="K29" s="25" t="s">
        <v>98</v>
      </c>
      <c r="L29" s="38">
        <v>43808</v>
      </c>
    </row>
    <row r="30" spans="1:12" x14ac:dyDescent="0.2">
      <c r="A30" s="28">
        <f>'TAX Interest Rates'!A33</f>
        <v>43830</v>
      </c>
      <c r="B30" s="47" t="s">
        <v>103</v>
      </c>
      <c r="C30" s="46">
        <f>+'Temp Rate Credit Gross up'!R21</f>
        <v>95612394</v>
      </c>
      <c r="D30" s="24"/>
      <c r="E30" s="29">
        <f>+'Temp Rate Credit Gross up'!R88</f>
        <v>0</v>
      </c>
      <c r="F30" s="29">
        <f t="shared" si="4"/>
        <v>0</v>
      </c>
      <c r="H30" s="32">
        <f t="shared" si="5"/>
        <v>99940.78</v>
      </c>
      <c r="J30" s="24">
        <f t="shared" si="2"/>
        <v>-99940.78</v>
      </c>
      <c r="L30" s="38"/>
    </row>
    <row r="31" spans="1:12" x14ac:dyDescent="0.2">
      <c r="A31" s="28">
        <f>'TAX Interest Rates'!A34</f>
        <v>43861</v>
      </c>
      <c r="B31" s="47" t="s">
        <v>103</v>
      </c>
      <c r="C31" s="46">
        <f>+'Temp Rate Credit Gross up'!R22</f>
        <v>96190788</v>
      </c>
      <c r="D31" s="24"/>
      <c r="E31" s="29">
        <f>+'Temp Rate Credit Gross up'!R89</f>
        <v>0</v>
      </c>
      <c r="F31" s="29">
        <f t="shared" ref="F31:F42" si="6">ROUND(H30*VLOOKUP(A31,TAXINT19,2)/365*VLOOKUP(A31,TAXINT19,3),2)</f>
        <v>0</v>
      </c>
      <c r="H31" s="32">
        <f t="shared" ref="H31:H42" si="7">SUM(D31:G31)+H30</f>
        <v>99940.78</v>
      </c>
      <c r="J31" s="24">
        <f t="shared" ref="J31:J42" si="8">I31-H31</f>
        <v>-99940.78</v>
      </c>
      <c r="L31" s="38"/>
    </row>
    <row r="32" spans="1:12" x14ac:dyDescent="0.2">
      <c r="A32" s="28">
        <f>'TAX Interest Rates'!A35</f>
        <v>43890</v>
      </c>
      <c r="B32" s="47" t="s">
        <v>103</v>
      </c>
      <c r="C32" s="46">
        <f>+'Temp Rate Credit Gross up'!R35</f>
        <v>0</v>
      </c>
      <c r="D32" s="24"/>
      <c r="E32" s="29">
        <f>+'Temp Rate Credit Gross up'!R90</f>
        <v>0</v>
      </c>
      <c r="F32" s="29">
        <f t="shared" si="6"/>
        <v>0</v>
      </c>
      <c r="H32" s="32">
        <f t="shared" si="7"/>
        <v>99940.78</v>
      </c>
      <c r="J32" s="24">
        <f t="shared" si="8"/>
        <v>-99940.78</v>
      </c>
      <c r="L32" s="38"/>
    </row>
    <row r="33" spans="1:12" x14ac:dyDescent="0.2">
      <c r="A33" s="28">
        <f>'TAX Interest Rates'!A36</f>
        <v>43921</v>
      </c>
      <c r="B33" s="47" t="s">
        <v>103</v>
      </c>
      <c r="C33" s="46">
        <f>+'Temp Rate Credit Gross up'!R36</f>
        <v>0</v>
      </c>
      <c r="D33" s="24"/>
      <c r="E33" s="29">
        <f>+'Temp Rate Credit Gross up'!R91</f>
        <v>0</v>
      </c>
      <c r="F33" s="29">
        <f t="shared" si="6"/>
        <v>0</v>
      </c>
      <c r="H33" s="32">
        <f t="shared" si="7"/>
        <v>99940.78</v>
      </c>
      <c r="J33" s="24">
        <f t="shared" si="8"/>
        <v>-99940.78</v>
      </c>
      <c r="L33" s="38"/>
    </row>
    <row r="34" spans="1:12" x14ac:dyDescent="0.2">
      <c r="A34" s="28">
        <f>'TAX Interest Rates'!A37</f>
        <v>43951</v>
      </c>
      <c r="B34" s="47" t="s">
        <v>103</v>
      </c>
      <c r="C34" s="46">
        <f>+'Temp Rate Credit Gross up'!R37</f>
        <v>0</v>
      </c>
      <c r="D34" s="24"/>
      <c r="E34" s="29">
        <f>+'Temp Rate Credit Gross up'!R92</f>
        <v>0</v>
      </c>
      <c r="F34" s="29">
        <f t="shared" si="6"/>
        <v>0</v>
      </c>
      <c r="H34" s="32">
        <f t="shared" si="7"/>
        <v>99940.78</v>
      </c>
      <c r="J34" s="24">
        <f t="shared" si="8"/>
        <v>-99940.78</v>
      </c>
      <c r="L34" s="38"/>
    </row>
    <row r="35" spans="1:12" x14ac:dyDescent="0.2">
      <c r="A35" s="28">
        <f>'TAX Interest Rates'!A38</f>
        <v>43982</v>
      </c>
      <c r="B35" s="47" t="s">
        <v>103</v>
      </c>
      <c r="C35" s="46">
        <f>+'Temp Rate Credit Gross up'!R38</f>
        <v>0</v>
      </c>
      <c r="D35" s="24"/>
      <c r="E35" s="29">
        <f>+'Temp Rate Credit Gross up'!R93</f>
        <v>0</v>
      </c>
      <c r="F35" s="29">
        <f t="shared" si="6"/>
        <v>0</v>
      </c>
      <c r="H35" s="32">
        <f t="shared" si="7"/>
        <v>99940.78</v>
      </c>
      <c r="J35" s="24">
        <f t="shared" si="8"/>
        <v>-99940.78</v>
      </c>
      <c r="L35" s="38"/>
    </row>
    <row r="36" spans="1:12" x14ac:dyDescent="0.2">
      <c r="A36" s="28">
        <f>'TAX Interest Rates'!A39</f>
        <v>44012</v>
      </c>
      <c r="B36" s="47" t="s">
        <v>103</v>
      </c>
      <c r="C36" s="46">
        <f>+'Temp Rate Credit Gross up'!R39</f>
        <v>0</v>
      </c>
      <c r="D36" s="24"/>
      <c r="E36" s="29">
        <f>+'Temp Rate Credit Gross up'!R94</f>
        <v>0</v>
      </c>
      <c r="F36" s="29">
        <f t="shared" si="6"/>
        <v>0</v>
      </c>
      <c r="H36" s="32">
        <f t="shared" si="7"/>
        <v>99940.78</v>
      </c>
      <c r="J36" s="24">
        <f t="shared" si="8"/>
        <v>-99940.78</v>
      </c>
      <c r="L36" s="38"/>
    </row>
    <row r="37" spans="1:12" x14ac:dyDescent="0.2">
      <c r="A37" s="28">
        <f>'TAX Interest Rates'!A40</f>
        <v>44043</v>
      </c>
      <c r="B37" s="47" t="s">
        <v>103</v>
      </c>
      <c r="C37" s="46">
        <f>+'Temp Rate Credit Gross up'!R40</f>
        <v>0</v>
      </c>
      <c r="D37" s="24"/>
      <c r="E37" s="29">
        <f>+'Temp Rate Credit Gross up'!R95</f>
        <v>0</v>
      </c>
      <c r="F37" s="29">
        <f t="shared" si="6"/>
        <v>0</v>
      </c>
      <c r="H37" s="32">
        <f t="shared" si="7"/>
        <v>99940.78</v>
      </c>
      <c r="J37" s="24">
        <f t="shared" si="8"/>
        <v>-99940.78</v>
      </c>
      <c r="L37" s="38"/>
    </row>
    <row r="38" spans="1:12" x14ac:dyDescent="0.2">
      <c r="A38" s="28">
        <f>'TAX Interest Rates'!A41</f>
        <v>44074</v>
      </c>
      <c r="B38" s="47" t="s">
        <v>103</v>
      </c>
      <c r="C38" s="46">
        <f>+'Temp Rate Credit Gross up'!R41</f>
        <v>0</v>
      </c>
      <c r="D38" s="24"/>
      <c r="E38" s="29">
        <f>+'Temp Rate Credit Gross up'!R96</f>
        <v>0</v>
      </c>
      <c r="F38" s="29">
        <f t="shared" si="6"/>
        <v>0</v>
      </c>
      <c r="H38" s="32">
        <f t="shared" si="7"/>
        <v>99940.78</v>
      </c>
      <c r="J38" s="24">
        <f t="shared" si="8"/>
        <v>-99940.78</v>
      </c>
      <c r="L38" s="38"/>
    </row>
    <row r="39" spans="1:12" x14ac:dyDescent="0.2">
      <c r="A39" s="28">
        <f>'TAX Interest Rates'!A42</f>
        <v>44104</v>
      </c>
      <c r="B39" s="47" t="s">
        <v>103</v>
      </c>
      <c r="C39" s="46">
        <f>+'Temp Rate Credit Gross up'!R42</f>
        <v>0</v>
      </c>
      <c r="D39" s="24"/>
      <c r="E39" s="29">
        <f>+'Temp Rate Credit Gross up'!R97</f>
        <v>0</v>
      </c>
      <c r="F39" s="29">
        <f t="shared" si="6"/>
        <v>0</v>
      </c>
      <c r="H39" s="32">
        <f t="shared" si="7"/>
        <v>99940.78</v>
      </c>
      <c r="J39" s="24">
        <f t="shared" si="8"/>
        <v>-99940.78</v>
      </c>
      <c r="L39" s="38"/>
    </row>
    <row r="40" spans="1:12" x14ac:dyDescent="0.2">
      <c r="A40" s="28">
        <f>'TAX Interest Rates'!A43</f>
        <v>44135</v>
      </c>
      <c r="B40" s="47" t="s">
        <v>103</v>
      </c>
      <c r="C40" s="46">
        <f>+'Temp Rate Credit Gross up'!R43</f>
        <v>0</v>
      </c>
      <c r="D40" s="24"/>
      <c r="E40" s="29">
        <f>+'Temp Rate Credit Gross up'!R98</f>
        <v>0</v>
      </c>
      <c r="F40" s="29">
        <f t="shared" si="6"/>
        <v>0</v>
      </c>
      <c r="H40" s="32">
        <f t="shared" si="7"/>
        <v>99940.78</v>
      </c>
      <c r="J40" s="24">
        <f t="shared" si="8"/>
        <v>-99940.78</v>
      </c>
      <c r="L40" s="38"/>
    </row>
    <row r="41" spans="1:12" x14ac:dyDescent="0.2">
      <c r="A41" s="28">
        <f>'TAX Interest Rates'!A44</f>
        <v>44165</v>
      </c>
      <c r="B41" s="47" t="s">
        <v>103</v>
      </c>
      <c r="C41" s="46">
        <f>+'Temp Rate Credit Gross up'!R44</f>
        <v>0</v>
      </c>
      <c r="D41" s="24"/>
      <c r="E41" s="29">
        <f>+'Temp Rate Credit Gross up'!R99</f>
        <v>0</v>
      </c>
      <c r="F41" s="29">
        <f t="shared" si="6"/>
        <v>0</v>
      </c>
      <c r="H41" s="32">
        <f t="shared" si="7"/>
        <v>99940.78</v>
      </c>
      <c r="J41" s="24">
        <f t="shared" si="8"/>
        <v>-99940.78</v>
      </c>
      <c r="L41" s="38"/>
    </row>
    <row r="42" spans="1:12" x14ac:dyDescent="0.2">
      <c r="A42" s="28">
        <f>'TAX Interest Rates'!A45</f>
        <v>44196</v>
      </c>
      <c r="B42" s="47" t="s">
        <v>103</v>
      </c>
      <c r="C42" s="46">
        <f>+'Temp Rate Credit Gross up'!R45</f>
        <v>0</v>
      </c>
      <c r="D42" s="24"/>
      <c r="E42" s="29">
        <f>+'Temp Rate Credit Gross up'!R100</f>
        <v>0</v>
      </c>
      <c r="F42" s="29">
        <f t="shared" si="6"/>
        <v>0</v>
      </c>
      <c r="H42" s="32">
        <f t="shared" si="7"/>
        <v>99940.78</v>
      </c>
      <c r="J42" s="24">
        <f t="shared" si="8"/>
        <v>-99940.78</v>
      </c>
      <c r="L42" s="38"/>
    </row>
    <row r="43" spans="1:12" x14ac:dyDescent="0.2">
      <c r="L43" s="38"/>
    </row>
  </sheetData>
  <mergeCells count="17"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H7"/>
    <mergeCell ref="D9:F9"/>
    <mergeCell ref="A12:F12"/>
    <mergeCell ref="A13:F13"/>
  </mergeCells>
  <pageMargins left="0.7" right="0.7" top="0.75" bottom="0.75" header="0.3" footer="0.3"/>
  <pageSetup scale="94" fitToHeight="0" orientation="portrait" r:id="rId1"/>
  <headerFooter>
    <oddFooter>&amp;LWA Tax Amort&amp;C&amp;A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zoomScaleNormal="100" zoomScaleSheetLayoutView="100" workbookViewId="0">
      <selection activeCell="L30" sqref="L30"/>
    </sheetView>
  </sheetViews>
  <sheetFormatPr defaultColWidth="8.88671875" defaultRowHeight="18.75" x14ac:dyDescent="0.3"/>
  <cols>
    <col min="1" max="1" width="15" style="110" customWidth="1"/>
    <col min="2" max="2" width="2.6640625" style="110" customWidth="1"/>
    <col min="3" max="3" width="2.6640625" style="110" bestFit="1" customWidth="1"/>
    <col min="4" max="4" width="14.21875" style="110" bestFit="1" customWidth="1"/>
    <col min="5" max="5" width="1.77734375" style="110" customWidth="1"/>
    <col min="6" max="6" width="2.109375" style="110" customWidth="1"/>
    <col min="7" max="7" width="2.21875" style="110" customWidth="1"/>
    <col min="8" max="8" width="31.44140625" style="110" customWidth="1"/>
    <col min="9" max="9" width="5.6640625" style="110" customWidth="1"/>
    <col min="10" max="10" width="7.21875" style="110" customWidth="1"/>
    <col min="11" max="11" width="8.5546875" style="110" customWidth="1"/>
    <col min="12" max="12" width="8.21875" style="110" bestFit="1" customWidth="1"/>
    <col min="13" max="16384" width="8.88671875" style="110"/>
  </cols>
  <sheetData>
    <row r="1" spans="1:14" x14ac:dyDescent="0.3">
      <c r="A1" s="108">
        <f>'TAX Interest Rates'!A65</f>
        <v>44804</v>
      </c>
      <c r="B1" s="109"/>
      <c r="C1" s="109"/>
      <c r="D1" s="109"/>
      <c r="E1" s="109"/>
      <c r="F1" s="109"/>
      <c r="G1" s="109"/>
      <c r="H1" s="109"/>
    </row>
    <row r="2" spans="1:14" ht="27" customHeight="1" x14ac:dyDescent="0.3">
      <c r="A2" s="172" t="s">
        <v>0</v>
      </c>
      <c r="B2" s="173"/>
      <c r="C2" s="173"/>
      <c r="D2" s="173"/>
      <c r="E2" s="173"/>
      <c r="F2" s="173"/>
      <c r="G2" s="173"/>
      <c r="H2" s="173"/>
    </row>
    <row r="3" spans="1:14" x14ac:dyDescent="0.3">
      <c r="A3" s="174" t="s">
        <v>1</v>
      </c>
      <c r="B3" s="174"/>
      <c r="C3" s="174"/>
      <c r="D3" s="174"/>
      <c r="E3" s="174"/>
      <c r="F3" s="174"/>
      <c r="G3" s="174"/>
      <c r="H3" s="174"/>
      <c r="I3" s="174"/>
    </row>
    <row r="4" spans="1:14" x14ac:dyDescent="0.3">
      <c r="A4" s="118"/>
      <c r="B4" s="118"/>
      <c r="C4" s="118"/>
      <c r="D4" s="118"/>
      <c r="E4" s="118"/>
      <c r="F4" s="118"/>
      <c r="G4" s="118"/>
      <c r="H4" s="118"/>
      <c r="I4" s="118"/>
    </row>
    <row r="5" spans="1:14" x14ac:dyDescent="0.3">
      <c r="A5" s="118"/>
      <c r="B5" s="118"/>
      <c r="C5" s="118"/>
      <c r="D5" s="118"/>
      <c r="E5" s="118"/>
      <c r="F5" s="118"/>
      <c r="G5" s="118"/>
      <c r="H5" s="118"/>
      <c r="I5" s="118"/>
    </row>
    <row r="6" spans="1:14" ht="37.5" x14ac:dyDescent="0.3">
      <c r="A6" s="111" t="s">
        <v>3</v>
      </c>
      <c r="B6" s="111"/>
      <c r="C6" s="111"/>
      <c r="D6" s="112" t="s">
        <v>4</v>
      </c>
      <c r="E6" s="111"/>
      <c r="F6" s="111"/>
      <c r="G6" s="111"/>
      <c r="H6" s="111" t="s">
        <v>5</v>
      </c>
      <c r="I6" s="109"/>
    </row>
    <row r="7" spans="1:14" x14ac:dyDescent="0.3">
      <c r="A7" s="113" t="s">
        <v>6</v>
      </c>
      <c r="B7" s="109"/>
      <c r="C7" s="109"/>
      <c r="D7" s="114">
        <f>VLOOKUP($A$1,'2540.20481'!$A$14:$E$64,5,FALSE)</f>
        <v>61483.68</v>
      </c>
      <c r="E7" s="109"/>
      <c r="F7" s="157"/>
      <c r="G7" s="109"/>
      <c r="H7" s="113" t="str">
        <f t="shared" ref="H7:H10" si="0">TEXT($A$1, "MM-YY")&amp;"  Amortization of Tax Deferral"</f>
        <v>08-22  Amortization of Tax Deferral</v>
      </c>
      <c r="I7" s="109"/>
    </row>
    <row r="8" spans="1:14" x14ac:dyDescent="0.3">
      <c r="A8" s="113" t="s">
        <v>8</v>
      </c>
      <c r="B8" s="109"/>
      <c r="C8" s="109"/>
      <c r="D8" s="114">
        <f>VLOOKUP($A$1,'2540.20482'!$A$14:$E$64,5,FALSE)</f>
        <v>20233.329999999998</v>
      </c>
      <c r="E8" s="109"/>
      <c r="F8" s="157"/>
      <c r="G8" s="109"/>
      <c r="H8" s="113" t="str">
        <f t="shared" si="0"/>
        <v>08-22  Amortization of Tax Deferral</v>
      </c>
      <c r="I8" s="109"/>
    </row>
    <row r="9" spans="1:14" x14ac:dyDescent="0.3">
      <c r="A9" s="113" t="s">
        <v>9</v>
      </c>
      <c r="B9" s="109"/>
      <c r="C9" s="109"/>
      <c r="D9" s="114">
        <f>VLOOKUP($A$1,'2540.20483'!$A$14:$E$64,5,FALSE)</f>
        <v>22372.99</v>
      </c>
      <c r="E9" s="109"/>
      <c r="F9" s="157"/>
      <c r="G9" s="109"/>
      <c r="H9" s="113" t="str">
        <f t="shared" si="0"/>
        <v>08-22  Amortization of Tax Deferral</v>
      </c>
      <c r="I9" s="109"/>
    </row>
    <row r="10" spans="1:14" x14ac:dyDescent="0.3">
      <c r="A10" s="113" t="s">
        <v>10</v>
      </c>
      <c r="B10" s="109"/>
      <c r="C10" s="109"/>
      <c r="D10" s="114">
        <f>VLOOKUP($A$1,'2540.20484'!$A$14:$E$64,5,FALSE)</f>
        <v>7552.6500000000005</v>
      </c>
      <c r="E10" s="109"/>
      <c r="F10" s="157"/>
      <c r="G10" s="109"/>
      <c r="H10" s="113" t="str">
        <f t="shared" si="0"/>
        <v>08-22  Amortization of Tax Deferral</v>
      </c>
      <c r="I10" s="109"/>
    </row>
    <row r="11" spans="1:14" x14ac:dyDescent="0.3">
      <c r="A11" s="115" t="s">
        <v>11</v>
      </c>
      <c r="B11" s="115"/>
      <c r="C11" s="115"/>
      <c r="D11" s="156">
        <f>-VLOOKUP($A$1,'Protected EDIT Base'!$A$115:$AC$170,25,FALSE)-VLOOKUP($A$1,'Protected EDIT Gross up'!$A$115:$AC$170,25,FALSE)-VLOOKUP($A$1,'Unprotected EDIT Base'!$A$115:$AC$170,25,FALSE)-VLOOKUP($A$1,'Unprotected EDIT Gross up'!$A$115:$AC$170,25,FALSE)</f>
        <v>-57643.389999999992</v>
      </c>
      <c r="E11" s="115"/>
      <c r="F11" s="115"/>
      <c r="G11" s="115"/>
      <c r="H11" s="115" t="str">
        <f t="shared" ref="H11:H12" si="1">TEXT($A$1, "MM-YY")&amp;"  Amortization of Tax Deferral"</f>
        <v>08-22  Amortization of Tax Deferral</v>
      </c>
      <c r="I11" s="110" t="s">
        <v>12</v>
      </c>
      <c r="K11" s="114"/>
      <c r="L11" s="114"/>
      <c r="M11" s="114"/>
      <c r="N11" s="114"/>
    </row>
    <row r="12" spans="1:14" x14ac:dyDescent="0.3">
      <c r="A12" s="116" t="s">
        <v>13</v>
      </c>
      <c r="B12" s="117"/>
      <c r="C12" s="117"/>
      <c r="D12" s="117">
        <f>-VLOOKUP($A$1,'Protected EDIT Base'!$A$115:$AC$170,28,FALSE)-VLOOKUP($A$1,'Protected EDIT Gross up'!$A$115:$AC$170,28,FALSE)-VLOOKUP($A$1,'Unprotected EDIT Base'!$A$115:$AC$170,28,FALSE)-VLOOKUP($A$1,'Unprotected EDIT Gross up'!$A$115:$AC$170,28,FALSE)</f>
        <v>-53999.260000000009</v>
      </c>
      <c r="E12" s="117"/>
      <c r="F12" s="117"/>
      <c r="G12" s="117"/>
      <c r="H12" s="116" t="str">
        <f t="shared" si="1"/>
        <v>08-22  Amortization of Tax Deferral</v>
      </c>
      <c r="I12" s="110" t="s">
        <v>14</v>
      </c>
    </row>
    <row r="13" spans="1:14" x14ac:dyDescent="0.3">
      <c r="A13" s="113"/>
      <c r="B13" s="109"/>
      <c r="C13" s="109"/>
      <c r="D13" s="22">
        <f>SUM(D7:D12)</f>
        <v>0</v>
      </c>
      <c r="E13" s="109"/>
      <c r="F13" s="109"/>
      <c r="G13" s="109"/>
      <c r="H13" s="113"/>
    </row>
  </sheetData>
  <mergeCells count="2">
    <mergeCell ref="A3:I3"/>
    <mergeCell ref="A2:H2"/>
  </mergeCells>
  <pageMargins left="0.5" right="0.25" top="0.5" bottom="0.75" header="0.3" footer="0.3"/>
  <pageSetup scale="74" orientation="landscape" cellComments="asDisplayed" r:id="rId1"/>
  <headerFooter>
    <oddFooter>&amp;LWA Tax Amortization&amp;C&amp;A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2:AD100"/>
  <sheetViews>
    <sheetView zoomScaleNormal="100" workbookViewId="0">
      <selection activeCell="B29" sqref="B29"/>
    </sheetView>
  </sheetViews>
  <sheetFormatPr defaultColWidth="8.88671875" defaultRowHeight="15" x14ac:dyDescent="0.25"/>
  <cols>
    <col min="1" max="1" width="8.88671875" style="40"/>
    <col min="2" max="2" width="8.77734375" style="40" customWidth="1"/>
    <col min="3" max="6" width="8" style="40" customWidth="1"/>
    <col min="7" max="7" width="9" style="40" bestFit="1" customWidth="1"/>
    <col min="8" max="8" width="8.77734375" style="40" bestFit="1" customWidth="1"/>
    <col min="9" max="11" width="8" style="40" customWidth="1"/>
    <col min="12" max="12" width="9.6640625" style="40" customWidth="1"/>
    <col min="13" max="14" width="9.5546875" style="40" bestFit="1" customWidth="1"/>
    <col min="15" max="15" width="8.77734375" style="40" bestFit="1" customWidth="1"/>
    <col min="16" max="16" width="9.5546875" style="40" customWidth="1"/>
    <col min="17" max="17" width="1.77734375" style="40" customWidth="1"/>
    <col min="18" max="18" width="9.5546875" style="40" bestFit="1" customWidth="1"/>
    <col min="19" max="19" width="7.77734375" style="40" customWidth="1"/>
    <col min="20" max="16384" width="8.88671875" style="40"/>
  </cols>
  <sheetData>
    <row r="2" spans="1:18" ht="15.75" customHeight="1" x14ac:dyDescent="0.25">
      <c r="B2" s="64">
        <v>4800</v>
      </c>
      <c r="C2" s="179">
        <v>4809</v>
      </c>
      <c r="D2" s="180"/>
      <c r="E2" s="217"/>
      <c r="F2" s="179">
        <v>4810</v>
      </c>
      <c r="G2" s="180"/>
      <c r="H2" s="217"/>
      <c r="I2" s="179">
        <v>4811</v>
      </c>
      <c r="J2" s="217"/>
      <c r="K2" s="63">
        <v>4813</v>
      </c>
      <c r="L2" s="63">
        <v>4861</v>
      </c>
      <c r="M2" s="179">
        <v>4863</v>
      </c>
      <c r="N2" s="180"/>
      <c r="O2" s="180"/>
      <c r="P2" s="217"/>
    </row>
    <row r="3" spans="1:18" x14ac:dyDescent="0.25">
      <c r="B3" s="59">
        <v>503</v>
      </c>
      <c r="C3" s="42" t="s">
        <v>38</v>
      </c>
      <c r="D3" s="42">
        <v>505</v>
      </c>
      <c r="E3" s="57">
        <v>511</v>
      </c>
      <c r="F3" s="42" t="s">
        <v>39</v>
      </c>
      <c r="G3" s="42">
        <v>504</v>
      </c>
      <c r="H3" s="57" t="s">
        <v>41</v>
      </c>
      <c r="I3" s="42" t="s">
        <v>38</v>
      </c>
      <c r="J3" s="57">
        <v>570</v>
      </c>
      <c r="K3" s="59">
        <v>570</v>
      </c>
      <c r="L3" s="61">
        <v>6631</v>
      </c>
      <c r="M3" s="51">
        <v>6631</v>
      </c>
      <c r="N3" s="51">
        <v>6633</v>
      </c>
      <c r="O3" s="51">
        <v>6635</v>
      </c>
      <c r="P3" s="62">
        <v>916</v>
      </c>
      <c r="R3" s="45" t="s">
        <v>51</v>
      </c>
    </row>
    <row r="4" spans="1:18" hidden="1" x14ac:dyDescent="0.25">
      <c r="A4" s="41">
        <v>43343</v>
      </c>
      <c r="B4" s="60">
        <f>+'Therm Sales Master'!B123</f>
        <v>996895</v>
      </c>
      <c r="C4" s="43">
        <f>+'Therm Sales Master'!D123</f>
        <v>0</v>
      </c>
      <c r="D4" s="43">
        <f>+'Therm Sales Master'!E123</f>
        <v>160070</v>
      </c>
      <c r="E4" s="58">
        <f>+'Therm Sales Master'!F123</f>
        <v>88492</v>
      </c>
      <c r="F4" s="43">
        <f>+'Therm Sales Master'!G123</f>
        <v>158</v>
      </c>
      <c r="G4" s="43">
        <f>+'Therm Sales Master'!H123</f>
        <v>986030</v>
      </c>
      <c r="H4" s="58">
        <f>+'Therm Sales Master'!J123</f>
        <v>137321</v>
      </c>
      <c r="I4" s="43">
        <f>+'Therm Sales Master'!K123</f>
        <v>359</v>
      </c>
      <c r="J4" s="58">
        <f>+'Therm Sales Master'!L123</f>
        <v>0</v>
      </c>
      <c r="K4" s="60">
        <f>+'Therm Sales Master'!M123</f>
        <v>93391</v>
      </c>
      <c r="L4" s="60">
        <f>+'Therm Sales Master'!N123</f>
        <v>26924983</v>
      </c>
      <c r="M4" s="43">
        <f>+'Therm Sales Master'!O123</f>
        <v>0</v>
      </c>
      <c r="N4" s="43">
        <f>+'Therm Sales Master'!P123</f>
        <v>12762544</v>
      </c>
      <c r="O4" s="43">
        <f>+'Therm Sales Master'!Q123</f>
        <v>5293486</v>
      </c>
      <c r="P4" s="58">
        <f>+'Therm Sales Master'!R123</f>
        <v>14392902</v>
      </c>
      <c r="R4" s="48">
        <f t="shared" ref="R4:R14" si="0">SUM(B4:Q4)</f>
        <v>61836631</v>
      </c>
    </row>
    <row r="5" spans="1:18" hidden="1" x14ac:dyDescent="0.25">
      <c r="A5" s="41">
        <v>43373</v>
      </c>
      <c r="B5" s="60">
        <f>+'Therm Sales Master'!B124</f>
        <v>2809188</v>
      </c>
      <c r="C5" s="43">
        <f>+'Therm Sales Master'!D124</f>
        <v>-359</v>
      </c>
      <c r="D5" s="43">
        <f>+'Therm Sales Master'!E124</f>
        <v>648016</v>
      </c>
      <c r="E5" s="58">
        <f>+'Therm Sales Master'!F124</f>
        <v>241009</v>
      </c>
      <c r="F5" s="43">
        <f>+'Therm Sales Master'!G124</f>
        <v>501</v>
      </c>
      <c r="G5" s="43">
        <f>+'Therm Sales Master'!H124</f>
        <v>2784183</v>
      </c>
      <c r="H5" s="58">
        <f>+'Therm Sales Master'!J124</f>
        <v>384208</v>
      </c>
      <c r="I5" s="43">
        <f>+'Therm Sales Master'!K124</f>
        <v>547</v>
      </c>
      <c r="J5" s="58">
        <f>+'Therm Sales Master'!L124</f>
        <v>0</v>
      </c>
      <c r="K5" s="60">
        <f>+'Therm Sales Master'!M124</f>
        <v>118645</v>
      </c>
      <c r="L5" s="60">
        <f>+'Therm Sales Master'!N124</f>
        <v>30461110</v>
      </c>
      <c r="M5" s="43">
        <f>+'Therm Sales Master'!O124</f>
        <v>15312916</v>
      </c>
      <c r="N5" s="43">
        <f>+'Therm Sales Master'!P124</f>
        <v>14381027</v>
      </c>
      <c r="O5" s="43">
        <f>+'Therm Sales Master'!Q124</f>
        <v>2080893</v>
      </c>
      <c r="P5" s="58">
        <f>+'Therm Sales Master'!R124</f>
        <v>0</v>
      </c>
      <c r="R5" s="43">
        <f t="shared" si="0"/>
        <v>69221884</v>
      </c>
    </row>
    <row r="6" spans="1:18" hidden="1" x14ac:dyDescent="0.25">
      <c r="A6" s="41">
        <v>43404</v>
      </c>
      <c r="B6" s="60">
        <f>+'Therm Sales Master'!B125</f>
        <v>5307116</v>
      </c>
      <c r="C6" s="43">
        <f>+'Therm Sales Master'!D125</f>
        <v>0</v>
      </c>
      <c r="D6" s="43">
        <f>+'Therm Sales Master'!E125</f>
        <v>1031586</v>
      </c>
      <c r="E6" s="58">
        <f>+'Therm Sales Master'!F125</f>
        <v>447130</v>
      </c>
      <c r="F6" s="43">
        <f>+'Therm Sales Master'!G125</f>
        <v>2079</v>
      </c>
      <c r="G6" s="43">
        <f>+'Therm Sales Master'!H125</f>
        <v>4259766</v>
      </c>
      <c r="H6" s="58">
        <f>+'Therm Sales Master'!J125</f>
        <v>674628</v>
      </c>
      <c r="I6" s="43">
        <f>+'Therm Sales Master'!K125</f>
        <v>21</v>
      </c>
      <c r="J6" s="58">
        <f>+'Therm Sales Master'!L125</f>
        <v>0</v>
      </c>
      <c r="K6" s="60">
        <f>+'Therm Sales Master'!M125</f>
        <v>197742</v>
      </c>
      <c r="L6" s="60">
        <f>+'Therm Sales Master'!N125</f>
        <v>32448578</v>
      </c>
      <c r="M6" s="43">
        <f>+'Therm Sales Master'!O125</f>
        <v>7714309</v>
      </c>
      <c r="N6" s="43">
        <f>+'Therm Sales Master'!P125</f>
        <v>4034082</v>
      </c>
      <c r="O6" s="43">
        <f>+'Therm Sales Master'!Q125</f>
        <v>2001543</v>
      </c>
      <c r="P6" s="58">
        <f>+'Therm Sales Master'!R125</f>
        <v>0</v>
      </c>
      <c r="R6" s="43">
        <f t="shared" si="0"/>
        <v>58118580</v>
      </c>
    </row>
    <row r="7" spans="1:18" hidden="1" x14ac:dyDescent="0.25">
      <c r="A7" s="41">
        <v>43434</v>
      </c>
      <c r="B7" s="60">
        <f>+'Therm Sales Master'!B126+'Therm Sales Master'!B127</f>
        <v>8960930</v>
      </c>
      <c r="C7" s="43">
        <f>+'Therm Sales Master'!D126+'Therm Sales Master'!D127</f>
        <v>63</v>
      </c>
      <c r="D7" s="43">
        <f>+'Therm Sales Master'!E126+'Therm Sales Master'!E127</f>
        <v>989360</v>
      </c>
      <c r="E7" s="58">
        <f>+'Therm Sales Master'!F126+'Therm Sales Master'!F127</f>
        <v>185027</v>
      </c>
      <c r="F7" s="43">
        <f>+'Therm Sales Master'!G126+'Therm Sales Master'!G127</f>
        <v>3464</v>
      </c>
      <c r="G7" s="43">
        <f>+'Therm Sales Master'!H126+'Therm Sales Master'!H127</f>
        <v>6153881</v>
      </c>
      <c r="H7" s="58">
        <f>+'Therm Sales Master'!J126+'Therm Sales Master'!J127</f>
        <v>791745</v>
      </c>
      <c r="I7" s="43">
        <f>+'Therm Sales Master'!K126+'Therm Sales Master'!K127</f>
        <v>0</v>
      </c>
      <c r="J7" s="58">
        <f>+'Therm Sales Master'!L126+'Therm Sales Master'!L127</f>
        <v>0</v>
      </c>
      <c r="K7" s="60">
        <f>+'Therm Sales Master'!M126+'Therm Sales Master'!M127</f>
        <v>217688</v>
      </c>
      <c r="L7" s="60">
        <f>+'Therm Sales Master'!N126+'Therm Sales Master'!N127</f>
        <v>25948738</v>
      </c>
      <c r="M7" s="43">
        <f>+'Therm Sales Master'!O126+'Therm Sales Master'!O127</f>
        <v>76766</v>
      </c>
      <c r="N7" s="43">
        <f>+'Therm Sales Master'!P126+'Therm Sales Master'!P127</f>
        <v>28205</v>
      </c>
      <c r="O7" s="43">
        <f>+'Therm Sales Master'!Q126+'Therm Sales Master'!Q127</f>
        <v>33898</v>
      </c>
      <c r="P7" s="58">
        <f>+'Therm Sales Master'!R126+'Therm Sales Master'!R127</f>
        <v>0</v>
      </c>
      <c r="R7" s="43">
        <f t="shared" si="0"/>
        <v>43389765</v>
      </c>
    </row>
    <row r="8" spans="1:18" hidden="1" x14ac:dyDescent="0.25">
      <c r="A8" s="41">
        <v>43465</v>
      </c>
      <c r="B8" s="60">
        <f>+'Therm Sales Master'!B128</f>
        <v>17031202</v>
      </c>
      <c r="C8" s="43">
        <f>+'Therm Sales Master'!D128</f>
        <v>-63</v>
      </c>
      <c r="D8" s="43">
        <f>+'Therm Sales Master'!E128</f>
        <v>1475293</v>
      </c>
      <c r="E8" s="58">
        <f>+'Therm Sales Master'!F128</f>
        <v>305292</v>
      </c>
      <c r="F8" s="43">
        <f>+'Therm Sales Master'!G128</f>
        <v>4915</v>
      </c>
      <c r="G8" s="43">
        <f>+'Therm Sales Master'!H128</f>
        <v>11460190</v>
      </c>
      <c r="H8" s="58">
        <f>+'Therm Sales Master'!J128</f>
        <v>1383646</v>
      </c>
      <c r="I8" s="43">
        <f>+'Therm Sales Master'!K128</f>
        <v>142</v>
      </c>
      <c r="J8" s="58">
        <f>+'Therm Sales Master'!L128</f>
        <v>0</v>
      </c>
      <c r="K8" s="60">
        <f>+'Therm Sales Master'!M128</f>
        <v>260482</v>
      </c>
      <c r="L8" s="60">
        <f>+'Therm Sales Master'!N128</f>
        <v>29346851</v>
      </c>
      <c r="M8" s="43">
        <f>+'Therm Sales Master'!O128</f>
        <v>14382579</v>
      </c>
      <c r="N8" s="43">
        <f>+'Therm Sales Master'!P128</f>
        <v>4450625</v>
      </c>
      <c r="O8" s="43">
        <f>+'Therm Sales Master'!Q128</f>
        <v>57483</v>
      </c>
      <c r="P8" s="58">
        <f>+'Therm Sales Master'!R128</f>
        <v>0</v>
      </c>
      <c r="R8" s="43">
        <f t="shared" si="0"/>
        <v>80158637</v>
      </c>
    </row>
    <row r="9" spans="1:18" x14ac:dyDescent="0.25">
      <c r="A9" s="41">
        <v>43496</v>
      </c>
      <c r="B9" s="60">
        <f>+'Therm Sales Master'!B129</f>
        <v>19425579</v>
      </c>
      <c r="C9" s="43">
        <f>+'Therm Sales Master'!D129</f>
        <v>0</v>
      </c>
      <c r="D9" s="43">
        <f>+'Therm Sales Master'!E129</f>
        <v>1433715</v>
      </c>
      <c r="E9" s="58">
        <f>+'Therm Sales Master'!F129</f>
        <v>330955</v>
      </c>
      <c r="F9" s="43">
        <f>+'Therm Sales Master'!G129</f>
        <v>4626</v>
      </c>
      <c r="G9" s="43">
        <f>+'Therm Sales Master'!H129</f>
        <v>13117967</v>
      </c>
      <c r="H9" s="58">
        <f>+'Therm Sales Master'!J129</f>
        <v>1477641</v>
      </c>
      <c r="I9" s="43">
        <f>+'Therm Sales Master'!K129</f>
        <v>7</v>
      </c>
      <c r="J9" s="58">
        <f>+'Therm Sales Master'!L129</f>
        <v>0</v>
      </c>
      <c r="K9" s="60">
        <f>+'Therm Sales Master'!M129</f>
        <v>258811</v>
      </c>
      <c r="L9" s="60">
        <f>+'Therm Sales Master'!N129</f>
        <v>31076934</v>
      </c>
      <c r="M9" s="43">
        <f>+'Therm Sales Master'!O129</f>
        <v>14944499</v>
      </c>
      <c r="N9" s="43">
        <f>+'Therm Sales Master'!P129</f>
        <v>4088088</v>
      </c>
      <c r="O9" s="43">
        <f>+'Therm Sales Master'!Q129</f>
        <v>106086</v>
      </c>
      <c r="P9" s="58">
        <f>+'Therm Sales Master'!R129</f>
        <v>0</v>
      </c>
      <c r="R9" s="43">
        <f t="shared" si="0"/>
        <v>86264908</v>
      </c>
    </row>
    <row r="10" spans="1:18" hidden="1" x14ac:dyDescent="0.25">
      <c r="A10" s="41">
        <v>43524</v>
      </c>
      <c r="B10" s="60">
        <f>+'Therm Sales Master'!B130</f>
        <v>20826493</v>
      </c>
      <c r="C10" s="43">
        <f>+'Therm Sales Master'!D130</f>
        <v>0</v>
      </c>
      <c r="D10" s="43">
        <f>+'Therm Sales Master'!E130</f>
        <v>1616149</v>
      </c>
      <c r="E10" s="58">
        <f>+'Therm Sales Master'!F130</f>
        <v>325966</v>
      </c>
      <c r="F10" s="43">
        <f>+'Therm Sales Master'!G130</f>
        <v>5486</v>
      </c>
      <c r="G10" s="43">
        <f>+'Therm Sales Master'!H130</f>
        <v>13988227</v>
      </c>
      <c r="H10" s="58">
        <f>+'Therm Sales Master'!J130</f>
        <v>1527495</v>
      </c>
      <c r="I10" s="43">
        <f>+'Therm Sales Master'!K130</f>
        <v>0</v>
      </c>
      <c r="J10" s="58">
        <f>+'Therm Sales Master'!L130</f>
        <v>0</v>
      </c>
      <c r="K10" s="60">
        <f>+'Therm Sales Master'!M130</f>
        <v>270184</v>
      </c>
      <c r="L10" s="60">
        <f>+'Therm Sales Master'!N130</f>
        <v>30225230</v>
      </c>
      <c r="M10" s="43">
        <f>+'Therm Sales Master'!O130</f>
        <v>7408861</v>
      </c>
      <c r="N10" s="43">
        <f>+'Therm Sales Master'!P130</f>
        <v>5846716</v>
      </c>
      <c r="O10" s="43">
        <f>+'Therm Sales Master'!Q130</f>
        <v>228696</v>
      </c>
      <c r="P10" s="58">
        <f>+'Therm Sales Master'!R130</f>
        <v>0</v>
      </c>
      <c r="R10" s="43">
        <f t="shared" si="0"/>
        <v>82269503</v>
      </c>
    </row>
    <row r="11" spans="1:18" hidden="1" x14ac:dyDescent="0.25">
      <c r="A11" s="41">
        <v>43555</v>
      </c>
      <c r="B11" s="60">
        <f>+'Therm Sales Master'!B131</f>
        <v>22406676</v>
      </c>
      <c r="C11" s="43">
        <f>+'Therm Sales Master'!D131</f>
        <v>0</v>
      </c>
      <c r="D11" s="43">
        <f>+'Therm Sales Master'!E131</f>
        <v>1794729</v>
      </c>
      <c r="E11" s="58">
        <f>+'Therm Sales Master'!F131</f>
        <v>344448</v>
      </c>
      <c r="F11" s="43">
        <f>+'Therm Sales Master'!G131</f>
        <v>3527</v>
      </c>
      <c r="G11" s="43">
        <f>+'Therm Sales Master'!H131</f>
        <v>15941825</v>
      </c>
      <c r="H11" s="58">
        <f>+'Therm Sales Master'!J131</f>
        <v>1650107</v>
      </c>
      <c r="I11" s="43">
        <f>+'Therm Sales Master'!K131</f>
        <v>0</v>
      </c>
      <c r="J11" s="58">
        <f>+'Therm Sales Master'!L131</f>
        <v>0</v>
      </c>
      <c r="K11" s="60">
        <f>+'Therm Sales Master'!M131</f>
        <v>248145</v>
      </c>
      <c r="L11" s="60">
        <f>+'Therm Sales Master'!N131</f>
        <v>29441177</v>
      </c>
      <c r="M11" s="43">
        <f>+'Therm Sales Master'!O131</f>
        <v>9817659</v>
      </c>
      <c r="N11" s="43">
        <f>+'Therm Sales Master'!P131</f>
        <v>3088142</v>
      </c>
      <c r="O11" s="43">
        <f>+'Therm Sales Master'!Q131</f>
        <v>0</v>
      </c>
      <c r="P11" s="58">
        <f>+'Therm Sales Master'!R131</f>
        <v>0</v>
      </c>
      <c r="R11" s="43">
        <f t="shared" si="0"/>
        <v>84736435</v>
      </c>
    </row>
    <row r="12" spans="1:18" hidden="1" x14ac:dyDescent="0.25">
      <c r="A12" s="41">
        <v>43585</v>
      </c>
      <c r="B12" s="60">
        <f>+'Therm Sales Master'!B132</f>
        <v>12262358</v>
      </c>
      <c r="C12" s="43">
        <f>+'Therm Sales Master'!D132</f>
        <v>0</v>
      </c>
      <c r="D12" s="43">
        <f>+'Therm Sales Master'!E132</f>
        <v>1331310</v>
      </c>
      <c r="E12" s="58">
        <f>+'Therm Sales Master'!F132</f>
        <v>339049</v>
      </c>
      <c r="F12" s="43">
        <f>+'Therm Sales Master'!G132</f>
        <v>2258</v>
      </c>
      <c r="G12" s="43">
        <f>+'Therm Sales Master'!H132</f>
        <v>9096547</v>
      </c>
      <c r="H12" s="58">
        <f>+'Therm Sales Master'!J132</f>
        <v>1028839</v>
      </c>
      <c r="I12" s="43">
        <f>+'Therm Sales Master'!K132</f>
        <v>128</v>
      </c>
      <c r="J12" s="58">
        <f>+'Therm Sales Master'!L132</f>
        <v>0</v>
      </c>
      <c r="K12" s="60">
        <f>+'Therm Sales Master'!M132</f>
        <v>191467</v>
      </c>
      <c r="L12" s="60">
        <f>+'Therm Sales Master'!N132</f>
        <v>27808927</v>
      </c>
      <c r="M12" s="43">
        <f>+'Therm Sales Master'!O132</f>
        <v>7594206</v>
      </c>
      <c r="N12" s="43">
        <f>+'Therm Sales Master'!P132</f>
        <v>2551096</v>
      </c>
      <c r="O12" s="43">
        <f>+'Therm Sales Master'!Q132</f>
        <v>24270</v>
      </c>
      <c r="P12" s="58">
        <f>+'Therm Sales Master'!R132</f>
        <v>0</v>
      </c>
      <c r="R12" s="43">
        <f t="shared" si="0"/>
        <v>62230455</v>
      </c>
    </row>
    <row r="13" spans="1:18" hidden="1" x14ac:dyDescent="0.25">
      <c r="A13" s="41">
        <v>43616</v>
      </c>
      <c r="B13" s="60">
        <f>+'Therm Sales Master'!B133</f>
        <v>7409569</v>
      </c>
      <c r="C13" s="43">
        <f>+'Therm Sales Master'!D133</f>
        <v>0</v>
      </c>
      <c r="D13" s="43">
        <f>+'Therm Sales Master'!E133</f>
        <v>789879</v>
      </c>
      <c r="E13" s="58">
        <f>+'Therm Sales Master'!F133</f>
        <v>267660</v>
      </c>
      <c r="F13" s="43">
        <f>+'Therm Sales Master'!G133</f>
        <v>645</v>
      </c>
      <c r="G13" s="43">
        <f>+'Therm Sales Master'!H133</f>
        <v>5370530</v>
      </c>
      <c r="H13" s="58">
        <f>+'Therm Sales Master'!J133</f>
        <v>692205</v>
      </c>
      <c r="I13" s="43">
        <f>+'Therm Sales Master'!K133</f>
        <v>151</v>
      </c>
      <c r="J13" s="58">
        <f>+'Therm Sales Master'!L133</f>
        <v>0</v>
      </c>
      <c r="K13" s="60">
        <f>+'Therm Sales Master'!M133</f>
        <v>142256</v>
      </c>
      <c r="L13" s="60">
        <f>+'Therm Sales Master'!N133</f>
        <v>29847911</v>
      </c>
      <c r="M13" s="43">
        <f>+'Therm Sales Master'!O133</f>
        <v>5340649</v>
      </c>
      <c r="N13" s="43">
        <f>+'Therm Sales Master'!P133</f>
        <v>381981</v>
      </c>
      <c r="O13" s="43">
        <f>+'Therm Sales Master'!Q133</f>
        <v>234043</v>
      </c>
      <c r="P13" s="58">
        <f>+'Therm Sales Master'!R133</f>
        <v>0</v>
      </c>
      <c r="R13" s="43">
        <f t="shared" si="0"/>
        <v>50477479</v>
      </c>
    </row>
    <row r="14" spans="1:18" hidden="1" x14ac:dyDescent="0.25">
      <c r="A14" s="41">
        <v>43646</v>
      </c>
      <c r="B14" s="60">
        <f>+'Therm Sales Master'!B134</f>
        <v>4046705</v>
      </c>
      <c r="C14" s="43">
        <f>+'Therm Sales Master'!D134</f>
        <v>0</v>
      </c>
      <c r="D14" s="43">
        <f>+'Therm Sales Master'!E134</f>
        <v>579038</v>
      </c>
      <c r="E14" s="58">
        <f>+'Therm Sales Master'!F134</f>
        <v>275040</v>
      </c>
      <c r="F14" s="43">
        <f>+'Therm Sales Master'!G134</f>
        <v>367</v>
      </c>
      <c r="G14" s="43">
        <f>+'Therm Sales Master'!H134</f>
        <v>3465484</v>
      </c>
      <c r="H14" s="58">
        <f>+'Therm Sales Master'!J134</f>
        <v>479946</v>
      </c>
      <c r="I14" s="43">
        <f>+'Therm Sales Master'!K134</f>
        <v>0</v>
      </c>
      <c r="J14" s="58">
        <f>+'Therm Sales Master'!L134</f>
        <v>0</v>
      </c>
      <c r="K14" s="60">
        <f>+'Therm Sales Master'!M134</f>
        <v>110987</v>
      </c>
      <c r="L14" s="60">
        <f>+'Therm Sales Master'!N134</f>
        <v>27060192</v>
      </c>
      <c r="M14" s="43">
        <f>+'Therm Sales Master'!O134</f>
        <v>7824546</v>
      </c>
      <c r="N14" s="43">
        <f>+'Therm Sales Master'!P134</f>
        <v>6776820</v>
      </c>
      <c r="O14" s="43">
        <f>+'Therm Sales Master'!Q134</f>
        <v>1112893</v>
      </c>
      <c r="P14" s="58">
        <f>+'Therm Sales Master'!R134</f>
        <v>0</v>
      </c>
      <c r="R14" s="43">
        <f t="shared" si="0"/>
        <v>51732018</v>
      </c>
    </row>
    <row r="15" spans="1:18" hidden="1" x14ac:dyDescent="0.25">
      <c r="A15" s="41">
        <v>43677</v>
      </c>
      <c r="B15" s="60">
        <f>+'Therm Sales Master'!B135</f>
        <v>3217527</v>
      </c>
      <c r="C15" s="43">
        <f>+'Therm Sales Master'!D135</f>
        <v>0</v>
      </c>
      <c r="D15" s="43">
        <f>+'Therm Sales Master'!E135</f>
        <v>537168</v>
      </c>
      <c r="E15" s="58">
        <f>+'Therm Sales Master'!F135</f>
        <v>315197</v>
      </c>
      <c r="F15" s="43">
        <f>+'Therm Sales Master'!G135</f>
        <v>155</v>
      </c>
      <c r="G15" s="43">
        <f>+'Therm Sales Master'!H135</f>
        <v>3054528</v>
      </c>
      <c r="H15" s="58">
        <f>+'Therm Sales Master'!J135</f>
        <v>406093</v>
      </c>
      <c r="I15" s="43">
        <f>+'Therm Sales Master'!K135</f>
        <v>163</v>
      </c>
      <c r="J15" s="58">
        <f>+'Therm Sales Master'!L135</f>
        <v>0</v>
      </c>
      <c r="K15" s="60">
        <f>+'Therm Sales Master'!M135</f>
        <v>120028</v>
      </c>
      <c r="L15" s="60">
        <f>+'Therm Sales Master'!N135</f>
        <v>26075307</v>
      </c>
      <c r="M15" s="43">
        <f>+'Therm Sales Master'!O135</f>
        <v>14501183</v>
      </c>
      <c r="N15" s="43">
        <f>+'Therm Sales Master'!P135</f>
        <v>14122838</v>
      </c>
      <c r="O15" s="43">
        <f>+'Therm Sales Master'!Q135</f>
        <v>5050508</v>
      </c>
      <c r="P15" s="58">
        <f>+'Therm Sales Master'!R135</f>
        <v>0</v>
      </c>
      <c r="R15" s="43">
        <f t="shared" ref="R15:R21" si="1">SUM(B15:Q15)</f>
        <v>67400695</v>
      </c>
    </row>
    <row r="16" spans="1:18" x14ac:dyDescent="0.25">
      <c r="A16" s="41">
        <v>43708</v>
      </c>
      <c r="B16" s="60">
        <f>+'Therm Sales Master'!B136</f>
        <v>2775098</v>
      </c>
      <c r="C16" s="43">
        <f>+'Therm Sales Master'!D136</f>
        <v>0</v>
      </c>
      <c r="D16" s="43">
        <f>+'Therm Sales Master'!E136</f>
        <v>564404</v>
      </c>
      <c r="E16" s="58">
        <f>+'Therm Sales Master'!F136</f>
        <v>350812</v>
      </c>
      <c r="F16" s="43">
        <f>+'Therm Sales Master'!G136</f>
        <v>138</v>
      </c>
      <c r="G16" s="43">
        <f>+'Therm Sales Master'!H136</f>
        <v>2791770</v>
      </c>
      <c r="H16" s="58">
        <f>+'Therm Sales Master'!J136</f>
        <v>400926</v>
      </c>
      <c r="I16" s="43">
        <f>+'Therm Sales Master'!K136</f>
        <v>0</v>
      </c>
      <c r="J16" s="58">
        <f>+'Therm Sales Master'!L136</f>
        <v>0</v>
      </c>
      <c r="K16" s="60">
        <f>+'Therm Sales Master'!M136</f>
        <v>93626</v>
      </c>
      <c r="L16" s="60">
        <f>+'Therm Sales Master'!N136</f>
        <v>28191126</v>
      </c>
      <c r="M16" s="43">
        <f>+'Therm Sales Master'!O136</f>
        <v>16164686</v>
      </c>
      <c r="N16" s="43">
        <f>+'Therm Sales Master'!P136</f>
        <v>15605297</v>
      </c>
      <c r="O16" s="43">
        <f>+'Therm Sales Master'!Q136</f>
        <v>9500954</v>
      </c>
      <c r="P16" s="58">
        <f>+'Therm Sales Master'!R136</f>
        <v>0</v>
      </c>
      <c r="R16" s="43">
        <f t="shared" si="1"/>
        <v>76438837</v>
      </c>
    </row>
    <row r="17" spans="1:19" x14ac:dyDescent="0.25">
      <c r="A17" s="41">
        <v>43738</v>
      </c>
      <c r="B17" s="60">
        <f>+'Therm Sales Master'!B137</f>
        <v>2691847</v>
      </c>
      <c r="C17" s="43">
        <f>+'Therm Sales Master'!D137</f>
        <v>0</v>
      </c>
      <c r="D17" s="43">
        <f>+'Therm Sales Master'!E137</f>
        <v>651984</v>
      </c>
      <c r="E17" s="58">
        <f>+'Therm Sales Master'!F137</f>
        <v>310612</v>
      </c>
      <c r="F17" s="43">
        <f>+'Therm Sales Master'!G137</f>
        <v>619</v>
      </c>
      <c r="G17" s="43">
        <f>+'Therm Sales Master'!H137</f>
        <v>2672689</v>
      </c>
      <c r="H17" s="58">
        <f>+'Therm Sales Master'!J137</f>
        <v>346838</v>
      </c>
      <c r="I17" s="43">
        <f>+'Therm Sales Master'!K137</f>
        <v>411</v>
      </c>
      <c r="J17" s="58">
        <f>+'Therm Sales Master'!L137</f>
        <v>0</v>
      </c>
      <c r="K17" s="60">
        <f>+'Therm Sales Master'!M137</f>
        <v>111442</v>
      </c>
      <c r="L17" s="60">
        <f>+'Therm Sales Master'!N137</f>
        <v>31412664</v>
      </c>
      <c r="M17" s="43">
        <f>+'Therm Sales Master'!O137</f>
        <v>15653966</v>
      </c>
      <c r="N17" s="43">
        <f>+'Therm Sales Master'!P137</f>
        <v>14512835</v>
      </c>
      <c r="O17" s="43">
        <f>+'Therm Sales Master'!Q137</f>
        <v>4852567</v>
      </c>
      <c r="P17" s="58">
        <f>+'Therm Sales Master'!R137</f>
        <v>0</v>
      </c>
      <c r="R17" s="43">
        <f t="shared" si="1"/>
        <v>73218474</v>
      </c>
    </row>
    <row r="18" spans="1:19" x14ac:dyDescent="0.25">
      <c r="A18" s="41">
        <v>43769</v>
      </c>
      <c r="B18" s="60">
        <f>+'Therm Sales Master'!B138</f>
        <v>6366467</v>
      </c>
      <c r="C18" s="43">
        <f>+'Therm Sales Master'!D138</f>
        <v>0</v>
      </c>
      <c r="D18" s="43">
        <f>+'Therm Sales Master'!E138</f>
        <v>1274354</v>
      </c>
      <c r="E18" s="58">
        <f>+'Therm Sales Master'!F138</f>
        <v>413276</v>
      </c>
      <c r="F18" s="43">
        <f>+'Therm Sales Master'!G138</f>
        <v>2955</v>
      </c>
      <c r="G18" s="43">
        <f>+'Therm Sales Master'!H138</f>
        <v>4853452</v>
      </c>
      <c r="H18" s="58">
        <f>+'Therm Sales Master'!J138</f>
        <v>2027719</v>
      </c>
      <c r="I18" s="43">
        <f>+'Therm Sales Master'!K138</f>
        <v>317</v>
      </c>
      <c r="J18" s="58">
        <f>+'Therm Sales Master'!L138</f>
        <v>0</v>
      </c>
      <c r="K18" s="60">
        <f>+'Therm Sales Master'!M138</f>
        <v>232820</v>
      </c>
      <c r="L18" s="60">
        <f>+'Therm Sales Master'!N138</f>
        <v>34409561</v>
      </c>
      <c r="M18" s="43">
        <f>+'Therm Sales Master'!O138</f>
        <v>11066352</v>
      </c>
      <c r="N18" s="43">
        <f>+'Therm Sales Master'!P138</f>
        <v>667138</v>
      </c>
      <c r="O18" s="43">
        <f>+'Therm Sales Master'!Q138</f>
        <v>897404</v>
      </c>
      <c r="P18" s="58">
        <f>+'Therm Sales Master'!R138</f>
        <v>0</v>
      </c>
      <c r="R18" s="43">
        <f t="shared" si="1"/>
        <v>62211815</v>
      </c>
    </row>
    <row r="19" spans="1:19" x14ac:dyDescent="0.25">
      <c r="A19" s="41">
        <v>43799</v>
      </c>
      <c r="B19" s="60">
        <f>+'Therm Sales Master'!B139</f>
        <v>7622134</v>
      </c>
      <c r="C19" s="43">
        <f>+'Therm Sales Master'!D139</f>
        <v>0</v>
      </c>
      <c r="D19" s="43">
        <f>+'Therm Sales Master'!E139</f>
        <v>806453</v>
      </c>
      <c r="E19" s="58">
        <f>+'Therm Sales Master'!F139</f>
        <v>292270</v>
      </c>
      <c r="F19" s="43">
        <f>+'Therm Sales Master'!G139</f>
        <v>0</v>
      </c>
      <c r="G19" s="43">
        <f>+'Therm Sales Master'!H139</f>
        <v>5319138</v>
      </c>
      <c r="H19" s="58">
        <f>+'Therm Sales Master'!J139</f>
        <v>626870</v>
      </c>
      <c r="I19" s="43">
        <f>+'Therm Sales Master'!K139</f>
        <v>0</v>
      </c>
      <c r="J19" s="58">
        <f>+'Therm Sales Master'!L139</f>
        <v>0</v>
      </c>
      <c r="K19" s="60">
        <f>+'Therm Sales Master'!M139</f>
        <v>0</v>
      </c>
      <c r="L19" s="60">
        <f>+'Therm Sales Master'!N139</f>
        <v>132</v>
      </c>
      <c r="M19" s="43">
        <f>+'Therm Sales Master'!O139</f>
        <v>0</v>
      </c>
      <c r="N19" s="43">
        <f>+'Therm Sales Master'!P139</f>
        <v>0</v>
      </c>
      <c r="O19" s="43">
        <f>+'Therm Sales Master'!Q139</f>
        <v>0</v>
      </c>
      <c r="P19" s="58">
        <f>+'Therm Sales Master'!R139</f>
        <v>0</v>
      </c>
      <c r="R19" s="43">
        <f t="shared" si="1"/>
        <v>14666997</v>
      </c>
      <c r="S19" s="40" t="s">
        <v>45</v>
      </c>
    </row>
    <row r="20" spans="1:19" x14ac:dyDescent="0.25">
      <c r="A20" s="41">
        <v>43799</v>
      </c>
      <c r="B20" s="60">
        <f>+'Therm Sales Master'!B140</f>
        <v>4006834</v>
      </c>
      <c r="C20" s="43">
        <f>+'Therm Sales Master'!D140</f>
        <v>0</v>
      </c>
      <c r="D20" s="43">
        <f>+'Therm Sales Master'!E140</f>
        <v>352170</v>
      </c>
      <c r="E20" s="58">
        <f>+'Therm Sales Master'!F140</f>
        <v>192646</v>
      </c>
      <c r="F20" s="43">
        <f>+'Therm Sales Master'!G140</f>
        <v>3958</v>
      </c>
      <c r="G20" s="43">
        <f>+'Therm Sales Master'!H140</f>
        <v>2589532</v>
      </c>
      <c r="H20" s="58">
        <f>+'Therm Sales Master'!J140</f>
        <v>1908901</v>
      </c>
      <c r="I20" s="43">
        <f>+'Therm Sales Master'!K140</f>
        <v>491</v>
      </c>
      <c r="J20" s="58">
        <f>+'Therm Sales Master'!L140</f>
        <v>0</v>
      </c>
      <c r="K20" s="60">
        <f>+'Therm Sales Master'!M140</f>
        <v>230233</v>
      </c>
      <c r="L20" s="60">
        <f>+'Therm Sales Master'!N140</f>
        <v>29790523</v>
      </c>
      <c r="M20" s="43">
        <f>+'Therm Sales Master'!O140</f>
        <v>12699045</v>
      </c>
      <c r="N20" s="43">
        <f>+'Therm Sales Master'!P140</f>
        <v>5956005</v>
      </c>
      <c r="O20" s="43">
        <f>+'Therm Sales Master'!Q140</f>
        <v>211269</v>
      </c>
      <c r="P20" s="58">
        <f>+'Therm Sales Master'!R140</f>
        <v>0</v>
      </c>
      <c r="R20" s="43">
        <f t="shared" ref="R20" si="2">SUM(B20:Q20)</f>
        <v>57941607</v>
      </c>
      <c r="S20" s="40" t="s">
        <v>46</v>
      </c>
    </row>
    <row r="21" spans="1:19" x14ac:dyDescent="0.25">
      <c r="A21" s="41">
        <v>43830</v>
      </c>
      <c r="B21" s="60">
        <f>+'Therm Sales Master'!B141</f>
        <v>17650518</v>
      </c>
      <c r="C21" s="43">
        <f>+'Therm Sales Master'!D141</f>
        <v>0</v>
      </c>
      <c r="D21" s="43">
        <f>+'Therm Sales Master'!E141</f>
        <v>1422636</v>
      </c>
      <c r="E21" s="58">
        <f>+'Therm Sales Master'!F141</f>
        <v>368658</v>
      </c>
      <c r="F21" s="43">
        <f>+'Therm Sales Master'!G141</f>
        <v>4552</v>
      </c>
      <c r="G21" s="43">
        <f>+'Therm Sales Master'!H141</f>
        <v>11976706</v>
      </c>
      <c r="H21" s="58">
        <f>+'Therm Sales Master'!J141</f>
        <v>2959155</v>
      </c>
      <c r="I21" s="43">
        <f>+'Therm Sales Master'!K141</f>
        <v>261</v>
      </c>
      <c r="J21" s="58">
        <f>+'Therm Sales Master'!L141</f>
        <v>0</v>
      </c>
      <c r="K21" s="60">
        <f>+'Therm Sales Master'!M141</f>
        <v>254015</v>
      </c>
      <c r="L21" s="60">
        <f>+'Therm Sales Master'!N141</f>
        <v>31617374</v>
      </c>
      <c r="M21" s="43">
        <f>+'Therm Sales Master'!O141</f>
        <v>14173947</v>
      </c>
      <c r="N21" s="43">
        <f>+'Therm Sales Master'!P141</f>
        <v>13886984</v>
      </c>
      <c r="O21" s="43">
        <f>+'Therm Sales Master'!Q141</f>
        <v>1297588</v>
      </c>
      <c r="P21" s="58">
        <f>+'Therm Sales Master'!R141</f>
        <v>0</v>
      </c>
      <c r="R21" s="43">
        <f t="shared" si="1"/>
        <v>95612394</v>
      </c>
    </row>
    <row r="22" spans="1:19" x14ac:dyDescent="0.25">
      <c r="A22" s="41">
        <v>43861</v>
      </c>
      <c r="B22" s="60">
        <f>+'Therm Sales Master'!B142</f>
        <v>21443608</v>
      </c>
      <c r="C22" s="43">
        <f>+'Therm Sales Master'!D142</f>
        <v>0</v>
      </c>
      <c r="D22" s="43">
        <f>+'Therm Sales Master'!E142</f>
        <v>1522757</v>
      </c>
      <c r="E22" s="58">
        <f>+'Therm Sales Master'!F142</f>
        <v>431249</v>
      </c>
      <c r="F22" s="43">
        <f>+'Therm Sales Master'!G142</f>
        <v>4887</v>
      </c>
      <c r="G22" s="43">
        <f>+'Therm Sales Master'!H142</f>
        <v>14478708</v>
      </c>
      <c r="H22" s="58">
        <f>+'Therm Sales Master'!J142</f>
        <v>3309514</v>
      </c>
      <c r="I22" s="43">
        <f>+'Therm Sales Master'!K142</f>
        <v>85</v>
      </c>
      <c r="J22" s="58">
        <f>+'Therm Sales Master'!L142</f>
        <v>0</v>
      </c>
      <c r="K22" s="60">
        <f>+'Therm Sales Master'!M142</f>
        <v>256203</v>
      </c>
      <c r="L22" s="60">
        <f>+'Therm Sales Master'!N142</f>
        <v>32467716</v>
      </c>
      <c r="M22" s="43">
        <f>+'Therm Sales Master'!O142</f>
        <v>12220363</v>
      </c>
      <c r="N22" s="43">
        <f>+'Therm Sales Master'!P142</f>
        <v>9693367</v>
      </c>
      <c r="O22" s="43">
        <f>+'Therm Sales Master'!Q142</f>
        <v>362331</v>
      </c>
      <c r="P22" s="58">
        <f>+'Therm Sales Master'!R142</f>
        <v>0</v>
      </c>
      <c r="R22" s="43">
        <f t="shared" ref="R22:R27" si="3">SUM(B22:Q22)</f>
        <v>96190788</v>
      </c>
    </row>
    <row r="23" spans="1:19" x14ac:dyDescent="0.25">
      <c r="A23" s="41">
        <v>43890</v>
      </c>
      <c r="B23" s="60">
        <f>+'Therm Sales Master'!B143</f>
        <v>17506775</v>
      </c>
      <c r="C23" s="43">
        <f>+'Therm Sales Master'!D143</f>
        <v>0</v>
      </c>
      <c r="D23" s="43">
        <f>+'Therm Sales Master'!E143</f>
        <v>1322495</v>
      </c>
      <c r="E23" s="58">
        <f>+'Therm Sales Master'!F143</f>
        <v>393372</v>
      </c>
      <c r="F23" s="43">
        <f>+'Therm Sales Master'!G143</f>
        <v>4650</v>
      </c>
      <c r="G23" s="43">
        <f>+'Therm Sales Master'!H143</f>
        <v>11970901</v>
      </c>
      <c r="H23" s="58">
        <f>+'Therm Sales Master'!J143</f>
        <v>2889473</v>
      </c>
      <c r="I23" s="43">
        <f>+'Therm Sales Master'!K143</f>
        <v>341</v>
      </c>
      <c r="J23" s="58">
        <f>+'Therm Sales Master'!L143</f>
        <v>0</v>
      </c>
      <c r="K23" s="60">
        <f>+'Therm Sales Master'!M143</f>
        <v>228991</v>
      </c>
      <c r="L23" s="60">
        <f>+'Therm Sales Master'!N143</f>
        <v>30355704</v>
      </c>
      <c r="M23" s="43">
        <f>+'Therm Sales Master'!O143</f>
        <v>11897437</v>
      </c>
      <c r="N23" s="43">
        <f>+'Therm Sales Master'!P143</f>
        <v>7438730</v>
      </c>
      <c r="O23" s="43">
        <f>+'Therm Sales Master'!Q143</f>
        <v>761639</v>
      </c>
      <c r="P23" s="58">
        <f>+'Therm Sales Master'!R143</f>
        <v>0</v>
      </c>
      <c r="R23" s="43">
        <f t="shared" si="3"/>
        <v>84770508</v>
      </c>
    </row>
    <row r="24" spans="1:19" x14ac:dyDescent="0.25">
      <c r="A24" s="41">
        <v>43921</v>
      </c>
      <c r="B24" s="60">
        <f>+'Therm Sales Master'!B144</f>
        <v>17635811</v>
      </c>
      <c r="C24" s="43">
        <f>+'Therm Sales Master'!D144</f>
        <v>0</v>
      </c>
      <c r="D24" s="43">
        <f>+'Therm Sales Master'!E144</f>
        <v>1356275</v>
      </c>
      <c r="E24" s="58">
        <f>+'Therm Sales Master'!F144</f>
        <v>297569</v>
      </c>
      <c r="F24" s="43">
        <f>+'Therm Sales Master'!G144</f>
        <v>4903</v>
      </c>
      <c r="G24" s="43">
        <f>+'Therm Sales Master'!H144</f>
        <v>11812961</v>
      </c>
      <c r="H24" s="58">
        <f>+'Therm Sales Master'!J144</f>
        <v>3033699</v>
      </c>
      <c r="I24" s="43">
        <f>+'Therm Sales Master'!K144</f>
        <v>182</v>
      </c>
      <c r="J24" s="58">
        <f>+'Therm Sales Master'!L144</f>
        <v>0</v>
      </c>
      <c r="K24" s="60">
        <f>+'Therm Sales Master'!M144</f>
        <v>229265</v>
      </c>
      <c r="L24" s="60">
        <f>+'Therm Sales Master'!N144</f>
        <v>32606618</v>
      </c>
      <c r="M24" s="43">
        <f>+'Therm Sales Master'!O144</f>
        <v>15670834</v>
      </c>
      <c r="N24" s="43">
        <f>+'Therm Sales Master'!P144</f>
        <v>14229128</v>
      </c>
      <c r="O24" s="43">
        <f>+'Therm Sales Master'!Q144</f>
        <v>3004872</v>
      </c>
      <c r="P24" s="58">
        <f>+'Therm Sales Master'!R144</f>
        <v>0</v>
      </c>
      <c r="R24" s="43">
        <f t="shared" si="3"/>
        <v>99882117</v>
      </c>
    </row>
    <row r="25" spans="1:19" x14ac:dyDescent="0.25">
      <c r="A25" s="41">
        <v>43951</v>
      </c>
      <c r="B25" s="60">
        <f>+'Therm Sales Master'!B145</f>
        <v>13930299</v>
      </c>
      <c r="C25" s="43">
        <f>+'Therm Sales Master'!D145</f>
        <v>0</v>
      </c>
      <c r="D25" s="43">
        <f>+'Therm Sales Master'!E145</f>
        <v>1128418</v>
      </c>
      <c r="E25" s="58">
        <f>+'Therm Sales Master'!F145</f>
        <v>537766</v>
      </c>
      <c r="F25" s="43">
        <f>+'Therm Sales Master'!G145</f>
        <v>3889</v>
      </c>
      <c r="G25" s="43">
        <f>+'Therm Sales Master'!H145</f>
        <v>8554564</v>
      </c>
      <c r="H25" s="58">
        <f>+'Therm Sales Master'!J145</f>
        <v>2377971</v>
      </c>
      <c r="I25" s="43">
        <f>+'Therm Sales Master'!K145</f>
        <v>193</v>
      </c>
      <c r="J25" s="58">
        <f>+'Therm Sales Master'!L145</f>
        <v>0</v>
      </c>
      <c r="K25" s="60">
        <f>+'Therm Sales Master'!M145</f>
        <v>189521</v>
      </c>
      <c r="L25" s="60">
        <f>+'Therm Sales Master'!N145</f>
        <v>27153616</v>
      </c>
      <c r="M25" s="43">
        <f>+'Therm Sales Master'!O145</f>
        <v>13569738</v>
      </c>
      <c r="N25" s="43">
        <f>+'Therm Sales Master'!P145</f>
        <v>11001952</v>
      </c>
      <c r="O25" s="43">
        <f>+'Therm Sales Master'!Q145</f>
        <v>3430843</v>
      </c>
      <c r="P25" s="58">
        <f>+'Therm Sales Master'!R145</f>
        <v>0</v>
      </c>
      <c r="R25" s="43">
        <f t="shared" si="3"/>
        <v>81878770</v>
      </c>
    </row>
    <row r="26" spans="1:19" x14ac:dyDescent="0.25">
      <c r="A26" s="41">
        <v>43982</v>
      </c>
      <c r="B26" s="60">
        <f>+'Therm Sales Master'!B146</f>
        <v>6809502</v>
      </c>
      <c r="C26" s="43">
        <f>+'Therm Sales Master'!D146</f>
        <v>0</v>
      </c>
      <c r="D26" s="43">
        <f>+'Therm Sales Master'!E146</f>
        <v>713209</v>
      </c>
      <c r="E26" s="58">
        <f>+'Therm Sales Master'!F146</f>
        <v>222952</v>
      </c>
      <c r="F26" s="43">
        <f>+'Therm Sales Master'!G146</f>
        <v>2219</v>
      </c>
      <c r="G26" s="43">
        <f>+'Therm Sales Master'!H146</f>
        <v>4127918</v>
      </c>
      <c r="H26" s="58">
        <f>+'Therm Sales Master'!J146</f>
        <v>1489675</v>
      </c>
      <c r="I26" s="43">
        <f>+'Therm Sales Master'!K146</f>
        <v>0</v>
      </c>
      <c r="J26" s="58">
        <f>+'Therm Sales Master'!L146</f>
        <v>0</v>
      </c>
      <c r="K26" s="60">
        <f>+'Therm Sales Master'!M146</f>
        <v>139474</v>
      </c>
      <c r="L26" s="60">
        <f>+'Therm Sales Master'!N146</f>
        <v>29220834</v>
      </c>
      <c r="M26" s="43">
        <f>+'Therm Sales Master'!O146</f>
        <v>2198918</v>
      </c>
      <c r="N26" s="43">
        <f>+'Therm Sales Master'!P146</f>
        <v>791584</v>
      </c>
      <c r="O26" s="43">
        <f>+'Therm Sales Master'!Q146</f>
        <v>447784</v>
      </c>
      <c r="P26" s="58">
        <f>+'Therm Sales Master'!R146</f>
        <v>0</v>
      </c>
      <c r="R26" s="43">
        <f t="shared" si="3"/>
        <v>46164069</v>
      </c>
    </row>
    <row r="27" spans="1:19" x14ac:dyDescent="0.25">
      <c r="A27" s="41">
        <v>44012</v>
      </c>
      <c r="B27" s="60">
        <f>+'Therm Sales Master'!B147</f>
        <v>5005480</v>
      </c>
      <c r="C27" s="43">
        <f>+'Therm Sales Master'!D147</f>
        <v>0</v>
      </c>
      <c r="D27" s="43">
        <f>+'Therm Sales Master'!E147</f>
        <v>637229</v>
      </c>
      <c r="E27" s="58">
        <f>+'Therm Sales Master'!F147</f>
        <v>433558</v>
      </c>
      <c r="F27" s="43">
        <f>+'Therm Sales Master'!G147</f>
        <v>2099</v>
      </c>
      <c r="G27" s="43">
        <f>+'Therm Sales Master'!H147</f>
        <v>3158885</v>
      </c>
      <c r="H27" s="58">
        <f>+'Therm Sales Master'!J147</f>
        <v>1216237</v>
      </c>
      <c r="I27" s="43">
        <f>+'Therm Sales Master'!K147</f>
        <v>0</v>
      </c>
      <c r="J27" s="58">
        <f>+'Therm Sales Master'!L147</f>
        <v>0</v>
      </c>
      <c r="K27" s="60">
        <f>+'Therm Sales Master'!M147</f>
        <v>109505</v>
      </c>
      <c r="L27" s="60">
        <f>+'Therm Sales Master'!N147</f>
        <v>27661973</v>
      </c>
      <c r="M27" s="43">
        <f>+'Therm Sales Master'!O147</f>
        <v>3015900</v>
      </c>
      <c r="N27" s="43">
        <f>+'Therm Sales Master'!P147</f>
        <v>1306946</v>
      </c>
      <c r="O27" s="43">
        <f>+'Therm Sales Master'!Q147</f>
        <v>736401</v>
      </c>
      <c r="P27" s="58">
        <f>+'Therm Sales Master'!R147</f>
        <v>0</v>
      </c>
      <c r="R27" s="43">
        <f t="shared" si="3"/>
        <v>43284213</v>
      </c>
    </row>
    <row r="28" spans="1:19" x14ac:dyDescent="0.25">
      <c r="A28" s="41"/>
      <c r="B28" s="100"/>
      <c r="C28" s="43"/>
      <c r="D28" s="43"/>
      <c r="E28" s="100"/>
      <c r="F28" s="43"/>
      <c r="G28" s="43"/>
      <c r="H28" s="100"/>
      <c r="I28" s="43"/>
      <c r="J28" s="100"/>
      <c r="K28" s="100"/>
      <c r="L28" s="100"/>
      <c r="M28" s="43"/>
      <c r="N28" s="43"/>
      <c r="O28" s="43"/>
      <c r="P28" s="100"/>
      <c r="R28" s="43"/>
    </row>
    <row r="29" spans="1:19" hidden="1" x14ac:dyDescent="0.25">
      <c r="A29" s="41">
        <v>43982</v>
      </c>
      <c r="B29" s="100"/>
      <c r="C29" s="43"/>
      <c r="D29" s="43"/>
      <c r="E29" s="100"/>
      <c r="F29" s="43"/>
      <c r="G29" s="43"/>
      <c r="H29" s="100"/>
      <c r="I29" s="43"/>
      <c r="J29" s="100"/>
      <c r="K29" s="100"/>
      <c r="L29" s="100"/>
      <c r="M29" s="43"/>
      <c r="N29" s="43"/>
      <c r="O29" s="43"/>
      <c r="P29" s="100"/>
      <c r="R29" s="43"/>
    </row>
    <row r="30" spans="1:19" hidden="1" x14ac:dyDescent="0.25">
      <c r="A30" s="41">
        <v>44012</v>
      </c>
      <c r="B30" s="100"/>
      <c r="C30" s="43"/>
      <c r="D30" s="43"/>
      <c r="E30" s="100"/>
      <c r="F30" s="43"/>
      <c r="G30" s="43"/>
      <c r="H30" s="100"/>
      <c r="I30" s="43"/>
      <c r="J30" s="100"/>
      <c r="K30" s="100"/>
      <c r="L30" s="100"/>
      <c r="M30" s="43"/>
      <c r="N30" s="43"/>
      <c r="O30" s="43"/>
      <c r="P30" s="100"/>
      <c r="R30" s="43"/>
    </row>
    <row r="31" spans="1:19" hidden="1" x14ac:dyDescent="0.25">
      <c r="A31" s="41"/>
      <c r="B31" s="100"/>
      <c r="C31" s="43"/>
      <c r="D31" s="43"/>
      <c r="E31" s="100"/>
      <c r="F31" s="43"/>
      <c r="G31" s="43"/>
      <c r="H31" s="100"/>
      <c r="I31" s="43"/>
      <c r="J31" s="100"/>
      <c r="K31" s="100"/>
      <c r="L31" s="100"/>
      <c r="M31" s="43"/>
      <c r="N31" s="43"/>
      <c r="O31" s="43"/>
      <c r="P31" s="100"/>
      <c r="R31" s="43"/>
    </row>
    <row r="32" spans="1:19" hidden="1" x14ac:dyDescent="0.25">
      <c r="A32" s="41">
        <v>44043</v>
      </c>
      <c r="B32" s="100"/>
      <c r="C32" s="43"/>
      <c r="D32" s="43"/>
      <c r="E32" s="100"/>
      <c r="F32" s="43"/>
      <c r="G32" s="43"/>
      <c r="H32" s="100"/>
      <c r="I32" s="43"/>
      <c r="J32" s="100"/>
      <c r="K32" s="100"/>
      <c r="L32" s="100"/>
      <c r="M32" s="43"/>
      <c r="N32" s="43"/>
      <c r="O32" s="43"/>
      <c r="P32" s="100"/>
      <c r="R32" s="43"/>
    </row>
    <row r="33" spans="1:19" hidden="1" x14ac:dyDescent="0.25">
      <c r="A33" s="41">
        <v>44074</v>
      </c>
      <c r="B33" s="100"/>
      <c r="C33" s="43"/>
      <c r="D33" s="43"/>
      <c r="E33" s="100"/>
      <c r="F33" s="43"/>
      <c r="G33" s="43"/>
      <c r="H33" s="100"/>
      <c r="I33" s="43"/>
      <c r="J33" s="100"/>
      <c r="K33" s="100"/>
      <c r="L33" s="100"/>
      <c r="M33" s="43"/>
      <c r="N33" s="43"/>
      <c r="O33" s="43"/>
      <c r="P33" s="100"/>
      <c r="R33" s="43"/>
    </row>
    <row r="34" spans="1:19" hidden="1" x14ac:dyDescent="0.25">
      <c r="A34" s="41"/>
      <c r="B34" s="100"/>
      <c r="C34" s="43"/>
      <c r="D34" s="43"/>
      <c r="E34" s="100"/>
      <c r="F34" s="43"/>
      <c r="G34" s="43"/>
      <c r="H34" s="100"/>
      <c r="I34" s="43"/>
      <c r="J34" s="100"/>
      <c r="K34" s="100"/>
      <c r="L34" s="100"/>
      <c r="M34" s="43"/>
      <c r="N34" s="43"/>
      <c r="O34" s="43"/>
      <c r="P34" s="100"/>
      <c r="R34" s="43"/>
    </row>
    <row r="35" spans="1:19" x14ac:dyDescent="0.25">
      <c r="A35" s="41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R35" s="48"/>
    </row>
    <row r="36" spans="1:19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0"/>
      <c r="L36" s="50"/>
      <c r="M36" s="50"/>
      <c r="N36" s="50"/>
      <c r="O36" s="50"/>
      <c r="P36" s="50"/>
    </row>
    <row r="37" spans="1:19" x14ac:dyDescent="0.25">
      <c r="B37" s="42">
        <v>503</v>
      </c>
      <c r="C37" s="42" t="s">
        <v>38</v>
      </c>
      <c r="D37" s="42">
        <v>505</v>
      </c>
      <c r="E37" s="42">
        <v>511</v>
      </c>
      <c r="F37" s="42" t="s">
        <v>39</v>
      </c>
      <c r="G37" s="42">
        <v>504</v>
      </c>
      <c r="H37" s="42" t="s">
        <v>41</v>
      </c>
      <c r="I37" s="42" t="s">
        <v>38</v>
      </c>
      <c r="J37" s="42">
        <v>570</v>
      </c>
      <c r="K37" s="42">
        <v>570</v>
      </c>
      <c r="L37" s="51">
        <v>6631</v>
      </c>
      <c r="M37" s="51">
        <v>6631</v>
      </c>
      <c r="N37" s="51">
        <v>6633</v>
      </c>
      <c r="O37" s="51">
        <v>6635</v>
      </c>
      <c r="P37" s="51">
        <v>916</v>
      </c>
    </row>
    <row r="38" spans="1:19" hidden="1" x14ac:dyDescent="0.25">
      <c r="A38" s="41">
        <v>43343</v>
      </c>
      <c r="B38" s="52">
        <v>-1.5E-3</v>
      </c>
      <c r="C38" s="86">
        <v>-2.2399999999999998E-3</v>
      </c>
      <c r="D38" s="52">
        <v>-7.2999999999999996E-4</v>
      </c>
      <c r="E38" s="52">
        <v>-5.9999999999999995E-4</v>
      </c>
      <c r="F38" s="52">
        <v>-1.15E-3</v>
      </c>
      <c r="G38" s="52">
        <v>-1.15E-3</v>
      </c>
      <c r="H38" s="52">
        <v>-5.9999999999999995E-4</v>
      </c>
      <c r="I38" s="52">
        <v>-7.2999999999999996E-4</v>
      </c>
      <c r="J38" s="52">
        <v>-2.2000000000000001E-4</v>
      </c>
      <c r="K38" s="52">
        <v>-2.2000000000000001E-4</v>
      </c>
      <c r="L38" s="49">
        <v>-1.2999999999999999E-4</v>
      </c>
      <c r="M38" s="49">
        <v>-1.2999999999999999E-4</v>
      </c>
      <c r="N38" s="49">
        <v>-1.2999999999999999E-4</v>
      </c>
      <c r="O38" s="49">
        <v>-1.2999999999999999E-4</v>
      </c>
      <c r="P38" s="49">
        <v>-1.2999999999999999E-4</v>
      </c>
    </row>
    <row r="39" spans="1:19" hidden="1" x14ac:dyDescent="0.25">
      <c r="A39" s="41">
        <v>43373</v>
      </c>
      <c r="B39" s="52">
        <v>-1.5E-3</v>
      </c>
      <c r="C39" s="52">
        <v>-7.2999999999999996E-4</v>
      </c>
      <c r="D39" s="52">
        <v>-7.2999999999999996E-4</v>
      </c>
      <c r="E39" s="52">
        <v>-5.9999999999999995E-4</v>
      </c>
      <c r="F39" s="52">
        <v>-1.15E-3</v>
      </c>
      <c r="G39" s="52">
        <v>-1.15E-3</v>
      </c>
      <c r="H39" s="52">
        <v>-5.9999999999999995E-4</v>
      </c>
      <c r="I39" s="52">
        <v>-7.2999999999999996E-4</v>
      </c>
      <c r="J39" s="52">
        <v>-2.2000000000000001E-4</v>
      </c>
      <c r="K39" s="52">
        <v>-2.2000000000000001E-4</v>
      </c>
      <c r="L39" s="49">
        <v>-1.2999999999999999E-4</v>
      </c>
      <c r="M39" s="49">
        <v>-1.2999999999999999E-4</v>
      </c>
      <c r="N39" s="49">
        <v>-1.2999999999999999E-4</v>
      </c>
      <c r="O39" s="49">
        <v>-1.2999999999999999E-4</v>
      </c>
      <c r="P39" s="49">
        <v>-1.2999999999999999E-4</v>
      </c>
    </row>
    <row r="40" spans="1:19" hidden="1" x14ac:dyDescent="0.25">
      <c r="A40" s="41">
        <v>43404</v>
      </c>
      <c r="B40" s="52">
        <v>-1.5E-3</v>
      </c>
      <c r="C40" s="52">
        <v>-7.2999999999999996E-4</v>
      </c>
      <c r="D40" s="52">
        <v>-7.2999999999999996E-4</v>
      </c>
      <c r="E40" s="52">
        <v>-5.9999999999999995E-4</v>
      </c>
      <c r="F40" s="52">
        <v>-1.15E-3</v>
      </c>
      <c r="G40" s="52">
        <v>-1.15E-3</v>
      </c>
      <c r="H40" s="52">
        <v>-5.9999999999999995E-4</v>
      </c>
      <c r="I40" s="52">
        <v>-7.2999999999999996E-4</v>
      </c>
      <c r="J40" s="52">
        <v>-2.2000000000000001E-4</v>
      </c>
      <c r="K40" s="52">
        <v>-2.2000000000000001E-4</v>
      </c>
      <c r="L40" s="49">
        <v>-1.2999999999999999E-4</v>
      </c>
      <c r="M40" s="49">
        <v>-1.2999999999999999E-4</v>
      </c>
      <c r="N40" s="49">
        <v>-1.2999999999999999E-4</v>
      </c>
      <c r="O40" s="49">
        <v>-1.2999999999999999E-4</v>
      </c>
      <c r="P40" s="49">
        <v>-1.2999999999999999E-4</v>
      </c>
    </row>
    <row r="41" spans="1:19" hidden="1" x14ac:dyDescent="0.25">
      <c r="A41" s="41">
        <v>43434</v>
      </c>
      <c r="B41" s="52">
        <v>-1.5E-3</v>
      </c>
      <c r="C41" s="52">
        <v>-7.2999999999999996E-4</v>
      </c>
      <c r="D41" s="52">
        <v>-7.2999999999999996E-4</v>
      </c>
      <c r="E41" s="52">
        <v>-5.9999999999999995E-4</v>
      </c>
      <c r="F41" s="52">
        <v>-1.15E-3</v>
      </c>
      <c r="G41" s="52">
        <v>-1.15E-3</v>
      </c>
      <c r="H41" s="52">
        <v>-5.9999999999999995E-4</v>
      </c>
      <c r="I41" s="52">
        <v>-7.2999999999999996E-4</v>
      </c>
      <c r="J41" s="52">
        <v>-2.2000000000000001E-4</v>
      </c>
      <c r="K41" s="52">
        <v>-2.2000000000000001E-4</v>
      </c>
      <c r="L41" s="49">
        <v>-1.2999999999999999E-4</v>
      </c>
      <c r="M41" s="49">
        <v>-1.2999999999999999E-4</v>
      </c>
      <c r="N41" s="49">
        <v>-1.2999999999999999E-4</v>
      </c>
      <c r="O41" s="49">
        <v>-1.2999999999999999E-4</v>
      </c>
      <c r="P41" s="49">
        <v>-1.2999999999999999E-4</v>
      </c>
      <c r="S41" s="40" t="s">
        <v>105</v>
      </c>
    </row>
    <row r="42" spans="1:19" hidden="1" x14ac:dyDescent="0.25">
      <c r="A42" s="41">
        <v>43465</v>
      </c>
      <c r="B42" s="52">
        <v>-1.5E-3</v>
      </c>
      <c r="C42" s="52">
        <v>-7.2999999999999996E-4</v>
      </c>
      <c r="D42" s="52">
        <v>-7.2999999999999996E-4</v>
      </c>
      <c r="E42" s="52">
        <v>-5.9999999999999995E-4</v>
      </c>
      <c r="F42" s="52">
        <v>-1.15E-3</v>
      </c>
      <c r="G42" s="52">
        <v>-1.15E-3</v>
      </c>
      <c r="H42" s="52">
        <v>-5.9999999999999995E-4</v>
      </c>
      <c r="I42" s="52">
        <v>-7.2999999999999996E-4</v>
      </c>
      <c r="J42" s="52">
        <v>-2.2000000000000001E-4</v>
      </c>
      <c r="K42" s="52">
        <v>-2.2000000000000001E-4</v>
      </c>
      <c r="L42" s="49">
        <v>-1.2999999999999999E-4</v>
      </c>
      <c r="M42" s="49">
        <v>-1.2999999999999999E-4</v>
      </c>
      <c r="N42" s="49">
        <v>-1.2999999999999999E-4</v>
      </c>
      <c r="O42" s="49">
        <v>-1.2999999999999999E-4</v>
      </c>
      <c r="P42" s="49">
        <v>-1.2999999999999999E-4</v>
      </c>
    </row>
    <row r="43" spans="1:19" hidden="1" x14ac:dyDescent="0.25">
      <c r="A43" s="41">
        <v>43496</v>
      </c>
      <c r="B43" s="52">
        <v>-1.5E-3</v>
      </c>
      <c r="C43" s="52">
        <v>-7.2999999999999996E-4</v>
      </c>
      <c r="D43" s="52">
        <v>-7.2999999999999996E-4</v>
      </c>
      <c r="E43" s="52">
        <v>-5.9999999999999995E-4</v>
      </c>
      <c r="F43" s="52">
        <v>-1.15E-3</v>
      </c>
      <c r="G43" s="52">
        <v>-1.15E-3</v>
      </c>
      <c r="H43" s="52">
        <v>-5.9999999999999995E-4</v>
      </c>
      <c r="I43" s="52">
        <v>-7.2999999999999996E-4</v>
      </c>
      <c r="J43" s="52">
        <v>-2.2000000000000001E-4</v>
      </c>
      <c r="K43" s="52">
        <v>-2.2000000000000001E-4</v>
      </c>
      <c r="L43" s="49">
        <v>-1.2999999999999999E-4</v>
      </c>
      <c r="M43" s="49">
        <v>-1.2999999999999999E-4</v>
      </c>
      <c r="N43" s="49">
        <v>-1.2999999999999999E-4</v>
      </c>
      <c r="O43" s="49">
        <v>-1.2999999999999999E-4</v>
      </c>
      <c r="P43" s="49">
        <v>-1.2999999999999999E-4</v>
      </c>
    </row>
    <row r="44" spans="1:19" hidden="1" x14ac:dyDescent="0.25">
      <c r="A44" s="41">
        <v>43524</v>
      </c>
      <c r="B44" s="52">
        <v>-1.5E-3</v>
      </c>
      <c r="C44" s="52">
        <v>-7.2999999999999996E-4</v>
      </c>
      <c r="D44" s="52">
        <v>-7.2999999999999996E-4</v>
      </c>
      <c r="E44" s="52">
        <v>-5.9999999999999995E-4</v>
      </c>
      <c r="F44" s="52">
        <v>-1.15E-3</v>
      </c>
      <c r="G44" s="52">
        <v>-1.15E-3</v>
      </c>
      <c r="H44" s="52">
        <v>-5.9999999999999995E-4</v>
      </c>
      <c r="I44" s="52">
        <v>-7.2999999999999996E-4</v>
      </c>
      <c r="J44" s="52">
        <v>-2.2000000000000001E-4</v>
      </c>
      <c r="K44" s="52">
        <v>-2.2000000000000001E-4</v>
      </c>
      <c r="L44" s="49">
        <v>-1.2999999999999999E-4</v>
      </c>
      <c r="M44" s="49">
        <v>-1.2999999999999999E-4</v>
      </c>
      <c r="N44" s="49">
        <v>-1.2999999999999999E-4</v>
      </c>
      <c r="O44" s="49">
        <v>-1.2999999999999999E-4</v>
      </c>
      <c r="P44" s="49">
        <v>-1.2999999999999999E-4</v>
      </c>
    </row>
    <row r="45" spans="1:19" hidden="1" x14ac:dyDescent="0.25">
      <c r="A45" s="41">
        <v>43555</v>
      </c>
      <c r="B45" s="52">
        <v>-1.5E-3</v>
      </c>
      <c r="C45" s="52">
        <v>-7.2999999999999996E-4</v>
      </c>
      <c r="D45" s="52">
        <v>-7.2999999999999996E-4</v>
      </c>
      <c r="E45" s="52">
        <v>-5.9999999999999995E-4</v>
      </c>
      <c r="F45" s="52">
        <v>-1.15E-3</v>
      </c>
      <c r="G45" s="52">
        <v>-1.15E-3</v>
      </c>
      <c r="H45" s="52">
        <v>-5.9999999999999995E-4</v>
      </c>
      <c r="I45" s="52">
        <v>-7.2999999999999996E-4</v>
      </c>
      <c r="J45" s="52">
        <v>-2.2000000000000001E-4</v>
      </c>
      <c r="K45" s="52">
        <v>-2.2000000000000001E-4</v>
      </c>
      <c r="L45" s="49">
        <v>-1.2999999999999999E-4</v>
      </c>
      <c r="M45" s="49">
        <v>-1.2999999999999999E-4</v>
      </c>
      <c r="N45" s="49">
        <v>-1.2999999999999999E-4</v>
      </c>
      <c r="O45" s="49">
        <v>-1.2999999999999999E-4</v>
      </c>
      <c r="P45" s="49">
        <v>-1.2999999999999999E-4</v>
      </c>
    </row>
    <row r="46" spans="1:19" hidden="1" x14ac:dyDescent="0.25">
      <c r="A46" s="41">
        <v>43585</v>
      </c>
      <c r="B46" s="52">
        <v>-1.5E-3</v>
      </c>
      <c r="C46" s="52">
        <v>-7.2999999999999996E-4</v>
      </c>
      <c r="D46" s="52">
        <v>-7.2999999999999996E-4</v>
      </c>
      <c r="E46" s="52">
        <v>-5.9999999999999995E-4</v>
      </c>
      <c r="F46" s="52">
        <v>-1.15E-3</v>
      </c>
      <c r="G46" s="52">
        <v>-1.15E-3</v>
      </c>
      <c r="H46" s="52">
        <v>-5.9999999999999995E-4</v>
      </c>
      <c r="I46" s="52">
        <v>-7.2999999999999996E-4</v>
      </c>
      <c r="J46" s="52">
        <v>-2.2000000000000001E-4</v>
      </c>
      <c r="K46" s="52">
        <v>-2.2000000000000001E-4</v>
      </c>
      <c r="L46" s="49">
        <v>-1.2999999999999999E-4</v>
      </c>
      <c r="M46" s="49">
        <v>-1.2999999999999999E-4</v>
      </c>
      <c r="N46" s="49">
        <v>-1.2999999999999999E-4</v>
      </c>
      <c r="O46" s="49">
        <v>-1.2999999999999999E-4</v>
      </c>
      <c r="P46" s="49">
        <v>-1.2999999999999999E-4</v>
      </c>
    </row>
    <row r="47" spans="1:19" hidden="1" x14ac:dyDescent="0.25">
      <c r="A47" s="41">
        <v>43616</v>
      </c>
      <c r="B47" s="52">
        <v>-1.5E-3</v>
      </c>
      <c r="C47" s="52">
        <v>-7.2999999999999996E-4</v>
      </c>
      <c r="D47" s="52">
        <v>-7.2999999999999996E-4</v>
      </c>
      <c r="E47" s="52">
        <v>-5.9999999999999995E-4</v>
      </c>
      <c r="F47" s="52">
        <v>-1.15E-3</v>
      </c>
      <c r="G47" s="52">
        <v>-1.15E-3</v>
      </c>
      <c r="H47" s="52">
        <v>-5.9999999999999995E-4</v>
      </c>
      <c r="I47" s="52">
        <v>-7.2999999999999996E-4</v>
      </c>
      <c r="J47" s="52">
        <v>-2.2000000000000001E-4</v>
      </c>
      <c r="K47" s="52">
        <v>-2.2000000000000001E-4</v>
      </c>
      <c r="L47" s="49">
        <v>-1.2999999999999999E-4</v>
      </c>
      <c r="M47" s="49">
        <v>-1.2999999999999999E-4</v>
      </c>
      <c r="N47" s="49">
        <v>-1.2999999999999999E-4</v>
      </c>
      <c r="O47" s="49">
        <v>-1.2999999999999999E-4</v>
      </c>
      <c r="P47" s="49">
        <v>-1.2999999999999999E-4</v>
      </c>
    </row>
    <row r="48" spans="1:19" hidden="1" x14ac:dyDescent="0.25">
      <c r="A48" s="41">
        <v>43646</v>
      </c>
      <c r="B48" s="52">
        <v>-1.5E-3</v>
      </c>
      <c r="C48" s="52">
        <v>-7.2999999999999996E-4</v>
      </c>
      <c r="D48" s="52">
        <v>-7.2999999999999996E-4</v>
      </c>
      <c r="E48" s="52">
        <v>-5.9999999999999995E-4</v>
      </c>
      <c r="F48" s="52">
        <v>-1.15E-3</v>
      </c>
      <c r="G48" s="52">
        <v>-1.15E-3</v>
      </c>
      <c r="H48" s="52">
        <v>-5.9999999999999995E-4</v>
      </c>
      <c r="I48" s="52">
        <v>-7.2999999999999996E-4</v>
      </c>
      <c r="J48" s="52">
        <v>-2.2000000000000001E-4</v>
      </c>
      <c r="K48" s="52">
        <v>-2.2000000000000001E-4</v>
      </c>
      <c r="L48" s="49">
        <v>-1.2999999999999999E-4</v>
      </c>
      <c r="M48" s="49">
        <v>-1.2999999999999999E-4</v>
      </c>
      <c r="N48" s="49">
        <v>-1.2999999999999999E-4</v>
      </c>
      <c r="O48" s="49">
        <v>-1.2999999999999999E-4</v>
      </c>
      <c r="P48" s="49">
        <v>-1.2999999999999999E-4</v>
      </c>
    </row>
    <row r="49" spans="1:18" x14ac:dyDescent="0.25">
      <c r="A49" s="41">
        <v>43677</v>
      </c>
      <c r="B49" s="52">
        <v>-1.5E-3</v>
      </c>
      <c r="C49" s="52">
        <v>-7.2999999999999996E-4</v>
      </c>
      <c r="D49" s="52">
        <v>-7.2999999999999996E-4</v>
      </c>
      <c r="E49" s="52">
        <v>-5.9999999999999995E-4</v>
      </c>
      <c r="F49" s="52">
        <v>-1.15E-3</v>
      </c>
      <c r="G49" s="52">
        <v>-1.15E-3</v>
      </c>
      <c r="H49" s="52">
        <v>-5.9999999999999995E-4</v>
      </c>
      <c r="I49" s="52">
        <v>-7.2999999999999996E-4</v>
      </c>
      <c r="J49" s="52">
        <v>-2.2000000000000001E-4</v>
      </c>
      <c r="K49" s="52">
        <v>-2.2000000000000001E-4</v>
      </c>
      <c r="L49" s="52">
        <v>-1.2999999999999999E-4</v>
      </c>
      <c r="M49" s="52">
        <v>-1.2999999999999999E-4</v>
      </c>
      <c r="N49" s="52">
        <v>-1.2999999999999999E-4</v>
      </c>
      <c r="O49" s="52">
        <v>-1.2999999999999999E-4</v>
      </c>
      <c r="P49" s="52">
        <v>-1.2999999999999999E-4</v>
      </c>
    </row>
    <row r="50" spans="1:18" x14ac:dyDescent="0.25">
      <c r="A50" s="41">
        <v>43708</v>
      </c>
      <c r="B50" s="52">
        <v>-1.5E-3</v>
      </c>
      <c r="C50" s="52">
        <v>-7.2999999999999996E-4</v>
      </c>
      <c r="D50" s="52">
        <v>-7.2999999999999996E-4</v>
      </c>
      <c r="E50" s="52">
        <v>-5.9999999999999995E-4</v>
      </c>
      <c r="F50" s="52">
        <v>-1.15E-3</v>
      </c>
      <c r="G50" s="52">
        <v>-1.15E-3</v>
      </c>
      <c r="H50" s="52">
        <v>-5.9999999999999995E-4</v>
      </c>
      <c r="I50" s="52">
        <v>-7.2999999999999996E-4</v>
      </c>
      <c r="J50" s="52">
        <v>-2.2000000000000001E-4</v>
      </c>
      <c r="K50" s="52">
        <v>-2.2000000000000001E-4</v>
      </c>
      <c r="L50" s="52">
        <v>-1.2999999999999999E-4</v>
      </c>
      <c r="M50" s="52">
        <v>-1.2999999999999999E-4</v>
      </c>
      <c r="N50" s="52">
        <v>-1.2999999999999999E-4</v>
      </c>
      <c r="O50" s="52">
        <v>-1.2999999999999999E-4</v>
      </c>
      <c r="P50" s="52">
        <v>-1.2999999999999999E-4</v>
      </c>
    </row>
    <row r="51" spans="1:18" x14ac:dyDescent="0.25">
      <c r="A51" s="41">
        <v>43738</v>
      </c>
      <c r="B51" s="52">
        <v>-1.5E-3</v>
      </c>
      <c r="C51" s="52">
        <v>-7.2999999999999996E-4</v>
      </c>
      <c r="D51" s="52">
        <v>-7.2999999999999996E-4</v>
      </c>
      <c r="E51" s="52">
        <v>-5.9999999999999995E-4</v>
      </c>
      <c r="F51" s="52">
        <v>-1.15E-3</v>
      </c>
      <c r="G51" s="52">
        <v>-1.15E-3</v>
      </c>
      <c r="H51" s="52">
        <v>-5.9999999999999995E-4</v>
      </c>
      <c r="I51" s="52">
        <v>-7.2999999999999996E-4</v>
      </c>
      <c r="J51" s="52">
        <v>-2.2000000000000001E-4</v>
      </c>
      <c r="K51" s="52">
        <v>-2.2000000000000001E-4</v>
      </c>
      <c r="L51" s="52">
        <v>-1.2999999999999999E-4</v>
      </c>
      <c r="M51" s="52">
        <v>-1.2999999999999999E-4</v>
      </c>
      <c r="N51" s="52">
        <v>-1.2999999999999999E-4</v>
      </c>
      <c r="O51" s="52">
        <v>-1.2999999999999999E-4</v>
      </c>
      <c r="P51" s="52">
        <v>-1.2999999999999999E-4</v>
      </c>
    </row>
    <row r="52" spans="1:18" x14ac:dyDescent="0.25">
      <c r="A52" s="41">
        <v>43769</v>
      </c>
      <c r="B52" s="52">
        <v>-1.5E-3</v>
      </c>
      <c r="C52" s="52">
        <v>-7.2999999999999996E-4</v>
      </c>
      <c r="D52" s="52">
        <v>-7.2999999999999996E-4</v>
      </c>
      <c r="E52" s="52">
        <v>-5.9999999999999995E-4</v>
      </c>
      <c r="F52" s="52">
        <v>-1.15E-3</v>
      </c>
      <c r="G52" s="52">
        <v>-1.15E-3</v>
      </c>
      <c r="H52" s="52">
        <v>-5.9999999999999995E-4</v>
      </c>
      <c r="I52" s="52">
        <v>-7.2999999999999996E-4</v>
      </c>
      <c r="J52" s="52">
        <v>-2.2000000000000001E-4</v>
      </c>
      <c r="K52" s="52">
        <v>-2.2000000000000001E-4</v>
      </c>
      <c r="L52" s="52">
        <v>-1.2999999999999999E-4</v>
      </c>
      <c r="M52" s="52">
        <v>-1.2999999999999999E-4</v>
      </c>
      <c r="N52" s="52">
        <v>-1.2999999999999999E-4</v>
      </c>
      <c r="O52" s="52">
        <v>-1.2999999999999999E-4</v>
      </c>
      <c r="P52" s="52">
        <v>-1.2999999999999999E-4</v>
      </c>
      <c r="R52" s="40" t="s">
        <v>45</v>
      </c>
    </row>
    <row r="53" spans="1:18" x14ac:dyDescent="0.25">
      <c r="A53" s="41">
        <v>43799</v>
      </c>
      <c r="B53" s="52">
        <v>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R53" s="40" t="s">
        <v>46</v>
      </c>
    </row>
    <row r="54" spans="1:18" x14ac:dyDescent="0.25">
      <c r="A54" s="41">
        <v>43830</v>
      </c>
      <c r="B54" s="52">
        <v>0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</row>
    <row r="55" spans="1:18" x14ac:dyDescent="0.25">
      <c r="A55" s="41">
        <v>43861</v>
      </c>
      <c r="B55" s="52">
        <v>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</row>
    <row r="56" spans="1:18" x14ac:dyDescent="0.25">
      <c r="A56" s="41">
        <v>43890</v>
      </c>
      <c r="B56" s="52">
        <v>0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v>0</v>
      </c>
    </row>
    <row r="57" spans="1:18" x14ac:dyDescent="0.25">
      <c r="A57" s="41">
        <v>43921</v>
      </c>
      <c r="B57" s="52"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</row>
    <row r="58" spans="1:18" x14ac:dyDescent="0.25">
      <c r="A58" s="41">
        <v>43951</v>
      </c>
      <c r="B58" s="52"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</row>
    <row r="59" spans="1:18" x14ac:dyDescent="0.25">
      <c r="A59" s="41">
        <v>43982</v>
      </c>
      <c r="B59" s="52"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</row>
    <row r="60" spans="1:18" x14ac:dyDescent="0.25">
      <c r="A60" s="41">
        <v>44012</v>
      </c>
      <c r="B60" s="52"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</row>
    <row r="61" spans="1:18" hidden="1" x14ac:dyDescent="0.25">
      <c r="A61" s="41">
        <v>44043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49"/>
      <c r="M61" s="49"/>
      <c r="N61" s="49"/>
      <c r="O61" s="49"/>
      <c r="P61" s="49"/>
    </row>
    <row r="62" spans="1:18" hidden="1" x14ac:dyDescent="0.25">
      <c r="A62" s="41">
        <v>44074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49"/>
      <c r="M62" s="49"/>
      <c r="N62" s="49"/>
      <c r="O62" s="49"/>
      <c r="P62" s="49"/>
    </row>
    <row r="63" spans="1:18" hidden="1" x14ac:dyDescent="0.25">
      <c r="A63" s="41">
        <v>44104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49"/>
      <c r="M63" s="49"/>
      <c r="N63" s="49"/>
      <c r="O63" s="49"/>
      <c r="P63" s="49"/>
    </row>
    <row r="64" spans="1:18" hidden="1" x14ac:dyDescent="0.25">
      <c r="A64" s="41">
        <v>44135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49"/>
      <c r="M64" s="49"/>
      <c r="N64" s="49"/>
      <c r="O64" s="49"/>
      <c r="P64" s="49"/>
    </row>
    <row r="65" spans="1:30" hidden="1" x14ac:dyDescent="0.25">
      <c r="A65" s="41">
        <v>44165</v>
      </c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49"/>
      <c r="M65" s="49"/>
      <c r="N65" s="49"/>
      <c r="O65" s="49"/>
      <c r="P65" s="49"/>
    </row>
    <row r="66" spans="1:30" hidden="1" x14ac:dyDescent="0.25">
      <c r="A66" s="41">
        <v>44196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49"/>
      <c r="M66" s="49"/>
      <c r="N66" s="49"/>
      <c r="O66" s="49"/>
      <c r="P66" s="49"/>
    </row>
    <row r="67" spans="1:30" x14ac:dyDescent="0.25">
      <c r="A67" s="41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49"/>
      <c r="M67" s="49"/>
      <c r="N67" s="49"/>
      <c r="O67" s="49"/>
      <c r="P67" s="49"/>
    </row>
    <row r="68" spans="1:30" x14ac:dyDescent="0.25">
      <c r="A68" s="4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49"/>
      <c r="M68" s="49"/>
      <c r="N68" s="49"/>
      <c r="O68" s="49"/>
      <c r="P68" s="49"/>
    </row>
    <row r="69" spans="1:30" x14ac:dyDescent="0.25">
      <c r="B69" s="55"/>
      <c r="C69" s="55"/>
      <c r="D69" s="55"/>
      <c r="E69" s="55"/>
      <c r="F69" s="55"/>
      <c r="G69" s="55"/>
      <c r="H69" s="55"/>
      <c r="I69" s="55"/>
      <c r="J69" s="55"/>
      <c r="K69" s="50"/>
      <c r="L69" s="50"/>
      <c r="M69" s="50"/>
      <c r="N69" s="50"/>
      <c r="O69" s="50"/>
      <c r="P69" s="50"/>
    </row>
    <row r="70" spans="1:30" x14ac:dyDescent="0.25">
      <c r="B70" s="42">
        <v>503</v>
      </c>
      <c r="C70" s="42" t="s">
        <v>38</v>
      </c>
      <c r="D70" s="42">
        <v>505</v>
      </c>
      <c r="E70" s="42">
        <v>511</v>
      </c>
      <c r="F70" s="42" t="s">
        <v>39</v>
      </c>
      <c r="G70" s="42">
        <v>504</v>
      </c>
      <c r="H70" s="42" t="s">
        <v>41</v>
      </c>
      <c r="I70" s="42" t="s">
        <v>38</v>
      </c>
      <c r="J70" s="42">
        <v>570</v>
      </c>
      <c r="K70" s="42">
        <v>570</v>
      </c>
      <c r="L70" s="51">
        <v>6631</v>
      </c>
      <c r="M70" s="51">
        <v>6631</v>
      </c>
      <c r="N70" s="51">
        <v>6633</v>
      </c>
      <c r="O70" s="51">
        <v>6635</v>
      </c>
      <c r="P70" s="51">
        <v>916</v>
      </c>
      <c r="R70" s="45" t="s">
        <v>51</v>
      </c>
      <c r="T70" s="51">
        <v>4800</v>
      </c>
      <c r="U70" s="51">
        <v>4809</v>
      </c>
      <c r="V70" s="51">
        <v>4810</v>
      </c>
      <c r="W70" s="51">
        <v>4811</v>
      </c>
      <c r="X70" s="51">
        <v>4813</v>
      </c>
      <c r="Y70" s="51" t="s">
        <v>12</v>
      </c>
      <c r="Z70" s="51">
        <v>4861</v>
      </c>
      <c r="AA70" s="51">
        <v>4863</v>
      </c>
      <c r="AB70" s="51" t="s">
        <v>14</v>
      </c>
      <c r="AC70" s="45" t="s">
        <v>51</v>
      </c>
    </row>
    <row r="71" spans="1:30" hidden="1" x14ac:dyDescent="0.25">
      <c r="A71" s="41">
        <f>'TAX Interest Rates'!A17</f>
        <v>43343</v>
      </c>
      <c r="B71" s="44">
        <f t="shared" ref="B71:P71" si="4">ROUND(-B4*B38,2)</f>
        <v>1495.34</v>
      </c>
      <c r="C71" s="44">
        <f t="shared" si="4"/>
        <v>0</v>
      </c>
      <c r="D71" s="44">
        <f t="shared" si="4"/>
        <v>116.85</v>
      </c>
      <c r="E71" s="44">
        <f t="shared" si="4"/>
        <v>53.1</v>
      </c>
      <c r="F71" s="44">
        <f t="shared" si="4"/>
        <v>0.18</v>
      </c>
      <c r="G71" s="44">
        <f t="shared" si="4"/>
        <v>1133.93</v>
      </c>
      <c r="H71" s="44">
        <f t="shared" si="4"/>
        <v>82.39</v>
      </c>
      <c r="I71" s="44">
        <f t="shared" si="4"/>
        <v>0.26</v>
      </c>
      <c r="J71" s="44">
        <f t="shared" si="4"/>
        <v>0</v>
      </c>
      <c r="K71" s="44">
        <f t="shared" si="4"/>
        <v>20.55</v>
      </c>
      <c r="L71" s="44">
        <f t="shared" si="4"/>
        <v>3500.25</v>
      </c>
      <c r="M71" s="44">
        <f t="shared" si="4"/>
        <v>0</v>
      </c>
      <c r="N71" s="44">
        <f t="shared" si="4"/>
        <v>1659.13</v>
      </c>
      <c r="O71" s="44">
        <f t="shared" si="4"/>
        <v>688.15</v>
      </c>
      <c r="P71" s="44">
        <f t="shared" si="4"/>
        <v>1871.08</v>
      </c>
      <c r="R71" s="40">
        <f t="shared" ref="R71:R81" si="5">SUM(B71:Q71)</f>
        <v>10621.210000000001</v>
      </c>
      <c r="T71" s="40">
        <f>+B71</f>
        <v>1495.34</v>
      </c>
      <c r="U71" s="40">
        <f>+C71+D71+E71</f>
        <v>169.95</v>
      </c>
      <c r="V71" s="40">
        <f>+F71+G71+H71</f>
        <v>1216.5000000000002</v>
      </c>
      <c r="W71" s="40">
        <f>+I71+J71</f>
        <v>0.26</v>
      </c>
      <c r="X71" s="40">
        <f>+K71</f>
        <v>20.55</v>
      </c>
      <c r="Y71" s="40">
        <f>SUM(T71:X71)</f>
        <v>2902.6000000000004</v>
      </c>
      <c r="Z71" s="40">
        <f>+L71</f>
        <v>3500.25</v>
      </c>
      <c r="AA71" s="40">
        <f>+M71+N71+O71+P71</f>
        <v>4218.3600000000006</v>
      </c>
      <c r="AB71" s="40">
        <f>SUM(Z71:AA71)</f>
        <v>7718.6100000000006</v>
      </c>
      <c r="AC71" s="40">
        <f>+Y71+AB71</f>
        <v>10621.210000000001</v>
      </c>
    </row>
    <row r="72" spans="1:30" hidden="1" x14ac:dyDescent="0.25">
      <c r="A72" s="41">
        <f>'TAX Interest Rates'!A18</f>
        <v>43373</v>
      </c>
      <c r="B72" s="44">
        <f t="shared" ref="B72:O72" si="6">ROUND(-B5*B39,2)</f>
        <v>4213.78</v>
      </c>
      <c r="C72" s="44">
        <f t="shared" si="6"/>
        <v>-0.26</v>
      </c>
      <c r="D72" s="44">
        <f t="shared" si="6"/>
        <v>473.05</v>
      </c>
      <c r="E72" s="44">
        <f t="shared" si="6"/>
        <v>144.61000000000001</v>
      </c>
      <c r="F72" s="44">
        <f t="shared" si="6"/>
        <v>0.57999999999999996</v>
      </c>
      <c r="G72" s="44">
        <f t="shared" si="6"/>
        <v>3201.81</v>
      </c>
      <c r="H72" s="44">
        <f t="shared" si="6"/>
        <v>230.52</v>
      </c>
      <c r="I72" s="44">
        <f t="shared" si="6"/>
        <v>0.4</v>
      </c>
      <c r="J72" s="44">
        <f t="shared" si="6"/>
        <v>0</v>
      </c>
      <c r="K72" s="44">
        <f t="shared" si="6"/>
        <v>26.1</v>
      </c>
      <c r="L72" s="44">
        <f t="shared" si="6"/>
        <v>3959.94</v>
      </c>
      <c r="M72" s="44">
        <f t="shared" si="6"/>
        <v>1990.68</v>
      </c>
      <c r="N72" s="44">
        <f t="shared" si="6"/>
        <v>1869.53</v>
      </c>
      <c r="O72" s="44">
        <f t="shared" si="6"/>
        <v>270.52</v>
      </c>
      <c r="P72" s="44">
        <f t="shared" ref="P72:P85" si="7">ROUND(-P5*P39,2)</f>
        <v>0</v>
      </c>
      <c r="R72" s="40">
        <f t="shared" si="5"/>
        <v>16381.260000000002</v>
      </c>
      <c r="T72" s="40">
        <f t="shared" ref="T72:T81" si="8">+B72</f>
        <v>4213.78</v>
      </c>
      <c r="U72" s="40">
        <f t="shared" ref="U72:U81" si="9">+C72+D72+E72</f>
        <v>617.40000000000009</v>
      </c>
      <c r="V72" s="40">
        <f t="shared" ref="V72:V81" si="10">+F72+G72+H72</f>
        <v>3432.91</v>
      </c>
      <c r="W72" s="40">
        <f t="shared" ref="W72:W81" si="11">+I72+J72</f>
        <v>0.4</v>
      </c>
      <c r="X72" s="40">
        <f t="shared" ref="X72:X81" si="12">+K72</f>
        <v>26.1</v>
      </c>
      <c r="Y72" s="40">
        <f t="shared" ref="Y72:Y81" si="13">SUM(T72:X72)</f>
        <v>8290.59</v>
      </c>
      <c r="Z72" s="40">
        <f t="shared" ref="Z72:Z81" si="14">+L72</f>
        <v>3959.94</v>
      </c>
      <c r="AA72" s="40">
        <f t="shared" ref="AA72:AA81" si="15">+M72+N72+O72+P72</f>
        <v>4130.7299999999996</v>
      </c>
      <c r="AB72" s="40">
        <f t="shared" ref="AB72:AB81" si="16">SUM(Z72:AA72)</f>
        <v>8090.67</v>
      </c>
      <c r="AC72" s="40">
        <f t="shared" ref="AC72:AC81" si="17">+Y72+AB72</f>
        <v>16381.26</v>
      </c>
      <c r="AD72" s="40">
        <f>+R72-Y72-AB72</f>
        <v>0</v>
      </c>
    </row>
    <row r="73" spans="1:30" hidden="1" x14ac:dyDescent="0.25">
      <c r="A73" s="41">
        <f>'TAX Interest Rates'!A19</f>
        <v>43404</v>
      </c>
      <c r="B73" s="44">
        <f t="shared" ref="B73:O73" si="18">ROUND(-B6*B40,2)</f>
        <v>7960.67</v>
      </c>
      <c r="C73" s="44">
        <f t="shared" si="18"/>
        <v>0</v>
      </c>
      <c r="D73" s="44">
        <f t="shared" si="18"/>
        <v>753.06</v>
      </c>
      <c r="E73" s="44">
        <f t="shared" si="18"/>
        <v>268.27999999999997</v>
      </c>
      <c r="F73" s="44">
        <f t="shared" si="18"/>
        <v>2.39</v>
      </c>
      <c r="G73" s="44">
        <f t="shared" si="18"/>
        <v>4898.7299999999996</v>
      </c>
      <c r="H73" s="44">
        <f t="shared" si="18"/>
        <v>404.78</v>
      </c>
      <c r="I73" s="44">
        <f t="shared" si="18"/>
        <v>0.02</v>
      </c>
      <c r="J73" s="44">
        <f t="shared" si="18"/>
        <v>0</v>
      </c>
      <c r="K73" s="44">
        <f t="shared" si="18"/>
        <v>43.5</v>
      </c>
      <c r="L73" s="44">
        <f t="shared" si="18"/>
        <v>4218.32</v>
      </c>
      <c r="M73" s="44">
        <f t="shared" si="18"/>
        <v>1002.86</v>
      </c>
      <c r="N73" s="44">
        <f t="shared" si="18"/>
        <v>524.42999999999995</v>
      </c>
      <c r="O73" s="44">
        <f t="shared" si="18"/>
        <v>260.2</v>
      </c>
      <c r="P73" s="44">
        <f t="shared" si="7"/>
        <v>0</v>
      </c>
      <c r="R73" s="40">
        <f t="shared" si="5"/>
        <v>20337.240000000002</v>
      </c>
      <c r="T73" s="40">
        <f t="shared" si="8"/>
        <v>7960.67</v>
      </c>
      <c r="U73" s="40">
        <f t="shared" si="9"/>
        <v>1021.3399999999999</v>
      </c>
      <c r="V73" s="40">
        <f t="shared" si="10"/>
        <v>5305.9</v>
      </c>
      <c r="W73" s="40">
        <f t="shared" si="11"/>
        <v>0.02</v>
      </c>
      <c r="X73" s="40">
        <f t="shared" si="12"/>
        <v>43.5</v>
      </c>
      <c r="Y73" s="40">
        <f t="shared" si="13"/>
        <v>14331.43</v>
      </c>
      <c r="Z73" s="40">
        <f t="shared" si="14"/>
        <v>4218.32</v>
      </c>
      <c r="AA73" s="40">
        <f t="shared" si="15"/>
        <v>1787.49</v>
      </c>
      <c r="AB73" s="40">
        <f t="shared" si="16"/>
        <v>6005.8099999999995</v>
      </c>
      <c r="AC73" s="40">
        <f t="shared" si="17"/>
        <v>20337.239999999998</v>
      </c>
      <c r="AD73" s="40">
        <f t="shared" ref="AD73:AD81" si="19">+R73-Y73-AB73</f>
        <v>0</v>
      </c>
    </row>
    <row r="74" spans="1:30" hidden="1" x14ac:dyDescent="0.25">
      <c r="A74" s="41">
        <f>'TAX Interest Rates'!A20</f>
        <v>43434</v>
      </c>
      <c r="B74" s="44">
        <f t="shared" ref="B74:O74" si="20">ROUND(-B7*B41,2)</f>
        <v>13441.4</v>
      </c>
      <c r="C74" s="44">
        <f t="shared" si="20"/>
        <v>0.05</v>
      </c>
      <c r="D74" s="44">
        <f t="shared" si="20"/>
        <v>722.23</v>
      </c>
      <c r="E74" s="44">
        <f t="shared" si="20"/>
        <v>111.02</v>
      </c>
      <c r="F74" s="44">
        <f t="shared" si="20"/>
        <v>3.98</v>
      </c>
      <c r="G74" s="44">
        <f t="shared" si="20"/>
        <v>7076.96</v>
      </c>
      <c r="H74" s="44">
        <f t="shared" si="20"/>
        <v>475.05</v>
      </c>
      <c r="I74" s="44">
        <f t="shared" si="20"/>
        <v>0</v>
      </c>
      <c r="J74" s="44">
        <f t="shared" si="20"/>
        <v>0</v>
      </c>
      <c r="K74" s="44">
        <f t="shared" si="20"/>
        <v>47.89</v>
      </c>
      <c r="L74" s="44">
        <f t="shared" si="20"/>
        <v>3373.34</v>
      </c>
      <c r="M74" s="44">
        <f t="shared" si="20"/>
        <v>9.98</v>
      </c>
      <c r="N74" s="44">
        <f t="shared" si="20"/>
        <v>3.67</v>
      </c>
      <c r="O74" s="44">
        <f t="shared" si="20"/>
        <v>4.41</v>
      </c>
      <c r="P74" s="44">
        <f t="shared" si="7"/>
        <v>0</v>
      </c>
      <c r="R74" s="40">
        <f t="shared" si="5"/>
        <v>25269.979999999996</v>
      </c>
      <c r="T74" s="40">
        <f t="shared" si="8"/>
        <v>13441.4</v>
      </c>
      <c r="U74" s="40">
        <f t="shared" si="9"/>
        <v>833.3</v>
      </c>
      <c r="V74" s="40">
        <f t="shared" si="10"/>
        <v>7555.99</v>
      </c>
      <c r="W74" s="40">
        <f t="shared" si="11"/>
        <v>0</v>
      </c>
      <c r="X74" s="40">
        <f t="shared" si="12"/>
        <v>47.89</v>
      </c>
      <c r="Y74" s="40">
        <f t="shared" si="13"/>
        <v>21878.579999999998</v>
      </c>
      <c r="Z74" s="40">
        <f t="shared" si="14"/>
        <v>3373.34</v>
      </c>
      <c r="AA74" s="40">
        <f t="shared" si="15"/>
        <v>18.060000000000002</v>
      </c>
      <c r="AB74" s="40">
        <f t="shared" si="16"/>
        <v>3391.4</v>
      </c>
      <c r="AC74" s="40">
        <f t="shared" si="17"/>
        <v>25269.98</v>
      </c>
      <c r="AD74" s="40">
        <f t="shared" si="19"/>
        <v>0</v>
      </c>
    </row>
    <row r="75" spans="1:30" hidden="1" x14ac:dyDescent="0.25">
      <c r="A75" s="41">
        <f>'TAX Interest Rates'!A21</f>
        <v>43465</v>
      </c>
      <c r="B75" s="44">
        <f t="shared" ref="B75:O75" si="21">ROUND(-B8*B42,2)</f>
        <v>25546.799999999999</v>
      </c>
      <c r="C75" s="44">
        <f t="shared" si="21"/>
        <v>-0.05</v>
      </c>
      <c r="D75" s="44">
        <f t="shared" si="21"/>
        <v>1076.96</v>
      </c>
      <c r="E75" s="44">
        <f t="shared" si="21"/>
        <v>183.18</v>
      </c>
      <c r="F75" s="44">
        <f t="shared" si="21"/>
        <v>5.65</v>
      </c>
      <c r="G75" s="44">
        <f t="shared" si="21"/>
        <v>13179.22</v>
      </c>
      <c r="H75" s="44">
        <f t="shared" si="21"/>
        <v>830.19</v>
      </c>
      <c r="I75" s="44">
        <f t="shared" si="21"/>
        <v>0.1</v>
      </c>
      <c r="J75" s="44">
        <f t="shared" si="21"/>
        <v>0</v>
      </c>
      <c r="K75" s="44">
        <f t="shared" si="21"/>
        <v>57.31</v>
      </c>
      <c r="L75" s="44">
        <f t="shared" si="21"/>
        <v>3815.09</v>
      </c>
      <c r="M75" s="44">
        <f t="shared" si="21"/>
        <v>1869.74</v>
      </c>
      <c r="N75" s="44">
        <f t="shared" si="21"/>
        <v>578.58000000000004</v>
      </c>
      <c r="O75" s="44">
        <f t="shared" si="21"/>
        <v>7.47</v>
      </c>
      <c r="P75" s="44">
        <f t="shared" si="7"/>
        <v>0</v>
      </c>
      <c r="R75" s="40">
        <f t="shared" si="5"/>
        <v>47150.239999999998</v>
      </c>
      <c r="T75" s="40">
        <f t="shared" si="8"/>
        <v>25546.799999999999</v>
      </c>
      <c r="U75" s="40">
        <f t="shared" si="9"/>
        <v>1260.0900000000001</v>
      </c>
      <c r="V75" s="40">
        <f t="shared" si="10"/>
        <v>14015.06</v>
      </c>
      <c r="W75" s="40">
        <f t="shared" si="11"/>
        <v>0.1</v>
      </c>
      <c r="X75" s="40">
        <f t="shared" si="12"/>
        <v>57.31</v>
      </c>
      <c r="Y75" s="40">
        <f t="shared" si="13"/>
        <v>40879.359999999993</v>
      </c>
      <c r="Z75" s="40">
        <f t="shared" si="14"/>
        <v>3815.09</v>
      </c>
      <c r="AA75" s="40">
        <f t="shared" si="15"/>
        <v>2455.79</v>
      </c>
      <c r="AB75" s="40">
        <f t="shared" si="16"/>
        <v>6270.88</v>
      </c>
      <c r="AC75" s="40">
        <f t="shared" si="17"/>
        <v>47150.239999999991</v>
      </c>
      <c r="AD75" s="40">
        <f t="shared" si="19"/>
        <v>0</v>
      </c>
    </row>
    <row r="76" spans="1:30" hidden="1" x14ac:dyDescent="0.25">
      <c r="A76" s="41">
        <f>'TAX Interest Rates'!A22</f>
        <v>43496</v>
      </c>
      <c r="B76" s="44">
        <f t="shared" ref="B76:O76" si="22">ROUND(-B9*B43,2)</f>
        <v>29138.37</v>
      </c>
      <c r="C76" s="44">
        <f t="shared" si="22"/>
        <v>0</v>
      </c>
      <c r="D76" s="44">
        <f t="shared" si="22"/>
        <v>1046.6099999999999</v>
      </c>
      <c r="E76" s="44">
        <f t="shared" si="22"/>
        <v>198.57</v>
      </c>
      <c r="F76" s="44">
        <f t="shared" si="22"/>
        <v>5.32</v>
      </c>
      <c r="G76" s="44">
        <f t="shared" si="22"/>
        <v>15085.66</v>
      </c>
      <c r="H76" s="44">
        <f t="shared" si="22"/>
        <v>886.58</v>
      </c>
      <c r="I76" s="44">
        <f t="shared" si="22"/>
        <v>0.01</v>
      </c>
      <c r="J76" s="44">
        <f t="shared" si="22"/>
        <v>0</v>
      </c>
      <c r="K76" s="44">
        <f t="shared" si="22"/>
        <v>56.94</v>
      </c>
      <c r="L76" s="44">
        <f t="shared" si="22"/>
        <v>4040</v>
      </c>
      <c r="M76" s="44">
        <f t="shared" si="22"/>
        <v>1942.78</v>
      </c>
      <c r="N76" s="44">
        <f t="shared" si="22"/>
        <v>531.45000000000005</v>
      </c>
      <c r="O76" s="44">
        <f t="shared" si="22"/>
        <v>13.79</v>
      </c>
      <c r="P76" s="44">
        <f t="shared" si="7"/>
        <v>0</v>
      </c>
      <c r="R76" s="40">
        <f t="shared" si="5"/>
        <v>52946.080000000002</v>
      </c>
      <c r="T76" s="40">
        <f t="shared" si="8"/>
        <v>29138.37</v>
      </c>
      <c r="U76" s="40">
        <f t="shared" si="9"/>
        <v>1245.1799999999998</v>
      </c>
      <c r="V76" s="40">
        <f t="shared" si="10"/>
        <v>15977.56</v>
      </c>
      <c r="W76" s="40">
        <f t="shared" si="11"/>
        <v>0.01</v>
      </c>
      <c r="X76" s="40">
        <f t="shared" si="12"/>
        <v>56.94</v>
      </c>
      <c r="Y76" s="40">
        <f t="shared" si="13"/>
        <v>46418.060000000005</v>
      </c>
      <c r="Z76" s="40">
        <f t="shared" si="14"/>
        <v>4040</v>
      </c>
      <c r="AA76" s="40">
        <f t="shared" si="15"/>
        <v>2488.02</v>
      </c>
      <c r="AB76" s="40">
        <f t="shared" si="16"/>
        <v>6528.02</v>
      </c>
      <c r="AC76" s="40">
        <f t="shared" si="17"/>
        <v>52946.080000000002</v>
      </c>
      <c r="AD76" s="40">
        <f t="shared" si="19"/>
        <v>0</v>
      </c>
    </row>
    <row r="77" spans="1:30" hidden="1" x14ac:dyDescent="0.25">
      <c r="A77" s="41">
        <f>'TAX Interest Rates'!A23</f>
        <v>43524</v>
      </c>
      <c r="B77" s="44">
        <f t="shared" ref="B77:O77" si="23">ROUND(-B10*B44,2)</f>
        <v>31239.74</v>
      </c>
      <c r="C77" s="44">
        <f t="shared" si="23"/>
        <v>0</v>
      </c>
      <c r="D77" s="44">
        <f t="shared" si="23"/>
        <v>1179.79</v>
      </c>
      <c r="E77" s="44">
        <f t="shared" si="23"/>
        <v>195.58</v>
      </c>
      <c r="F77" s="44">
        <f t="shared" si="23"/>
        <v>6.31</v>
      </c>
      <c r="G77" s="44">
        <f t="shared" si="23"/>
        <v>16086.46</v>
      </c>
      <c r="H77" s="44">
        <f t="shared" si="23"/>
        <v>916.5</v>
      </c>
      <c r="I77" s="44">
        <f t="shared" si="23"/>
        <v>0</v>
      </c>
      <c r="J77" s="44">
        <f t="shared" si="23"/>
        <v>0</v>
      </c>
      <c r="K77" s="44">
        <f t="shared" si="23"/>
        <v>59.44</v>
      </c>
      <c r="L77" s="44">
        <f t="shared" si="23"/>
        <v>3929.28</v>
      </c>
      <c r="M77" s="44">
        <f t="shared" si="23"/>
        <v>963.15</v>
      </c>
      <c r="N77" s="44">
        <f t="shared" si="23"/>
        <v>760.07</v>
      </c>
      <c r="O77" s="44">
        <f t="shared" si="23"/>
        <v>29.73</v>
      </c>
      <c r="P77" s="44">
        <f t="shared" si="7"/>
        <v>0</v>
      </c>
      <c r="R77" s="40">
        <f t="shared" si="5"/>
        <v>55366.05000000001</v>
      </c>
      <c r="T77" s="40">
        <f t="shared" si="8"/>
        <v>31239.74</v>
      </c>
      <c r="U77" s="40">
        <f t="shared" si="9"/>
        <v>1375.37</v>
      </c>
      <c r="V77" s="40">
        <f t="shared" si="10"/>
        <v>17009.269999999997</v>
      </c>
      <c r="W77" s="40">
        <f t="shared" si="11"/>
        <v>0</v>
      </c>
      <c r="X77" s="40">
        <f t="shared" si="12"/>
        <v>59.44</v>
      </c>
      <c r="Y77" s="40">
        <f t="shared" si="13"/>
        <v>49683.82</v>
      </c>
      <c r="Z77" s="40">
        <f t="shared" si="14"/>
        <v>3929.28</v>
      </c>
      <c r="AA77" s="40">
        <f t="shared" si="15"/>
        <v>1752.95</v>
      </c>
      <c r="AB77" s="40">
        <f t="shared" si="16"/>
        <v>5682.2300000000005</v>
      </c>
      <c r="AC77" s="40">
        <f t="shared" si="17"/>
        <v>55366.05</v>
      </c>
      <c r="AD77" s="40">
        <f t="shared" si="19"/>
        <v>1.0004441719502211E-11</v>
      </c>
    </row>
    <row r="78" spans="1:30" hidden="1" x14ac:dyDescent="0.25">
      <c r="A78" s="41">
        <f>'TAX Interest Rates'!A24</f>
        <v>43555</v>
      </c>
      <c r="B78" s="44">
        <f t="shared" ref="B78:O78" si="24">ROUND(-B11*B45,2)</f>
        <v>33610.01</v>
      </c>
      <c r="C78" s="44">
        <f t="shared" si="24"/>
        <v>0</v>
      </c>
      <c r="D78" s="44">
        <f t="shared" si="24"/>
        <v>1310.1500000000001</v>
      </c>
      <c r="E78" s="44">
        <f t="shared" si="24"/>
        <v>206.67</v>
      </c>
      <c r="F78" s="44">
        <f t="shared" si="24"/>
        <v>4.0599999999999996</v>
      </c>
      <c r="G78" s="44">
        <f t="shared" si="24"/>
        <v>18333.099999999999</v>
      </c>
      <c r="H78" s="44">
        <f t="shared" si="24"/>
        <v>990.06</v>
      </c>
      <c r="I78" s="44">
        <f t="shared" si="24"/>
        <v>0</v>
      </c>
      <c r="J78" s="44">
        <f t="shared" si="24"/>
        <v>0</v>
      </c>
      <c r="K78" s="44">
        <f t="shared" si="24"/>
        <v>54.59</v>
      </c>
      <c r="L78" s="44">
        <f t="shared" si="24"/>
        <v>3827.35</v>
      </c>
      <c r="M78" s="44">
        <f t="shared" si="24"/>
        <v>1276.3</v>
      </c>
      <c r="N78" s="44">
        <f t="shared" si="24"/>
        <v>401.46</v>
      </c>
      <c r="O78" s="44">
        <f t="shared" si="24"/>
        <v>0</v>
      </c>
      <c r="P78" s="44">
        <f t="shared" si="7"/>
        <v>0</v>
      </c>
      <c r="R78" s="40">
        <f t="shared" si="5"/>
        <v>60013.749999999993</v>
      </c>
      <c r="T78" s="40">
        <f t="shared" si="8"/>
        <v>33610.01</v>
      </c>
      <c r="U78" s="40">
        <f t="shared" si="9"/>
        <v>1516.8200000000002</v>
      </c>
      <c r="V78" s="40">
        <f t="shared" si="10"/>
        <v>19327.22</v>
      </c>
      <c r="W78" s="40">
        <f t="shared" si="11"/>
        <v>0</v>
      </c>
      <c r="X78" s="40">
        <f t="shared" si="12"/>
        <v>54.59</v>
      </c>
      <c r="Y78" s="40">
        <f t="shared" si="13"/>
        <v>54508.639999999999</v>
      </c>
      <c r="Z78" s="40">
        <f t="shared" si="14"/>
        <v>3827.35</v>
      </c>
      <c r="AA78" s="40">
        <f t="shared" si="15"/>
        <v>1677.76</v>
      </c>
      <c r="AB78" s="40">
        <f t="shared" si="16"/>
        <v>5505.11</v>
      </c>
      <c r="AC78" s="40">
        <f t="shared" si="17"/>
        <v>60013.75</v>
      </c>
      <c r="AD78" s="40">
        <f t="shared" si="19"/>
        <v>0</v>
      </c>
    </row>
    <row r="79" spans="1:30" hidden="1" x14ac:dyDescent="0.25">
      <c r="A79" s="41">
        <f>'TAX Interest Rates'!A25</f>
        <v>43585</v>
      </c>
      <c r="B79" s="44">
        <f t="shared" ref="B79:O79" si="25">ROUND(-B12*B46,2)</f>
        <v>18393.54</v>
      </c>
      <c r="C79" s="44">
        <f t="shared" si="25"/>
        <v>0</v>
      </c>
      <c r="D79" s="44">
        <f t="shared" si="25"/>
        <v>971.86</v>
      </c>
      <c r="E79" s="44">
        <f t="shared" si="25"/>
        <v>203.43</v>
      </c>
      <c r="F79" s="44">
        <f t="shared" si="25"/>
        <v>2.6</v>
      </c>
      <c r="G79" s="44">
        <f t="shared" si="25"/>
        <v>10461.030000000001</v>
      </c>
      <c r="H79" s="44">
        <f t="shared" si="25"/>
        <v>617.29999999999995</v>
      </c>
      <c r="I79" s="44">
        <f t="shared" si="25"/>
        <v>0.09</v>
      </c>
      <c r="J79" s="44">
        <f t="shared" si="25"/>
        <v>0</v>
      </c>
      <c r="K79" s="44">
        <f t="shared" si="25"/>
        <v>42.12</v>
      </c>
      <c r="L79" s="44">
        <f t="shared" si="25"/>
        <v>3615.16</v>
      </c>
      <c r="M79" s="44">
        <f t="shared" si="25"/>
        <v>987.25</v>
      </c>
      <c r="N79" s="44">
        <f t="shared" si="25"/>
        <v>331.64</v>
      </c>
      <c r="O79" s="44">
        <f t="shared" si="25"/>
        <v>3.16</v>
      </c>
      <c r="P79" s="44">
        <f t="shared" si="7"/>
        <v>0</v>
      </c>
      <c r="R79" s="40">
        <f t="shared" si="5"/>
        <v>35629.18</v>
      </c>
      <c r="T79" s="40">
        <f t="shared" si="8"/>
        <v>18393.54</v>
      </c>
      <c r="U79" s="40">
        <f t="shared" si="9"/>
        <v>1175.29</v>
      </c>
      <c r="V79" s="40">
        <f t="shared" si="10"/>
        <v>11080.93</v>
      </c>
      <c r="W79" s="40">
        <f t="shared" si="11"/>
        <v>0.09</v>
      </c>
      <c r="X79" s="40">
        <f t="shared" si="12"/>
        <v>42.12</v>
      </c>
      <c r="Y79" s="40">
        <f t="shared" si="13"/>
        <v>30691.97</v>
      </c>
      <c r="Z79" s="40">
        <f t="shared" si="14"/>
        <v>3615.16</v>
      </c>
      <c r="AA79" s="40">
        <f t="shared" si="15"/>
        <v>1322.05</v>
      </c>
      <c r="AB79" s="40">
        <f t="shared" si="16"/>
        <v>4937.21</v>
      </c>
      <c r="AC79" s="40">
        <f t="shared" si="17"/>
        <v>35629.18</v>
      </c>
      <c r="AD79" s="40">
        <f t="shared" si="19"/>
        <v>0</v>
      </c>
    </row>
    <row r="80" spans="1:30" hidden="1" x14ac:dyDescent="0.25">
      <c r="A80" s="41">
        <f>'TAX Interest Rates'!A26</f>
        <v>43616</v>
      </c>
      <c r="B80" s="44">
        <f t="shared" ref="B80:O80" si="26">ROUND(-B13*B47,2)</f>
        <v>11114.35</v>
      </c>
      <c r="C80" s="44">
        <f t="shared" si="26"/>
        <v>0</v>
      </c>
      <c r="D80" s="44">
        <f t="shared" si="26"/>
        <v>576.61</v>
      </c>
      <c r="E80" s="44">
        <f t="shared" si="26"/>
        <v>160.6</v>
      </c>
      <c r="F80" s="44">
        <f t="shared" si="26"/>
        <v>0.74</v>
      </c>
      <c r="G80" s="44">
        <f t="shared" si="26"/>
        <v>6176.11</v>
      </c>
      <c r="H80" s="44">
        <f t="shared" si="26"/>
        <v>415.32</v>
      </c>
      <c r="I80" s="44">
        <f t="shared" si="26"/>
        <v>0.11</v>
      </c>
      <c r="J80" s="44">
        <f t="shared" si="26"/>
        <v>0</v>
      </c>
      <c r="K80" s="44">
        <f t="shared" si="26"/>
        <v>31.3</v>
      </c>
      <c r="L80" s="44">
        <f t="shared" si="26"/>
        <v>3880.23</v>
      </c>
      <c r="M80" s="44">
        <f t="shared" si="26"/>
        <v>694.28</v>
      </c>
      <c r="N80" s="44">
        <f t="shared" si="26"/>
        <v>49.66</v>
      </c>
      <c r="O80" s="44">
        <f t="shared" si="26"/>
        <v>30.43</v>
      </c>
      <c r="P80" s="44">
        <f t="shared" si="7"/>
        <v>0</v>
      </c>
      <c r="R80" s="40">
        <f t="shared" si="5"/>
        <v>23129.739999999998</v>
      </c>
      <c r="T80" s="40">
        <f t="shared" si="8"/>
        <v>11114.35</v>
      </c>
      <c r="U80" s="40">
        <f t="shared" si="9"/>
        <v>737.21</v>
      </c>
      <c r="V80" s="40">
        <f t="shared" si="10"/>
        <v>6592.1699999999992</v>
      </c>
      <c r="W80" s="40">
        <f t="shared" si="11"/>
        <v>0.11</v>
      </c>
      <c r="X80" s="40">
        <f t="shared" si="12"/>
        <v>31.3</v>
      </c>
      <c r="Y80" s="40">
        <f t="shared" si="13"/>
        <v>18475.14</v>
      </c>
      <c r="Z80" s="40">
        <f t="shared" si="14"/>
        <v>3880.23</v>
      </c>
      <c r="AA80" s="40">
        <f t="shared" si="15"/>
        <v>774.36999999999989</v>
      </c>
      <c r="AB80" s="40">
        <f t="shared" si="16"/>
        <v>4654.6000000000004</v>
      </c>
      <c r="AC80" s="40">
        <f t="shared" si="17"/>
        <v>23129.739999999998</v>
      </c>
      <c r="AD80" s="40">
        <f t="shared" si="19"/>
        <v>0</v>
      </c>
    </row>
    <row r="81" spans="1:30" hidden="1" x14ac:dyDescent="0.25">
      <c r="A81" s="41">
        <f>'TAX Interest Rates'!A27</f>
        <v>43646</v>
      </c>
      <c r="B81" s="44">
        <f t="shared" ref="B81:O81" si="27">ROUND(-B14*B48,2)</f>
        <v>6070.06</v>
      </c>
      <c r="C81" s="44">
        <f t="shared" si="27"/>
        <v>0</v>
      </c>
      <c r="D81" s="44">
        <f t="shared" si="27"/>
        <v>422.7</v>
      </c>
      <c r="E81" s="44">
        <f t="shared" si="27"/>
        <v>165.02</v>
      </c>
      <c r="F81" s="44">
        <f t="shared" si="27"/>
        <v>0.42</v>
      </c>
      <c r="G81" s="44">
        <f t="shared" si="27"/>
        <v>3985.31</v>
      </c>
      <c r="H81" s="44">
        <f t="shared" si="27"/>
        <v>287.97000000000003</v>
      </c>
      <c r="I81" s="44">
        <f t="shared" si="27"/>
        <v>0</v>
      </c>
      <c r="J81" s="44">
        <f t="shared" si="27"/>
        <v>0</v>
      </c>
      <c r="K81" s="44">
        <f t="shared" si="27"/>
        <v>24.42</v>
      </c>
      <c r="L81" s="44">
        <f t="shared" si="27"/>
        <v>3517.82</v>
      </c>
      <c r="M81" s="44">
        <f t="shared" si="27"/>
        <v>1017.19</v>
      </c>
      <c r="N81" s="44">
        <f t="shared" si="27"/>
        <v>880.99</v>
      </c>
      <c r="O81" s="44">
        <f t="shared" si="27"/>
        <v>144.68</v>
      </c>
      <c r="P81" s="44">
        <f t="shared" si="7"/>
        <v>0</v>
      </c>
      <c r="R81" s="40">
        <f t="shared" si="5"/>
        <v>16516.579999999998</v>
      </c>
      <c r="T81" s="40">
        <f t="shared" si="8"/>
        <v>6070.06</v>
      </c>
      <c r="U81" s="40">
        <f t="shared" si="9"/>
        <v>587.72</v>
      </c>
      <c r="V81" s="40">
        <f t="shared" si="10"/>
        <v>4273.7</v>
      </c>
      <c r="W81" s="40">
        <f t="shared" si="11"/>
        <v>0</v>
      </c>
      <c r="X81" s="40">
        <f t="shared" si="12"/>
        <v>24.42</v>
      </c>
      <c r="Y81" s="40">
        <f t="shared" si="13"/>
        <v>10955.9</v>
      </c>
      <c r="Z81" s="40">
        <f t="shared" si="14"/>
        <v>3517.82</v>
      </c>
      <c r="AA81" s="40">
        <f t="shared" si="15"/>
        <v>2042.8600000000001</v>
      </c>
      <c r="AB81" s="40">
        <f t="shared" si="16"/>
        <v>5560.68</v>
      </c>
      <c r="AC81" s="40">
        <f t="shared" si="17"/>
        <v>16516.580000000002</v>
      </c>
      <c r="AD81" s="40">
        <f t="shared" si="19"/>
        <v>0</v>
      </c>
    </row>
    <row r="82" spans="1:30" x14ac:dyDescent="0.25">
      <c r="A82" s="41">
        <f>'TAX Interest Rates'!A28</f>
        <v>43677</v>
      </c>
      <c r="B82" s="44">
        <f t="shared" ref="B82:O82" si="28">ROUND(-B15*B49,2)</f>
        <v>4826.29</v>
      </c>
      <c r="C82" s="44">
        <f t="shared" si="28"/>
        <v>0</v>
      </c>
      <c r="D82" s="44">
        <f t="shared" si="28"/>
        <v>392.13</v>
      </c>
      <c r="E82" s="44">
        <f t="shared" si="28"/>
        <v>189.12</v>
      </c>
      <c r="F82" s="44">
        <f t="shared" si="28"/>
        <v>0.18</v>
      </c>
      <c r="G82" s="44">
        <f t="shared" si="28"/>
        <v>3512.71</v>
      </c>
      <c r="H82" s="44">
        <f t="shared" si="28"/>
        <v>243.66</v>
      </c>
      <c r="I82" s="44">
        <f t="shared" si="28"/>
        <v>0.12</v>
      </c>
      <c r="J82" s="44">
        <f t="shared" si="28"/>
        <v>0</v>
      </c>
      <c r="K82" s="44">
        <f t="shared" si="28"/>
        <v>26.41</v>
      </c>
      <c r="L82" s="44">
        <f t="shared" si="28"/>
        <v>3389.79</v>
      </c>
      <c r="M82" s="44">
        <f t="shared" si="28"/>
        <v>1885.15</v>
      </c>
      <c r="N82" s="44">
        <f t="shared" si="28"/>
        <v>1835.97</v>
      </c>
      <c r="O82" s="44">
        <f t="shared" si="28"/>
        <v>656.57</v>
      </c>
      <c r="P82" s="44">
        <f t="shared" si="7"/>
        <v>0</v>
      </c>
      <c r="R82" s="40">
        <f t="shared" ref="R82:R88" si="29">SUM(B82:Q82)</f>
        <v>16958.099999999999</v>
      </c>
      <c r="T82" s="40">
        <f t="shared" ref="T82:T88" si="30">+B82</f>
        <v>4826.29</v>
      </c>
      <c r="U82" s="40">
        <f t="shared" ref="U82:U88" si="31">+C82+D82+E82</f>
        <v>581.25</v>
      </c>
      <c r="V82" s="40">
        <f t="shared" ref="V82:V88" si="32">+F82+G82+H82</f>
        <v>3756.5499999999997</v>
      </c>
      <c r="W82" s="40">
        <f t="shared" ref="W82:W88" si="33">+I82+J82</f>
        <v>0.12</v>
      </c>
      <c r="X82" s="40">
        <f t="shared" ref="X82:X88" si="34">+K82</f>
        <v>26.41</v>
      </c>
      <c r="Y82" s="40">
        <f t="shared" ref="Y82:Y88" si="35">SUM(T82:X82)</f>
        <v>9190.6200000000008</v>
      </c>
      <c r="Z82" s="40">
        <f t="shared" ref="Z82:Z88" si="36">+L82</f>
        <v>3389.79</v>
      </c>
      <c r="AA82" s="40">
        <f t="shared" ref="AA82:AA88" si="37">+M82+N82+O82+P82</f>
        <v>4377.6899999999996</v>
      </c>
      <c r="AB82" s="40">
        <f t="shared" ref="AB82:AB88" si="38">SUM(Z82:AA82)</f>
        <v>7767.48</v>
      </c>
      <c r="AC82" s="40">
        <f t="shared" ref="AC82:AC88" si="39">+Y82+AB82</f>
        <v>16958.099999999999</v>
      </c>
      <c r="AD82" s="40">
        <f t="shared" ref="AD82:AD88" si="40">+R82-Y82-AB82</f>
        <v>0</v>
      </c>
    </row>
    <row r="83" spans="1:30" x14ac:dyDescent="0.25">
      <c r="A83" s="41">
        <f>'TAX Interest Rates'!A29</f>
        <v>43708</v>
      </c>
      <c r="B83" s="44">
        <f t="shared" ref="B83:O83" si="41">ROUND(-B16*B50,2)</f>
        <v>4162.6499999999996</v>
      </c>
      <c r="C83" s="44">
        <f t="shared" si="41"/>
        <v>0</v>
      </c>
      <c r="D83" s="44">
        <f t="shared" si="41"/>
        <v>412.01</v>
      </c>
      <c r="E83" s="44">
        <f t="shared" si="41"/>
        <v>210.49</v>
      </c>
      <c r="F83" s="44">
        <f t="shared" si="41"/>
        <v>0.16</v>
      </c>
      <c r="G83" s="44">
        <f t="shared" si="41"/>
        <v>3210.54</v>
      </c>
      <c r="H83" s="44">
        <f t="shared" si="41"/>
        <v>240.56</v>
      </c>
      <c r="I83" s="44">
        <f t="shared" si="41"/>
        <v>0</v>
      </c>
      <c r="J83" s="44">
        <f t="shared" si="41"/>
        <v>0</v>
      </c>
      <c r="K83" s="44">
        <f t="shared" si="41"/>
        <v>20.6</v>
      </c>
      <c r="L83" s="44">
        <f t="shared" si="41"/>
        <v>3664.85</v>
      </c>
      <c r="M83" s="44">
        <f t="shared" si="41"/>
        <v>2101.41</v>
      </c>
      <c r="N83" s="44">
        <f t="shared" si="41"/>
        <v>2028.69</v>
      </c>
      <c r="O83" s="44">
        <f t="shared" si="41"/>
        <v>1235.1199999999999</v>
      </c>
      <c r="P83" s="44">
        <f t="shared" si="7"/>
        <v>0</v>
      </c>
      <c r="R83" s="40">
        <f t="shared" si="29"/>
        <v>17287.080000000002</v>
      </c>
      <c r="T83" s="40">
        <f t="shared" si="30"/>
        <v>4162.6499999999996</v>
      </c>
      <c r="U83" s="40">
        <f t="shared" si="31"/>
        <v>622.5</v>
      </c>
      <c r="V83" s="40">
        <f t="shared" si="32"/>
        <v>3451.2599999999998</v>
      </c>
      <c r="W83" s="40">
        <f t="shared" si="33"/>
        <v>0</v>
      </c>
      <c r="X83" s="40">
        <f t="shared" si="34"/>
        <v>20.6</v>
      </c>
      <c r="Y83" s="40">
        <f t="shared" si="35"/>
        <v>8257.01</v>
      </c>
      <c r="Z83" s="40">
        <f t="shared" si="36"/>
        <v>3664.85</v>
      </c>
      <c r="AA83" s="40">
        <f t="shared" si="37"/>
        <v>5365.22</v>
      </c>
      <c r="AB83" s="40">
        <f t="shared" si="38"/>
        <v>9030.07</v>
      </c>
      <c r="AC83" s="40">
        <f t="shared" si="39"/>
        <v>17287.080000000002</v>
      </c>
      <c r="AD83" s="40">
        <f t="shared" si="40"/>
        <v>0</v>
      </c>
    </row>
    <row r="84" spans="1:30" x14ac:dyDescent="0.25">
      <c r="A84" s="41">
        <f>'TAX Interest Rates'!A30</f>
        <v>43738</v>
      </c>
      <c r="B84" s="44">
        <f t="shared" ref="B84:O84" si="42">ROUND(-B17*B51,2)</f>
        <v>4037.77</v>
      </c>
      <c r="C84" s="44">
        <f t="shared" si="42"/>
        <v>0</v>
      </c>
      <c r="D84" s="44">
        <f t="shared" si="42"/>
        <v>475.95</v>
      </c>
      <c r="E84" s="44">
        <f t="shared" si="42"/>
        <v>186.37</v>
      </c>
      <c r="F84" s="44">
        <f t="shared" si="42"/>
        <v>0.71</v>
      </c>
      <c r="G84" s="44">
        <f t="shared" si="42"/>
        <v>3073.59</v>
      </c>
      <c r="H84" s="44">
        <f t="shared" si="42"/>
        <v>208.1</v>
      </c>
      <c r="I84" s="44">
        <f t="shared" si="42"/>
        <v>0.3</v>
      </c>
      <c r="J84" s="44">
        <f t="shared" si="42"/>
        <v>0</v>
      </c>
      <c r="K84" s="44">
        <f t="shared" si="42"/>
        <v>24.52</v>
      </c>
      <c r="L84" s="44">
        <f t="shared" si="42"/>
        <v>4083.65</v>
      </c>
      <c r="M84" s="44">
        <f t="shared" si="42"/>
        <v>2035.02</v>
      </c>
      <c r="N84" s="44">
        <f t="shared" si="42"/>
        <v>1886.67</v>
      </c>
      <c r="O84" s="44">
        <f t="shared" si="42"/>
        <v>630.83000000000004</v>
      </c>
      <c r="P84" s="44">
        <f t="shared" si="7"/>
        <v>0</v>
      </c>
      <c r="R84" s="40">
        <f t="shared" si="29"/>
        <v>16643.480000000003</v>
      </c>
      <c r="T84" s="40">
        <f t="shared" si="30"/>
        <v>4037.77</v>
      </c>
      <c r="U84" s="40">
        <f t="shared" si="31"/>
        <v>662.31999999999994</v>
      </c>
      <c r="V84" s="40">
        <f t="shared" si="32"/>
        <v>3282.4</v>
      </c>
      <c r="W84" s="40">
        <f t="shared" si="33"/>
        <v>0.3</v>
      </c>
      <c r="X84" s="40">
        <f t="shared" si="34"/>
        <v>24.52</v>
      </c>
      <c r="Y84" s="40">
        <f t="shared" si="35"/>
        <v>8007.31</v>
      </c>
      <c r="Z84" s="40">
        <f t="shared" si="36"/>
        <v>4083.65</v>
      </c>
      <c r="AA84" s="40">
        <f t="shared" si="37"/>
        <v>4552.5200000000004</v>
      </c>
      <c r="AB84" s="40">
        <f t="shared" si="38"/>
        <v>8636.17</v>
      </c>
      <c r="AC84" s="40">
        <f t="shared" si="39"/>
        <v>16643.48</v>
      </c>
      <c r="AD84" s="40">
        <f t="shared" si="40"/>
        <v>0</v>
      </c>
    </row>
    <row r="85" spans="1:30" x14ac:dyDescent="0.25">
      <c r="A85" s="41">
        <f>'TAX Interest Rates'!A31</f>
        <v>43769</v>
      </c>
      <c r="B85" s="44">
        <f t="shared" ref="B85:O85" si="43">ROUND(-B18*B52,2)</f>
        <v>9549.7000000000007</v>
      </c>
      <c r="C85" s="44">
        <f t="shared" si="43"/>
        <v>0</v>
      </c>
      <c r="D85" s="44">
        <f t="shared" si="43"/>
        <v>930.28</v>
      </c>
      <c r="E85" s="44">
        <f t="shared" si="43"/>
        <v>247.97</v>
      </c>
      <c r="F85" s="44">
        <f t="shared" si="43"/>
        <v>3.4</v>
      </c>
      <c r="G85" s="44">
        <f t="shared" si="43"/>
        <v>5581.47</v>
      </c>
      <c r="H85" s="44">
        <f t="shared" si="43"/>
        <v>1216.6300000000001</v>
      </c>
      <c r="I85" s="44">
        <f t="shared" si="43"/>
        <v>0.23</v>
      </c>
      <c r="J85" s="44">
        <f t="shared" si="43"/>
        <v>0</v>
      </c>
      <c r="K85" s="44">
        <f t="shared" si="43"/>
        <v>51.22</v>
      </c>
      <c r="L85" s="44">
        <f t="shared" si="43"/>
        <v>4473.24</v>
      </c>
      <c r="M85" s="44">
        <f t="shared" si="43"/>
        <v>1438.63</v>
      </c>
      <c r="N85" s="44">
        <f t="shared" si="43"/>
        <v>86.73</v>
      </c>
      <c r="O85" s="44">
        <f t="shared" si="43"/>
        <v>116.66</v>
      </c>
      <c r="P85" s="44">
        <f t="shared" si="7"/>
        <v>0</v>
      </c>
      <c r="R85" s="40">
        <f t="shared" si="29"/>
        <v>23696.16</v>
      </c>
      <c r="T85" s="40">
        <f t="shared" si="30"/>
        <v>9549.7000000000007</v>
      </c>
      <c r="U85" s="40">
        <f t="shared" si="31"/>
        <v>1178.25</v>
      </c>
      <c r="V85" s="40">
        <f t="shared" si="32"/>
        <v>6801.5</v>
      </c>
      <c r="W85" s="40">
        <f t="shared" si="33"/>
        <v>0.23</v>
      </c>
      <c r="X85" s="40">
        <f t="shared" si="34"/>
        <v>51.22</v>
      </c>
      <c r="Y85" s="40">
        <f t="shared" si="35"/>
        <v>17580.900000000001</v>
      </c>
      <c r="Z85" s="40">
        <f t="shared" si="36"/>
        <v>4473.24</v>
      </c>
      <c r="AA85" s="40">
        <f t="shared" si="37"/>
        <v>1642.0200000000002</v>
      </c>
      <c r="AB85" s="40">
        <f t="shared" si="38"/>
        <v>6115.26</v>
      </c>
      <c r="AC85" s="40">
        <f t="shared" si="39"/>
        <v>23696.160000000003</v>
      </c>
      <c r="AD85" s="40">
        <f t="shared" si="40"/>
        <v>0</v>
      </c>
    </row>
    <row r="86" spans="1:30" x14ac:dyDescent="0.25">
      <c r="A86" s="41">
        <f>'TAX Interest Rates'!A32</f>
        <v>43799</v>
      </c>
      <c r="B86" s="44">
        <f>ROUND(-B19*B52,2)</f>
        <v>11433.2</v>
      </c>
      <c r="C86" s="44">
        <f t="shared" ref="C86:P86" si="44">ROUND(-C19*C52,2)</f>
        <v>0</v>
      </c>
      <c r="D86" s="44">
        <f t="shared" si="44"/>
        <v>588.71</v>
      </c>
      <c r="E86" s="44">
        <f t="shared" si="44"/>
        <v>175.36</v>
      </c>
      <c r="F86" s="44">
        <f t="shared" si="44"/>
        <v>0</v>
      </c>
      <c r="G86" s="44">
        <f t="shared" si="44"/>
        <v>6117.01</v>
      </c>
      <c r="H86" s="44">
        <f t="shared" si="44"/>
        <v>376.12</v>
      </c>
      <c r="I86" s="44">
        <f t="shared" si="44"/>
        <v>0</v>
      </c>
      <c r="J86" s="44">
        <f t="shared" si="44"/>
        <v>0</v>
      </c>
      <c r="K86" s="44">
        <f t="shared" si="44"/>
        <v>0</v>
      </c>
      <c r="L86" s="44">
        <f t="shared" si="44"/>
        <v>0.02</v>
      </c>
      <c r="M86" s="44">
        <f t="shared" si="44"/>
        <v>0</v>
      </c>
      <c r="N86" s="44">
        <f t="shared" si="44"/>
        <v>0</v>
      </c>
      <c r="O86" s="44">
        <f t="shared" si="44"/>
        <v>0</v>
      </c>
      <c r="P86" s="44">
        <f t="shared" si="44"/>
        <v>0</v>
      </c>
      <c r="R86" s="40">
        <f t="shared" si="29"/>
        <v>18690.419999999998</v>
      </c>
      <c r="S86" s="40" t="s">
        <v>45</v>
      </c>
      <c r="T86" s="40">
        <f t="shared" si="30"/>
        <v>11433.2</v>
      </c>
      <c r="U86" s="40">
        <f t="shared" si="31"/>
        <v>764.07</v>
      </c>
      <c r="V86" s="40">
        <f t="shared" si="32"/>
        <v>6493.13</v>
      </c>
      <c r="W86" s="40">
        <f t="shared" si="33"/>
        <v>0</v>
      </c>
      <c r="X86" s="40">
        <f t="shared" si="34"/>
        <v>0</v>
      </c>
      <c r="Y86" s="40">
        <f t="shared" si="35"/>
        <v>18690.400000000001</v>
      </c>
      <c r="Z86" s="40">
        <f t="shared" si="36"/>
        <v>0.02</v>
      </c>
      <c r="AA86" s="40">
        <f t="shared" si="37"/>
        <v>0</v>
      </c>
      <c r="AB86" s="40">
        <f t="shared" si="38"/>
        <v>0.02</v>
      </c>
      <c r="AC86" s="40">
        <f t="shared" si="39"/>
        <v>18690.420000000002</v>
      </c>
      <c r="AD86" s="40">
        <f t="shared" si="40"/>
        <v>-3.2014217665743416E-12</v>
      </c>
    </row>
    <row r="87" spans="1:30" x14ac:dyDescent="0.25">
      <c r="A87" s="41">
        <f>'TAX Interest Rates'!A32</f>
        <v>43799</v>
      </c>
      <c r="B87" s="44">
        <f>ROUND(-B20*B53,2)</f>
        <v>0</v>
      </c>
      <c r="C87" s="44">
        <f t="shared" ref="C87:P87" si="45">ROUND(-C20*C53,2)</f>
        <v>0</v>
      </c>
      <c r="D87" s="44">
        <f t="shared" si="45"/>
        <v>0</v>
      </c>
      <c r="E87" s="44">
        <f t="shared" si="45"/>
        <v>0</v>
      </c>
      <c r="F87" s="44">
        <f t="shared" si="45"/>
        <v>0</v>
      </c>
      <c r="G87" s="44">
        <f t="shared" si="45"/>
        <v>0</v>
      </c>
      <c r="H87" s="44">
        <f t="shared" si="45"/>
        <v>0</v>
      </c>
      <c r="I87" s="44">
        <f t="shared" si="45"/>
        <v>0</v>
      </c>
      <c r="J87" s="44">
        <f t="shared" si="45"/>
        <v>0</v>
      </c>
      <c r="K87" s="44">
        <f t="shared" si="45"/>
        <v>0</v>
      </c>
      <c r="L87" s="44">
        <f t="shared" si="45"/>
        <v>0</v>
      </c>
      <c r="M87" s="44">
        <f t="shared" si="45"/>
        <v>0</v>
      </c>
      <c r="N87" s="44">
        <f t="shared" si="45"/>
        <v>0</v>
      </c>
      <c r="O87" s="44">
        <f t="shared" si="45"/>
        <v>0</v>
      </c>
      <c r="P87" s="44">
        <f t="shared" si="45"/>
        <v>0</v>
      </c>
      <c r="R87" s="40">
        <f t="shared" ref="R87" si="46">SUM(B87:Q87)</f>
        <v>0</v>
      </c>
      <c r="S87" s="40" t="s">
        <v>46</v>
      </c>
      <c r="T87" s="40">
        <f t="shared" ref="T87" si="47">+B87</f>
        <v>0</v>
      </c>
      <c r="U87" s="40">
        <f t="shared" ref="U87" si="48">+C87+D87+E87</f>
        <v>0</v>
      </c>
      <c r="V87" s="40">
        <f t="shared" ref="V87" si="49">+F87+G87+H87</f>
        <v>0</v>
      </c>
      <c r="W87" s="40">
        <f t="shared" ref="W87" si="50">+I87+J87</f>
        <v>0</v>
      </c>
      <c r="X87" s="40">
        <f t="shared" ref="X87" si="51">+K87</f>
        <v>0</v>
      </c>
      <c r="Y87" s="40">
        <f t="shared" ref="Y87" si="52">SUM(T87:X87)</f>
        <v>0</v>
      </c>
      <c r="Z87" s="40">
        <f t="shared" ref="Z87" si="53">+L87</f>
        <v>0</v>
      </c>
      <c r="AA87" s="40">
        <f t="shared" ref="AA87" si="54">+M87+N87+O87+P87</f>
        <v>0</v>
      </c>
      <c r="AB87" s="40">
        <f t="shared" ref="AB87" si="55">SUM(Z87:AA87)</f>
        <v>0</v>
      </c>
      <c r="AC87" s="40">
        <f t="shared" ref="AC87" si="56">+Y87+AB87</f>
        <v>0</v>
      </c>
      <c r="AD87" s="40">
        <f t="shared" ref="AD87" si="57">+R87-Y87-AB87</f>
        <v>0</v>
      </c>
    </row>
    <row r="88" spans="1:30" x14ac:dyDescent="0.25">
      <c r="A88" s="41">
        <f>'TAX Interest Rates'!A33</f>
        <v>43830</v>
      </c>
      <c r="B88" s="44">
        <f t="shared" ref="B88:O88" si="58">ROUND(-B21*B54,2)</f>
        <v>0</v>
      </c>
      <c r="C88" s="44">
        <f t="shared" si="58"/>
        <v>0</v>
      </c>
      <c r="D88" s="44">
        <f t="shared" si="58"/>
        <v>0</v>
      </c>
      <c r="E88" s="44">
        <f t="shared" si="58"/>
        <v>0</v>
      </c>
      <c r="F88" s="44">
        <f t="shared" si="58"/>
        <v>0</v>
      </c>
      <c r="G88" s="44">
        <f t="shared" si="58"/>
        <v>0</v>
      </c>
      <c r="H88" s="44">
        <f t="shared" si="58"/>
        <v>0</v>
      </c>
      <c r="I88" s="44">
        <f t="shared" si="58"/>
        <v>0</v>
      </c>
      <c r="J88" s="44">
        <f t="shared" si="58"/>
        <v>0</v>
      </c>
      <c r="K88" s="44">
        <f t="shared" si="58"/>
        <v>0</v>
      </c>
      <c r="L88" s="44">
        <f t="shared" si="58"/>
        <v>0</v>
      </c>
      <c r="M88" s="44">
        <f t="shared" si="58"/>
        <v>0</v>
      </c>
      <c r="N88" s="44">
        <f t="shared" si="58"/>
        <v>0</v>
      </c>
      <c r="O88" s="44">
        <f t="shared" si="58"/>
        <v>0</v>
      </c>
      <c r="P88" s="44">
        <f>ROUND(-P21*P54,2)</f>
        <v>0</v>
      </c>
      <c r="R88" s="40">
        <f t="shared" si="29"/>
        <v>0</v>
      </c>
      <c r="T88" s="40">
        <f t="shared" si="30"/>
        <v>0</v>
      </c>
      <c r="U88" s="40">
        <f t="shared" si="31"/>
        <v>0</v>
      </c>
      <c r="V88" s="40">
        <f t="shared" si="32"/>
        <v>0</v>
      </c>
      <c r="W88" s="40">
        <f t="shared" si="33"/>
        <v>0</v>
      </c>
      <c r="X88" s="40">
        <f t="shared" si="34"/>
        <v>0</v>
      </c>
      <c r="Y88" s="40">
        <f t="shared" si="35"/>
        <v>0</v>
      </c>
      <c r="Z88" s="40">
        <f t="shared" si="36"/>
        <v>0</v>
      </c>
      <c r="AA88" s="40">
        <f t="shared" si="37"/>
        <v>0</v>
      </c>
      <c r="AB88" s="40">
        <f t="shared" si="38"/>
        <v>0</v>
      </c>
      <c r="AC88" s="40">
        <f t="shared" si="39"/>
        <v>0</v>
      </c>
      <c r="AD88" s="40">
        <f t="shared" si="40"/>
        <v>0</v>
      </c>
    </row>
    <row r="89" spans="1:30" x14ac:dyDescent="0.25">
      <c r="A89" s="41">
        <f>'TAX Interest Rates'!A34</f>
        <v>43861</v>
      </c>
      <c r="B89" s="44">
        <f t="shared" ref="B89:O89" si="59">ROUND(-B22*B55,2)</f>
        <v>0</v>
      </c>
      <c r="C89" s="44">
        <f t="shared" si="59"/>
        <v>0</v>
      </c>
      <c r="D89" s="44">
        <f t="shared" si="59"/>
        <v>0</v>
      </c>
      <c r="E89" s="44">
        <f t="shared" si="59"/>
        <v>0</v>
      </c>
      <c r="F89" s="44">
        <f t="shared" si="59"/>
        <v>0</v>
      </c>
      <c r="G89" s="44">
        <f t="shared" si="59"/>
        <v>0</v>
      </c>
      <c r="H89" s="44">
        <f t="shared" si="59"/>
        <v>0</v>
      </c>
      <c r="I89" s="44">
        <f t="shared" si="59"/>
        <v>0</v>
      </c>
      <c r="J89" s="44">
        <f t="shared" si="59"/>
        <v>0</v>
      </c>
      <c r="K89" s="44">
        <f t="shared" si="59"/>
        <v>0</v>
      </c>
      <c r="L89" s="44">
        <f t="shared" si="59"/>
        <v>0</v>
      </c>
      <c r="M89" s="44">
        <f t="shared" si="59"/>
        <v>0</v>
      </c>
      <c r="N89" s="44">
        <f t="shared" si="59"/>
        <v>0</v>
      </c>
      <c r="O89" s="44">
        <f t="shared" si="59"/>
        <v>0</v>
      </c>
      <c r="P89" s="44">
        <f>ROUND(-P22*P55,2)</f>
        <v>0</v>
      </c>
      <c r="R89" s="40">
        <f t="shared" ref="R89:R100" si="60">SUM(B89:Q89)</f>
        <v>0</v>
      </c>
      <c r="T89" s="40">
        <f t="shared" ref="T89:T100" si="61">+B89</f>
        <v>0</v>
      </c>
      <c r="U89" s="40">
        <f t="shared" ref="U89:U100" si="62">+C89+D89+E89</f>
        <v>0</v>
      </c>
      <c r="V89" s="40">
        <f t="shared" ref="V89:V100" si="63">+F89+G89+H89</f>
        <v>0</v>
      </c>
      <c r="W89" s="40">
        <f t="shared" ref="W89:W100" si="64">+I89+J89</f>
        <v>0</v>
      </c>
      <c r="X89" s="40">
        <f t="shared" ref="X89:X100" si="65">+K89</f>
        <v>0</v>
      </c>
      <c r="Y89" s="40">
        <f t="shared" ref="Y89:Y100" si="66">SUM(T89:X89)</f>
        <v>0</v>
      </c>
      <c r="Z89" s="40">
        <f t="shared" ref="Z89:Z100" si="67">+L89</f>
        <v>0</v>
      </c>
      <c r="AA89" s="40">
        <f t="shared" ref="AA89:AA100" si="68">+M89+N89+O89+P89</f>
        <v>0</v>
      </c>
      <c r="AB89" s="40">
        <f t="shared" ref="AB89:AB100" si="69">SUM(Z89:AA89)</f>
        <v>0</v>
      </c>
      <c r="AC89" s="40">
        <f t="shared" ref="AC89:AC100" si="70">+Y89+AB89</f>
        <v>0</v>
      </c>
      <c r="AD89" s="40">
        <f t="shared" ref="AD89:AD100" si="71">+R89-Y89-AB89</f>
        <v>0</v>
      </c>
    </row>
    <row r="90" spans="1:30" x14ac:dyDescent="0.25">
      <c r="A90" s="41">
        <f>'TAX Interest Rates'!A35</f>
        <v>43890</v>
      </c>
      <c r="B90" s="44">
        <f t="shared" ref="B90:P90" si="72">ROUND(-B23*B56,2)</f>
        <v>0</v>
      </c>
      <c r="C90" s="44">
        <f t="shared" si="72"/>
        <v>0</v>
      </c>
      <c r="D90" s="44">
        <f t="shared" si="72"/>
        <v>0</v>
      </c>
      <c r="E90" s="44">
        <f t="shared" si="72"/>
        <v>0</v>
      </c>
      <c r="F90" s="44">
        <f t="shared" si="72"/>
        <v>0</v>
      </c>
      <c r="G90" s="44">
        <f t="shared" si="72"/>
        <v>0</v>
      </c>
      <c r="H90" s="44">
        <f t="shared" si="72"/>
        <v>0</v>
      </c>
      <c r="I90" s="44">
        <f t="shared" si="72"/>
        <v>0</v>
      </c>
      <c r="J90" s="44">
        <f t="shared" si="72"/>
        <v>0</v>
      </c>
      <c r="K90" s="44">
        <f t="shared" si="72"/>
        <v>0</v>
      </c>
      <c r="L90" s="44">
        <f t="shared" si="72"/>
        <v>0</v>
      </c>
      <c r="M90" s="44">
        <f t="shared" si="72"/>
        <v>0</v>
      </c>
      <c r="N90" s="44">
        <f t="shared" si="72"/>
        <v>0</v>
      </c>
      <c r="O90" s="44">
        <f t="shared" si="72"/>
        <v>0</v>
      </c>
      <c r="P90" s="44">
        <f t="shared" si="72"/>
        <v>0</v>
      </c>
      <c r="R90" s="40">
        <f t="shared" si="60"/>
        <v>0</v>
      </c>
      <c r="T90" s="40">
        <f t="shared" si="61"/>
        <v>0</v>
      </c>
      <c r="U90" s="40">
        <f t="shared" si="62"/>
        <v>0</v>
      </c>
      <c r="V90" s="40">
        <f t="shared" si="63"/>
        <v>0</v>
      </c>
      <c r="W90" s="40">
        <f t="shared" si="64"/>
        <v>0</v>
      </c>
      <c r="X90" s="40">
        <f t="shared" si="65"/>
        <v>0</v>
      </c>
      <c r="Y90" s="40">
        <f t="shared" si="66"/>
        <v>0</v>
      </c>
      <c r="Z90" s="40">
        <f t="shared" si="67"/>
        <v>0</v>
      </c>
      <c r="AA90" s="40">
        <f t="shared" si="68"/>
        <v>0</v>
      </c>
      <c r="AB90" s="40">
        <f t="shared" si="69"/>
        <v>0</v>
      </c>
      <c r="AC90" s="40">
        <f t="shared" si="70"/>
        <v>0</v>
      </c>
      <c r="AD90" s="40">
        <f t="shared" si="71"/>
        <v>0</v>
      </c>
    </row>
    <row r="91" spans="1:30" x14ac:dyDescent="0.25">
      <c r="A91" s="41">
        <f>'TAX Interest Rates'!A36</f>
        <v>43921</v>
      </c>
      <c r="B91" s="44">
        <f t="shared" ref="B91:P91" si="73">ROUND(-B24*B57,2)</f>
        <v>0</v>
      </c>
      <c r="C91" s="44">
        <f t="shared" si="73"/>
        <v>0</v>
      </c>
      <c r="D91" s="44">
        <f t="shared" si="73"/>
        <v>0</v>
      </c>
      <c r="E91" s="44">
        <f t="shared" si="73"/>
        <v>0</v>
      </c>
      <c r="F91" s="44">
        <f t="shared" si="73"/>
        <v>0</v>
      </c>
      <c r="G91" s="44">
        <f t="shared" si="73"/>
        <v>0</v>
      </c>
      <c r="H91" s="44">
        <f t="shared" si="73"/>
        <v>0</v>
      </c>
      <c r="I91" s="44">
        <f t="shared" si="73"/>
        <v>0</v>
      </c>
      <c r="J91" s="44">
        <f t="shared" si="73"/>
        <v>0</v>
      </c>
      <c r="K91" s="44">
        <f t="shared" si="73"/>
        <v>0</v>
      </c>
      <c r="L91" s="44">
        <f t="shared" si="73"/>
        <v>0</v>
      </c>
      <c r="M91" s="44">
        <f t="shared" si="73"/>
        <v>0</v>
      </c>
      <c r="N91" s="44">
        <f t="shared" si="73"/>
        <v>0</v>
      </c>
      <c r="O91" s="44">
        <f t="shared" si="73"/>
        <v>0</v>
      </c>
      <c r="P91" s="44">
        <f t="shared" si="73"/>
        <v>0</v>
      </c>
      <c r="R91" s="40">
        <f t="shared" si="60"/>
        <v>0</v>
      </c>
      <c r="T91" s="40">
        <f t="shared" si="61"/>
        <v>0</v>
      </c>
      <c r="U91" s="40">
        <f t="shared" si="62"/>
        <v>0</v>
      </c>
      <c r="V91" s="40">
        <f t="shared" si="63"/>
        <v>0</v>
      </c>
      <c r="W91" s="40">
        <f t="shared" si="64"/>
        <v>0</v>
      </c>
      <c r="X91" s="40">
        <f t="shared" si="65"/>
        <v>0</v>
      </c>
      <c r="Y91" s="40">
        <f t="shared" si="66"/>
        <v>0</v>
      </c>
      <c r="Z91" s="40">
        <f t="shared" si="67"/>
        <v>0</v>
      </c>
      <c r="AA91" s="40">
        <f t="shared" si="68"/>
        <v>0</v>
      </c>
      <c r="AB91" s="40">
        <f t="shared" si="69"/>
        <v>0</v>
      </c>
      <c r="AC91" s="40">
        <f t="shared" si="70"/>
        <v>0</v>
      </c>
      <c r="AD91" s="40">
        <f t="shared" si="71"/>
        <v>0</v>
      </c>
    </row>
    <row r="92" spans="1:30" x14ac:dyDescent="0.25">
      <c r="A92" s="41">
        <f>'TAX Interest Rates'!A37</f>
        <v>43951</v>
      </c>
      <c r="B92" s="44">
        <f t="shared" ref="B92:P92" si="74">ROUND(-B25*B58,2)</f>
        <v>0</v>
      </c>
      <c r="C92" s="44">
        <f t="shared" si="74"/>
        <v>0</v>
      </c>
      <c r="D92" s="44">
        <f t="shared" si="74"/>
        <v>0</v>
      </c>
      <c r="E92" s="44">
        <f t="shared" si="74"/>
        <v>0</v>
      </c>
      <c r="F92" s="44">
        <f t="shared" si="74"/>
        <v>0</v>
      </c>
      <c r="G92" s="44">
        <f t="shared" si="74"/>
        <v>0</v>
      </c>
      <c r="H92" s="44">
        <f t="shared" si="74"/>
        <v>0</v>
      </c>
      <c r="I92" s="44">
        <f t="shared" si="74"/>
        <v>0</v>
      </c>
      <c r="J92" s="44">
        <f t="shared" si="74"/>
        <v>0</v>
      </c>
      <c r="K92" s="44">
        <f t="shared" si="74"/>
        <v>0</v>
      </c>
      <c r="L92" s="44">
        <f t="shared" si="74"/>
        <v>0</v>
      </c>
      <c r="M92" s="44">
        <f t="shared" si="74"/>
        <v>0</v>
      </c>
      <c r="N92" s="44">
        <f t="shared" si="74"/>
        <v>0</v>
      </c>
      <c r="O92" s="44">
        <f t="shared" si="74"/>
        <v>0</v>
      </c>
      <c r="P92" s="44">
        <f t="shared" si="74"/>
        <v>0</v>
      </c>
      <c r="R92" s="40">
        <f t="shared" si="60"/>
        <v>0</v>
      </c>
      <c r="T92" s="40">
        <f t="shared" si="61"/>
        <v>0</v>
      </c>
      <c r="U92" s="40">
        <f t="shared" si="62"/>
        <v>0</v>
      </c>
      <c r="V92" s="40">
        <f t="shared" si="63"/>
        <v>0</v>
      </c>
      <c r="W92" s="40">
        <f t="shared" si="64"/>
        <v>0</v>
      </c>
      <c r="X92" s="40">
        <f t="shared" si="65"/>
        <v>0</v>
      </c>
      <c r="Y92" s="40">
        <f t="shared" si="66"/>
        <v>0</v>
      </c>
      <c r="Z92" s="40">
        <f t="shared" si="67"/>
        <v>0</v>
      </c>
      <c r="AA92" s="40">
        <f t="shared" si="68"/>
        <v>0</v>
      </c>
      <c r="AB92" s="40">
        <f t="shared" si="69"/>
        <v>0</v>
      </c>
      <c r="AC92" s="40">
        <f t="shared" si="70"/>
        <v>0</v>
      </c>
      <c r="AD92" s="40">
        <f t="shared" si="71"/>
        <v>0</v>
      </c>
    </row>
    <row r="93" spans="1:30" x14ac:dyDescent="0.25">
      <c r="A93" s="41">
        <f>'TAX Interest Rates'!A38</f>
        <v>43982</v>
      </c>
      <c r="B93" s="44">
        <f t="shared" ref="B93:P93" si="75">ROUND(-B26*B59,2)</f>
        <v>0</v>
      </c>
      <c r="C93" s="44">
        <f t="shared" si="75"/>
        <v>0</v>
      </c>
      <c r="D93" s="44">
        <f t="shared" si="75"/>
        <v>0</v>
      </c>
      <c r="E93" s="44">
        <f t="shared" si="75"/>
        <v>0</v>
      </c>
      <c r="F93" s="44">
        <f t="shared" si="75"/>
        <v>0</v>
      </c>
      <c r="G93" s="44">
        <f t="shared" si="75"/>
        <v>0</v>
      </c>
      <c r="H93" s="44">
        <f t="shared" si="75"/>
        <v>0</v>
      </c>
      <c r="I93" s="44">
        <f t="shared" si="75"/>
        <v>0</v>
      </c>
      <c r="J93" s="44">
        <f t="shared" si="75"/>
        <v>0</v>
      </c>
      <c r="K93" s="44">
        <f t="shared" si="75"/>
        <v>0</v>
      </c>
      <c r="L93" s="44">
        <f t="shared" si="75"/>
        <v>0</v>
      </c>
      <c r="M93" s="44">
        <f t="shared" si="75"/>
        <v>0</v>
      </c>
      <c r="N93" s="44">
        <f t="shared" si="75"/>
        <v>0</v>
      </c>
      <c r="O93" s="44">
        <f t="shared" si="75"/>
        <v>0</v>
      </c>
      <c r="P93" s="44">
        <f t="shared" si="75"/>
        <v>0</v>
      </c>
      <c r="R93" s="40">
        <f t="shared" si="60"/>
        <v>0</v>
      </c>
      <c r="T93" s="40">
        <f t="shared" si="61"/>
        <v>0</v>
      </c>
      <c r="U93" s="40">
        <f t="shared" si="62"/>
        <v>0</v>
      </c>
      <c r="V93" s="40">
        <f t="shared" si="63"/>
        <v>0</v>
      </c>
      <c r="W93" s="40">
        <f t="shared" si="64"/>
        <v>0</v>
      </c>
      <c r="X93" s="40">
        <f t="shared" si="65"/>
        <v>0</v>
      </c>
      <c r="Y93" s="40">
        <f t="shared" si="66"/>
        <v>0</v>
      </c>
      <c r="Z93" s="40">
        <f t="shared" si="67"/>
        <v>0</v>
      </c>
      <c r="AA93" s="40">
        <f t="shared" si="68"/>
        <v>0</v>
      </c>
      <c r="AB93" s="40">
        <f t="shared" si="69"/>
        <v>0</v>
      </c>
      <c r="AC93" s="40">
        <f t="shared" si="70"/>
        <v>0</v>
      </c>
      <c r="AD93" s="40">
        <f t="shared" si="71"/>
        <v>0</v>
      </c>
    </row>
    <row r="94" spans="1:30" x14ac:dyDescent="0.25">
      <c r="A94" s="41">
        <f>'TAX Interest Rates'!A39</f>
        <v>44012</v>
      </c>
      <c r="B94" s="44">
        <f t="shared" ref="B94:P94" si="76">ROUND(-B27*B60,2)</f>
        <v>0</v>
      </c>
      <c r="C94" s="44">
        <f t="shared" si="76"/>
        <v>0</v>
      </c>
      <c r="D94" s="44">
        <f t="shared" si="76"/>
        <v>0</v>
      </c>
      <c r="E94" s="44">
        <f t="shared" si="76"/>
        <v>0</v>
      </c>
      <c r="F94" s="44">
        <f t="shared" si="76"/>
        <v>0</v>
      </c>
      <c r="G94" s="44">
        <f t="shared" si="76"/>
        <v>0</v>
      </c>
      <c r="H94" s="44">
        <f t="shared" si="76"/>
        <v>0</v>
      </c>
      <c r="I94" s="44">
        <f t="shared" si="76"/>
        <v>0</v>
      </c>
      <c r="J94" s="44">
        <f t="shared" si="76"/>
        <v>0</v>
      </c>
      <c r="K94" s="44">
        <f t="shared" si="76"/>
        <v>0</v>
      </c>
      <c r="L94" s="44">
        <f t="shared" si="76"/>
        <v>0</v>
      </c>
      <c r="M94" s="44">
        <f t="shared" si="76"/>
        <v>0</v>
      </c>
      <c r="N94" s="44">
        <f t="shared" si="76"/>
        <v>0</v>
      </c>
      <c r="O94" s="44">
        <f t="shared" si="76"/>
        <v>0</v>
      </c>
      <c r="P94" s="44">
        <f t="shared" si="76"/>
        <v>0</v>
      </c>
      <c r="R94" s="40">
        <f t="shared" si="60"/>
        <v>0</v>
      </c>
      <c r="T94" s="40">
        <f t="shared" si="61"/>
        <v>0</v>
      </c>
      <c r="U94" s="40">
        <f t="shared" si="62"/>
        <v>0</v>
      </c>
      <c r="V94" s="40">
        <f t="shared" si="63"/>
        <v>0</v>
      </c>
      <c r="W94" s="40">
        <f t="shared" si="64"/>
        <v>0</v>
      </c>
      <c r="X94" s="40">
        <f t="shared" si="65"/>
        <v>0</v>
      </c>
      <c r="Y94" s="40">
        <f t="shared" si="66"/>
        <v>0</v>
      </c>
      <c r="Z94" s="40">
        <f t="shared" si="67"/>
        <v>0</v>
      </c>
      <c r="AA94" s="40">
        <f t="shared" si="68"/>
        <v>0</v>
      </c>
      <c r="AB94" s="40">
        <f t="shared" si="69"/>
        <v>0</v>
      </c>
      <c r="AC94" s="40">
        <f t="shared" si="70"/>
        <v>0</v>
      </c>
      <c r="AD94" s="40">
        <f t="shared" si="71"/>
        <v>0</v>
      </c>
    </row>
    <row r="95" spans="1:30" hidden="1" x14ac:dyDescent="0.25">
      <c r="A95" s="41">
        <f>'TAX Interest Rates'!A40</f>
        <v>44043</v>
      </c>
      <c r="B95" s="44">
        <f t="shared" ref="B95:P95" si="77">ROUND(-B28*B61,2)</f>
        <v>0</v>
      </c>
      <c r="C95" s="44">
        <f t="shared" si="77"/>
        <v>0</v>
      </c>
      <c r="D95" s="44">
        <f t="shared" si="77"/>
        <v>0</v>
      </c>
      <c r="E95" s="44">
        <f t="shared" si="77"/>
        <v>0</v>
      </c>
      <c r="F95" s="44">
        <f t="shared" si="77"/>
        <v>0</v>
      </c>
      <c r="G95" s="44">
        <f t="shared" si="77"/>
        <v>0</v>
      </c>
      <c r="H95" s="44">
        <f t="shared" si="77"/>
        <v>0</v>
      </c>
      <c r="I95" s="44">
        <f t="shared" si="77"/>
        <v>0</v>
      </c>
      <c r="J95" s="44">
        <f t="shared" si="77"/>
        <v>0</v>
      </c>
      <c r="K95" s="44">
        <f t="shared" si="77"/>
        <v>0</v>
      </c>
      <c r="L95" s="44">
        <f t="shared" si="77"/>
        <v>0</v>
      </c>
      <c r="M95" s="44">
        <f t="shared" si="77"/>
        <v>0</v>
      </c>
      <c r="N95" s="44">
        <f t="shared" si="77"/>
        <v>0</v>
      </c>
      <c r="O95" s="44">
        <f t="shared" si="77"/>
        <v>0</v>
      </c>
      <c r="P95" s="44">
        <f t="shared" si="77"/>
        <v>0</v>
      </c>
      <c r="R95" s="40">
        <f t="shared" si="60"/>
        <v>0</v>
      </c>
      <c r="T95" s="40">
        <f t="shared" si="61"/>
        <v>0</v>
      </c>
      <c r="U95" s="40">
        <f t="shared" si="62"/>
        <v>0</v>
      </c>
      <c r="V95" s="40">
        <f t="shared" si="63"/>
        <v>0</v>
      </c>
      <c r="W95" s="40">
        <f t="shared" si="64"/>
        <v>0</v>
      </c>
      <c r="X95" s="40">
        <f t="shared" si="65"/>
        <v>0</v>
      </c>
      <c r="Y95" s="40">
        <f t="shared" si="66"/>
        <v>0</v>
      </c>
      <c r="Z95" s="40">
        <f t="shared" si="67"/>
        <v>0</v>
      </c>
      <c r="AA95" s="40">
        <f t="shared" si="68"/>
        <v>0</v>
      </c>
      <c r="AB95" s="40">
        <f t="shared" si="69"/>
        <v>0</v>
      </c>
      <c r="AC95" s="40">
        <f t="shared" si="70"/>
        <v>0</v>
      </c>
      <c r="AD95" s="40">
        <f t="shared" si="71"/>
        <v>0</v>
      </c>
    </row>
    <row r="96" spans="1:30" hidden="1" x14ac:dyDescent="0.25">
      <c r="A96" s="41">
        <f>'TAX Interest Rates'!A41</f>
        <v>44074</v>
      </c>
      <c r="B96" s="44">
        <f t="shared" ref="B96:P96" si="78">ROUND(-B29*B62,2)</f>
        <v>0</v>
      </c>
      <c r="C96" s="44">
        <f t="shared" si="78"/>
        <v>0</v>
      </c>
      <c r="D96" s="44">
        <f t="shared" si="78"/>
        <v>0</v>
      </c>
      <c r="E96" s="44">
        <f t="shared" si="78"/>
        <v>0</v>
      </c>
      <c r="F96" s="44">
        <f t="shared" si="78"/>
        <v>0</v>
      </c>
      <c r="G96" s="44">
        <f t="shared" si="78"/>
        <v>0</v>
      </c>
      <c r="H96" s="44">
        <f t="shared" si="78"/>
        <v>0</v>
      </c>
      <c r="I96" s="44">
        <f t="shared" si="78"/>
        <v>0</v>
      </c>
      <c r="J96" s="44">
        <f t="shared" si="78"/>
        <v>0</v>
      </c>
      <c r="K96" s="44">
        <f t="shared" si="78"/>
        <v>0</v>
      </c>
      <c r="L96" s="44">
        <f t="shared" si="78"/>
        <v>0</v>
      </c>
      <c r="M96" s="44">
        <f t="shared" si="78"/>
        <v>0</v>
      </c>
      <c r="N96" s="44">
        <f t="shared" si="78"/>
        <v>0</v>
      </c>
      <c r="O96" s="44">
        <f t="shared" si="78"/>
        <v>0</v>
      </c>
      <c r="P96" s="44">
        <f t="shared" si="78"/>
        <v>0</v>
      </c>
      <c r="R96" s="40">
        <f t="shared" si="60"/>
        <v>0</v>
      </c>
      <c r="T96" s="40">
        <f t="shared" si="61"/>
        <v>0</v>
      </c>
      <c r="U96" s="40">
        <f t="shared" si="62"/>
        <v>0</v>
      </c>
      <c r="V96" s="40">
        <f t="shared" si="63"/>
        <v>0</v>
      </c>
      <c r="W96" s="40">
        <f t="shared" si="64"/>
        <v>0</v>
      </c>
      <c r="X96" s="40">
        <f t="shared" si="65"/>
        <v>0</v>
      </c>
      <c r="Y96" s="40">
        <f t="shared" si="66"/>
        <v>0</v>
      </c>
      <c r="Z96" s="40">
        <f t="shared" si="67"/>
        <v>0</v>
      </c>
      <c r="AA96" s="40">
        <f t="shared" si="68"/>
        <v>0</v>
      </c>
      <c r="AB96" s="40">
        <f t="shared" si="69"/>
        <v>0</v>
      </c>
      <c r="AC96" s="40">
        <f t="shared" si="70"/>
        <v>0</v>
      </c>
      <c r="AD96" s="40">
        <f t="shared" si="71"/>
        <v>0</v>
      </c>
    </row>
    <row r="97" spans="1:30" hidden="1" x14ac:dyDescent="0.25">
      <c r="A97" s="41">
        <f>'TAX Interest Rates'!A42</f>
        <v>44104</v>
      </c>
      <c r="B97" s="44">
        <f t="shared" ref="B97:P97" si="79">ROUND(-B30*B63,2)</f>
        <v>0</v>
      </c>
      <c r="C97" s="44">
        <f t="shared" si="79"/>
        <v>0</v>
      </c>
      <c r="D97" s="44">
        <f t="shared" si="79"/>
        <v>0</v>
      </c>
      <c r="E97" s="44">
        <f t="shared" si="79"/>
        <v>0</v>
      </c>
      <c r="F97" s="44">
        <f t="shared" si="79"/>
        <v>0</v>
      </c>
      <c r="G97" s="44">
        <f t="shared" si="79"/>
        <v>0</v>
      </c>
      <c r="H97" s="44">
        <f t="shared" si="79"/>
        <v>0</v>
      </c>
      <c r="I97" s="44">
        <f t="shared" si="79"/>
        <v>0</v>
      </c>
      <c r="J97" s="44">
        <f t="shared" si="79"/>
        <v>0</v>
      </c>
      <c r="K97" s="44">
        <f t="shared" si="79"/>
        <v>0</v>
      </c>
      <c r="L97" s="44">
        <f t="shared" si="79"/>
        <v>0</v>
      </c>
      <c r="M97" s="44">
        <f t="shared" si="79"/>
        <v>0</v>
      </c>
      <c r="N97" s="44">
        <f t="shared" si="79"/>
        <v>0</v>
      </c>
      <c r="O97" s="44">
        <f t="shared" si="79"/>
        <v>0</v>
      </c>
      <c r="P97" s="44">
        <f t="shared" si="79"/>
        <v>0</v>
      </c>
      <c r="R97" s="40">
        <f t="shared" si="60"/>
        <v>0</v>
      </c>
      <c r="T97" s="40">
        <f t="shared" si="61"/>
        <v>0</v>
      </c>
      <c r="U97" s="40">
        <f t="shared" si="62"/>
        <v>0</v>
      </c>
      <c r="V97" s="40">
        <f t="shared" si="63"/>
        <v>0</v>
      </c>
      <c r="W97" s="40">
        <f t="shared" si="64"/>
        <v>0</v>
      </c>
      <c r="X97" s="40">
        <f t="shared" si="65"/>
        <v>0</v>
      </c>
      <c r="Y97" s="40">
        <f t="shared" si="66"/>
        <v>0</v>
      </c>
      <c r="Z97" s="40">
        <f t="shared" si="67"/>
        <v>0</v>
      </c>
      <c r="AA97" s="40">
        <f t="shared" si="68"/>
        <v>0</v>
      </c>
      <c r="AB97" s="40">
        <f t="shared" si="69"/>
        <v>0</v>
      </c>
      <c r="AC97" s="40">
        <f t="shared" si="70"/>
        <v>0</v>
      </c>
      <c r="AD97" s="40">
        <f t="shared" si="71"/>
        <v>0</v>
      </c>
    </row>
    <row r="98" spans="1:30" hidden="1" x14ac:dyDescent="0.25">
      <c r="A98" s="41">
        <f>'TAX Interest Rates'!A43</f>
        <v>44135</v>
      </c>
      <c r="B98" s="44">
        <f t="shared" ref="B98:P98" si="80">ROUND(-B31*B64,2)</f>
        <v>0</v>
      </c>
      <c r="C98" s="44">
        <f t="shared" si="80"/>
        <v>0</v>
      </c>
      <c r="D98" s="44">
        <f t="shared" si="80"/>
        <v>0</v>
      </c>
      <c r="E98" s="44">
        <f t="shared" si="80"/>
        <v>0</v>
      </c>
      <c r="F98" s="44">
        <f t="shared" si="80"/>
        <v>0</v>
      </c>
      <c r="G98" s="44">
        <f t="shared" si="80"/>
        <v>0</v>
      </c>
      <c r="H98" s="44">
        <f t="shared" si="80"/>
        <v>0</v>
      </c>
      <c r="I98" s="44">
        <f t="shared" si="80"/>
        <v>0</v>
      </c>
      <c r="J98" s="44">
        <f t="shared" si="80"/>
        <v>0</v>
      </c>
      <c r="K98" s="44">
        <f t="shared" si="80"/>
        <v>0</v>
      </c>
      <c r="L98" s="44">
        <f t="shared" si="80"/>
        <v>0</v>
      </c>
      <c r="M98" s="44">
        <f t="shared" si="80"/>
        <v>0</v>
      </c>
      <c r="N98" s="44">
        <f t="shared" si="80"/>
        <v>0</v>
      </c>
      <c r="O98" s="44">
        <f t="shared" si="80"/>
        <v>0</v>
      </c>
      <c r="P98" s="44">
        <f t="shared" si="80"/>
        <v>0</v>
      </c>
      <c r="R98" s="40">
        <f t="shared" si="60"/>
        <v>0</v>
      </c>
      <c r="T98" s="40">
        <f t="shared" si="61"/>
        <v>0</v>
      </c>
      <c r="U98" s="40">
        <f t="shared" si="62"/>
        <v>0</v>
      </c>
      <c r="V98" s="40">
        <f t="shared" si="63"/>
        <v>0</v>
      </c>
      <c r="W98" s="40">
        <f t="shared" si="64"/>
        <v>0</v>
      </c>
      <c r="X98" s="40">
        <f t="shared" si="65"/>
        <v>0</v>
      </c>
      <c r="Y98" s="40">
        <f t="shared" si="66"/>
        <v>0</v>
      </c>
      <c r="Z98" s="40">
        <f t="shared" si="67"/>
        <v>0</v>
      </c>
      <c r="AA98" s="40">
        <f t="shared" si="68"/>
        <v>0</v>
      </c>
      <c r="AB98" s="40">
        <f t="shared" si="69"/>
        <v>0</v>
      </c>
      <c r="AC98" s="40">
        <f t="shared" si="70"/>
        <v>0</v>
      </c>
      <c r="AD98" s="40">
        <f t="shared" si="71"/>
        <v>0</v>
      </c>
    </row>
    <row r="99" spans="1:30" hidden="1" x14ac:dyDescent="0.25">
      <c r="A99" s="41">
        <f>'TAX Interest Rates'!A44</f>
        <v>44165</v>
      </c>
      <c r="B99" s="44">
        <f t="shared" ref="B99:P99" si="81">ROUND(-B32*B65,2)</f>
        <v>0</v>
      </c>
      <c r="C99" s="44">
        <f t="shared" si="81"/>
        <v>0</v>
      </c>
      <c r="D99" s="44">
        <f t="shared" si="81"/>
        <v>0</v>
      </c>
      <c r="E99" s="44">
        <f t="shared" si="81"/>
        <v>0</v>
      </c>
      <c r="F99" s="44">
        <f t="shared" si="81"/>
        <v>0</v>
      </c>
      <c r="G99" s="44">
        <f t="shared" si="81"/>
        <v>0</v>
      </c>
      <c r="H99" s="44">
        <f t="shared" si="81"/>
        <v>0</v>
      </c>
      <c r="I99" s="44">
        <f t="shared" si="81"/>
        <v>0</v>
      </c>
      <c r="J99" s="44">
        <f t="shared" si="81"/>
        <v>0</v>
      </c>
      <c r="K99" s="44">
        <f t="shared" si="81"/>
        <v>0</v>
      </c>
      <c r="L99" s="44">
        <f t="shared" si="81"/>
        <v>0</v>
      </c>
      <c r="M99" s="44">
        <f t="shared" si="81"/>
        <v>0</v>
      </c>
      <c r="N99" s="44">
        <f t="shared" si="81"/>
        <v>0</v>
      </c>
      <c r="O99" s="44">
        <f t="shared" si="81"/>
        <v>0</v>
      </c>
      <c r="P99" s="44">
        <f t="shared" si="81"/>
        <v>0</v>
      </c>
      <c r="R99" s="40">
        <f t="shared" si="60"/>
        <v>0</v>
      </c>
      <c r="T99" s="40">
        <f t="shared" si="61"/>
        <v>0</v>
      </c>
      <c r="U99" s="40">
        <f t="shared" si="62"/>
        <v>0</v>
      </c>
      <c r="V99" s="40">
        <f t="shared" si="63"/>
        <v>0</v>
      </c>
      <c r="W99" s="40">
        <f t="shared" si="64"/>
        <v>0</v>
      </c>
      <c r="X99" s="40">
        <f t="shared" si="65"/>
        <v>0</v>
      </c>
      <c r="Y99" s="40">
        <f t="shared" si="66"/>
        <v>0</v>
      </c>
      <c r="Z99" s="40">
        <f t="shared" si="67"/>
        <v>0</v>
      </c>
      <c r="AA99" s="40">
        <f t="shared" si="68"/>
        <v>0</v>
      </c>
      <c r="AB99" s="40">
        <f t="shared" si="69"/>
        <v>0</v>
      </c>
      <c r="AC99" s="40">
        <f t="shared" si="70"/>
        <v>0</v>
      </c>
      <c r="AD99" s="40">
        <f t="shared" si="71"/>
        <v>0</v>
      </c>
    </row>
    <row r="100" spans="1:30" hidden="1" x14ac:dyDescent="0.25">
      <c r="A100" s="41">
        <f>'TAX Interest Rates'!A45</f>
        <v>44196</v>
      </c>
      <c r="B100" s="44">
        <f t="shared" ref="B100:P100" si="82">ROUND(-B33*B66,2)</f>
        <v>0</v>
      </c>
      <c r="C100" s="44">
        <f t="shared" si="82"/>
        <v>0</v>
      </c>
      <c r="D100" s="44">
        <f t="shared" si="82"/>
        <v>0</v>
      </c>
      <c r="E100" s="44">
        <f t="shared" si="82"/>
        <v>0</v>
      </c>
      <c r="F100" s="44">
        <f t="shared" si="82"/>
        <v>0</v>
      </c>
      <c r="G100" s="44">
        <f t="shared" si="82"/>
        <v>0</v>
      </c>
      <c r="H100" s="44">
        <f t="shared" si="82"/>
        <v>0</v>
      </c>
      <c r="I100" s="44">
        <f t="shared" si="82"/>
        <v>0</v>
      </c>
      <c r="J100" s="44">
        <f t="shared" si="82"/>
        <v>0</v>
      </c>
      <c r="K100" s="44">
        <f t="shared" si="82"/>
        <v>0</v>
      </c>
      <c r="L100" s="44">
        <f t="shared" si="82"/>
        <v>0</v>
      </c>
      <c r="M100" s="44">
        <f t="shared" si="82"/>
        <v>0</v>
      </c>
      <c r="N100" s="44">
        <f t="shared" si="82"/>
        <v>0</v>
      </c>
      <c r="O100" s="44">
        <f t="shared" si="82"/>
        <v>0</v>
      </c>
      <c r="P100" s="44">
        <f t="shared" si="82"/>
        <v>0</v>
      </c>
      <c r="R100" s="40">
        <f t="shared" si="60"/>
        <v>0</v>
      </c>
      <c r="T100" s="40">
        <f t="shared" si="61"/>
        <v>0</v>
      </c>
      <c r="U100" s="40">
        <f t="shared" si="62"/>
        <v>0</v>
      </c>
      <c r="V100" s="40">
        <f t="shared" si="63"/>
        <v>0</v>
      </c>
      <c r="W100" s="40">
        <f t="shared" si="64"/>
        <v>0</v>
      </c>
      <c r="X100" s="40">
        <f t="shared" si="65"/>
        <v>0</v>
      </c>
      <c r="Y100" s="40">
        <f t="shared" si="66"/>
        <v>0</v>
      </c>
      <c r="Z100" s="40">
        <f t="shared" si="67"/>
        <v>0</v>
      </c>
      <c r="AA100" s="40">
        <f t="shared" si="68"/>
        <v>0</v>
      </c>
      <c r="AB100" s="40">
        <f t="shared" si="69"/>
        <v>0</v>
      </c>
      <c r="AC100" s="40">
        <f t="shared" si="70"/>
        <v>0</v>
      </c>
      <c r="AD100" s="40">
        <f t="shared" si="71"/>
        <v>0</v>
      </c>
    </row>
  </sheetData>
  <mergeCells count="4">
    <mergeCell ref="C2:E2"/>
    <mergeCell ref="F2:H2"/>
    <mergeCell ref="I2:J2"/>
    <mergeCell ref="M2:P2"/>
  </mergeCells>
  <printOptions horizontalCentered="1"/>
  <pageMargins left="0.25" right="0.25" top="0.75" bottom="0.75" header="0.3" footer="0.3"/>
  <pageSetup scale="71" orientation="landscape" r:id="rId1"/>
  <headerFooter>
    <oddFooter xml:space="preserve">&amp;LWA Tax Deferral Accounts&amp;C&amp;A&amp;R47WA.2540.20486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37"/>
  <sheetViews>
    <sheetView zoomScaleNormal="100" zoomScaleSheetLayoutView="100" workbookViewId="0">
      <selection activeCell="D42" sqref="D42"/>
    </sheetView>
  </sheetViews>
  <sheetFormatPr defaultColWidth="8.88671875" defaultRowHeight="12.75" x14ac:dyDescent="0.2"/>
  <cols>
    <col min="1" max="1" width="15" style="2" customWidth="1"/>
    <col min="2" max="2" width="2.6640625" style="2" customWidth="1"/>
    <col min="3" max="3" width="2.6640625" style="2" bestFit="1" customWidth="1"/>
    <col min="4" max="4" width="14.21875" style="2" bestFit="1" customWidth="1"/>
    <col min="5" max="5" width="1.77734375" style="2" customWidth="1"/>
    <col min="6" max="6" width="10.33203125" style="2" customWidth="1"/>
    <col min="7" max="7" width="11.5546875" style="2" customWidth="1"/>
    <col min="8" max="8" width="25.33203125" style="2" customWidth="1"/>
    <col min="9" max="9" width="5.6640625" style="2" customWidth="1"/>
    <col min="10" max="10" width="0.33203125" style="2" customWidth="1"/>
    <col min="11" max="11" width="10.6640625" style="2" hidden="1" customWidth="1"/>
    <col min="12" max="12" width="24.6640625" style="2" bestFit="1" customWidth="1"/>
    <col min="13" max="13" width="4" style="2" customWidth="1"/>
    <col min="14" max="16384" width="8.88671875" style="2"/>
  </cols>
  <sheetData>
    <row r="1" spans="1:11" ht="13.5" thickBot="1" x14ac:dyDescent="0.25">
      <c r="A1" s="4">
        <f>'TAX Interest Rates'!A17</f>
        <v>43343</v>
      </c>
      <c r="B1" s="3"/>
      <c r="C1" s="3"/>
      <c r="D1" s="3"/>
      <c r="E1" s="3"/>
      <c r="F1" s="3"/>
      <c r="G1" s="3"/>
      <c r="H1" s="3"/>
    </row>
    <row r="2" spans="1:11" ht="27" customHeight="1" thickBot="1" x14ac:dyDescent="0.25">
      <c r="A2" s="219" t="s">
        <v>0</v>
      </c>
      <c r="B2" s="220"/>
      <c r="C2" s="220"/>
      <c r="D2" s="220"/>
      <c r="E2" s="220"/>
      <c r="F2" s="82"/>
      <c r="G2" s="82"/>
      <c r="H2" s="3"/>
    </row>
    <row r="3" spans="1:11" x14ac:dyDescent="0.2">
      <c r="A3" s="218" t="s">
        <v>123</v>
      </c>
      <c r="B3" s="218"/>
      <c r="C3" s="218"/>
      <c r="D3" s="218"/>
      <c r="E3" s="218"/>
      <c r="F3" s="218"/>
      <c r="G3" s="218"/>
      <c r="H3" s="218"/>
      <c r="I3" s="218"/>
    </row>
    <row r="4" spans="1:11" x14ac:dyDescent="0.2">
      <c r="A4" s="78"/>
      <c r="B4" s="78"/>
      <c r="C4" s="78"/>
      <c r="D4" s="81" t="s">
        <v>124</v>
      </c>
      <c r="E4" s="78"/>
      <c r="F4" s="81" t="s">
        <v>125</v>
      </c>
      <c r="G4" s="78"/>
      <c r="H4" s="78"/>
      <c r="I4" s="78"/>
    </row>
    <row r="5" spans="1:11" x14ac:dyDescent="0.2">
      <c r="A5" s="5" t="s">
        <v>3</v>
      </c>
      <c r="B5" s="5"/>
      <c r="C5" s="5"/>
      <c r="D5" s="6" t="s">
        <v>4</v>
      </c>
      <c r="E5" s="5"/>
      <c r="F5" s="5" t="s">
        <v>4</v>
      </c>
      <c r="G5" s="5" t="s">
        <v>126</v>
      </c>
      <c r="H5" s="5" t="s">
        <v>5</v>
      </c>
      <c r="I5" s="3"/>
    </row>
    <row r="6" spans="1:11" s="40" customFormat="1" ht="15" x14ac:dyDescent="0.25">
      <c r="A6" s="74" t="s">
        <v>6</v>
      </c>
      <c r="B6" s="75"/>
      <c r="C6" s="75"/>
      <c r="D6" s="73">
        <v>30280.73</v>
      </c>
      <c r="E6" s="75"/>
      <c r="F6" s="73">
        <v>34981.629999999997</v>
      </c>
      <c r="G6" s="73">
        <f>+F6-D6</f>
        <v>4700.8999999999978</v>
      </c>
      <c r="H6" s="74" t="str">
        <f t="shared" ref="H6:H17" si="0">TEXT($A$1, "MM-YY")&amp;"  Amortization of Tax Deferral"</f>
        <v>08-18  Amortization of Tax Deferral</v>
      </c>
      <c r="I6" s="75"/>
    </row>
    <row r="7" spans="1:11" s="40" customFormat="1" ht="15" x14ac:dyDescent="0.25">
      <c r="A7" s="74" t="s">
        <v>8</v>
      </c>
      <c r="B7" s="75"/>
      <c r="C7" s="75"/>
      <c r="D7" s="73">
        <v>9855.66</v>
      </c>
      <c r="E7" s="75"/>
      <c r="F7" s="73">
        <v>11388.77</v>
      </c>
      <c r="G7" s="73">
        <f t="shared" ref="G7:G11" si="1">+F7-D7</f>
        <v>1533.1100000000006</v>
      </c>
      <c r="H7" s="74" t="str">
        <f t="shared" si="0"/>
        <v>08-18  Amortization of Tax Deferral</v>
      </c>
      <c r="I7" s="75"/>
    </row>
    <row r="8" spans="1:11" s="40" customFormat="1" ht="15" x14ac:dyDescent="0.25">
      <c r="A8" s="74" t="s">
        <v>9</v>
      </c>
      <c r="B8" s="75"/>
      <c r="C8" s="75"/>
      <c r="D8" s="73">
        <v>14246.27</v>
      </c>
      <c r="E8" s="75"/>
      <c r="F8" s="73">
        <v>16408.240000000002</v>
      </c>
      <c r="G8" s="73">
        <f t="shared" si="1"/>
        <v>2161.9700000000012</v>
      </c>
      <c r="H8" s="74" t="str">
        <f t="shared" si="0"/>
        <v>08-18  Amortization of Tax Deferral</v>
      </c>
      <c r="I8" s="75"/>
    </row>
    <row r="9" spans="1:11" s="40" customFormat="1" ht="15" x14ac:dyDescent="0.25">
      <c r="A9" s="74" t="s">
        <v>10</v>
      </c>
      <c r="B9" s="75"/>
      <c r="C9" s="75"/>
      <c r="D9" s="73">
        <v>4844.3099999999995</v>
      </c>
      <c r="E9" s="75"/>
      <c r="F9" s="73">
        <v>5623.18</v>
      </c>
      <c r="G9" s="73">
        <f t="shared" si="1"/>
        <v>778.8700000000008</v>
      </c>
      <c r="H9" s="74" t="str">
        <f t="shared" si="0"/>
        <v>08-18  Amortization of Tax Deferral</v>
      </c>
      <c r="I9" s="75"/>
    </row>
    <row r="10" spans="1:11" s="40" customFormat="1" ht="15" x14ac:dyDescent="0.25">
      <c r="A10" s="74" t="s">
        <v>116</v>
      </c>
      <c r="B10" s="75"/>
      <c r="C10" s="75"/>
      <c r="D10" s="73">
        <v>28763.79</v>
      </c>
      <c r="E10" s="75"/>
      <c r="F10" s="73">
        <v>33266.21</v>
      </c>
      <c r="G10" s="73">
        <f t="shared" si="1"/>
        <v>4502.4199999999983</v>
      </c>
      <c r="H10" s="74" t="str">
        <f t="shared" si="0"/>
        <v>08-18  Amortization of Tax Deferral</v>
      </c>
      <c r="I10" s="75"/>
    </row>
    <row r="11" spans="1:11" s="40" customFormat="1" ht="15.75" thickBot="1" x14ac:dyDescent="0.3">
      <c r="A11" s="74" t="s">
        <v>120</v>
      </c>
      <c r="B11" s="74"/>
      <c r="C11" s="74"/>
      <c r="D11" s="73">
        <v>9209.6700000000019</v>
      </c>
      <c r="E11" s="74"/>
      <c r="F11" s="73">
        <v>10621.75</v>
      </c>
      <c r="G11" s="73">
        <f t="shared" si="1"/>
        <v>1412.0799999999981</v>
      </c>
      <c r="H11" s="74" t="str">
        <f t="shared" si="0"/>
        <v>08-18  Amortization of Tax Deferral</v>
      </c>
      <c r="I11" s="75"/>
      <c r="K11" s="72">
        <f>SUM(K7:K10)</f>
        <v>0</v>
      </c>
    </row>
    <row r="12" spans="1:11" s="40" customFormat="1" ht="15.75" thickTop="1" x14ac:dyDescent="0.25">
      <c r="A12" s="65" t="s">
        <v>127</v>
      </c>
      <c r="B12" s="65"/>
      <c r="C12" s="65"/>
      <c r="D12" s="71">
        <v>-15631.309999999998</v>
      </c>
      <c r="E12" s="65"/>
      <c r="F12" s="71">
        <v>-15631.31</v>
      </c>
      <c r="G12" s="71">
        <f>+F12-D12</f>
        <v>0</v>
      </c>
      <c r="H12" s="65" t="str">
        <f t="shared" si="0"/>
        <v>08-18  Amortization of Tax Deferral</v>
      </c>
      <c r="I12" s="75"/>
    </row>
    <row r="13" spans="1:11" s="40" customFormat="1" ht="15" x14ac:dyDescent="0.25">
      <c r="A13" s="70" t="s">
        <v>128</v>
      </c>
      <c r="B13" s="70"/>
      <c r="C13" s="70"/>
      <c r="D13" s="69">
        <v>-14342.42</v>
      </c>
      <c r="E13" s="70"/>
      <c r="F13" s="69">
        <v>-12730.58</v>
      </c>
      <c r="G13" s="69">
        <f>+F13-D13</f>
        <v>1611.8400000000001</v>
      </c>
      <c r="H13" s="70" t="str">
        <f t="shared" si="0"/>
        <v>08-18  Amortization of Tax Deferral</v>
      </c>
      <c r="I13" s="75"/>
    </row>
    <row r="14" spans="1:11" s="40" customFormat="1" ht="15" x14ac:dyDescent="0.25">
      <c r="A14" s="70" t="s">
        <v>129</v>
      </c>
      <c r="B14" s="70"/>
      <c r="C14" s="70"/>
      <c r="D14" s="69">
        <v>-5734.16</v>
      </c>
      <c r="E14" s="70"/>
      <c r="F14" s="69">
        <v>-1775.21</v>
      </c>
      <c r="G14" s="69">
        <f t="shared" ref="G14:G18" si="2">+F14-D14</f>
        <v>3958.95</v>
      </c>
      <c r="H14" s="70" t="str">
        <f t="shared" si="0"/>
        <v>08-18  Amortization of Tax Deferral</v>
      </c>
      <c r="I14" s="75"/>
    </row>
    <row r="15" spans="1:11" s="40" customFormat="1" ht="15" x14ac:dyDescent="0.25">
      <c r="A15" s="70" t="s">
        <v>130</v>
      </c>
      <c r="B15" s="70"/>
      <c r="C15" s="70"/>
      <c r="D15" s="69">
        <v>0</v>
      </c>
      <c r="E15" s="70"/>
      <c r="F15" s="69">
        <v>0</v>
      </c>
      <c r="G15" s="69">
        <f t="shared" si="2"/>
        <v>0</v>
      </c>
      <c r="H15" s="70" t="str">
        <f t="shared" si="0"/>
        <v>08-18  Amortization of Tax Deferral</v>
      </c>
      <c r="I15" s="75"/>
    </row>
    <row r="16" spans="1:11" s="40" customFormat="1" ht="15" x14ac:dyDescent="0.25">
      <c r="A16" s="70" t="s">
        <v>131</v>
      </c>
      <c r="B16" s="70"/>
      <c r="C16" s="70"/>
      <c r="D16" s="69">
        <v>-259.62</v>
      </c>
      <c r="E16" s="70"/>
      <c r="F16" s="69">
        <v>-216.67</v>
      </c>
      <c r="G16" s="69">
        <f t="shared" si="2"/>
        <v>42.950000000000017</v>
      </c>
      <c r="H16" s="70" t="str">
        <f t="shared" si="0"/>
        <v>08-18  Amortization of Tax Deferral</v>
      </c>
      <c r="I16" s="75"/>
    </row>
    <row r="17" spans="1:9" s="40" customFormat="1" ht="15" x14ac:dyDescent="0.25">
      <c r="A17" s="70" t="s">
        <v>132</v>
      </c>
      <c r="B17" s="70"/>
      <c r="C17" s="70"/>
      <c r="D17" s="69">
        <v>-35721.65</v>
      </c>
      <c r="E17" s="70"/>
      <c r="F17" s="69">
        <v>-37156.480000000003</v>
      </c>
      <c r="G17" s="69">
        <f t="shared" si="2"/>
        <v>-1434.8300000000017</v>
      </c>
      <c r="H17" s="68" t="str">
        <f t="shared" si="0"/>
        <v>08-18  Amortization of Tax Deferral</v>
      </c>
      <c r="I17" s="75"/>
    </row>
    <row r="18" spans="1:9" s="40" customFormat="1" ht="15" x14ac:dyDescent="0.25">
      <c r="A18" s="67" t="s">
        <v>133</v>
      </c>
      <c r="B18" s="67"/>
      <c r="C18" s="67"/>
      <c r="D18" s="66">
        <v>-25511.269999999997</v>
      </c>
      <c r="E18" s="67"/>
      <c r="F18" s="66">
        <v>-44779.53</v>
      </c>
      <c r="G18" s="66">
        <f t="shared" si="2"/>
        <v>-19268.260000000002</v>
      </c>
      <c r="H18" s="67" t="str">
        <f>TEXT($A$1, "MM-YY")&amp;"  Amortization of Tax Deferral"</f>
        <v>08-18  Amortization of Tax Deferral</v>
      </c>
      <c r="I18" s="75"/>
    </row>
    <row r="19" spans="1:9" x14ac:dyDescent="0.2">
      <c r="A19" s="20"/>
      <c r="B19" s="3"/>
      <c r="C19" s="3"/>
      <c r="D19" s="21"/>
      <c r="E19" s="3"/>
      <c r="F19" s="3"/>
      <c r="G19" s="3"/>
      <c r="H19" s="20"/>
    </row>
    <row r="20" spans="1:9" x14ac:dyDescent="0.2">
      <c r="A20" s="20"/>
      <c r="B20" s="3"/>
      <c r="C20" s="3"/>
      <c r="D20" s="22">
        <f>SUM(D6:D19)</f>
        <v>0</v>
      </c>
      <c r="E20" s="3"/>
      <c r="F20" s="3"/>
      <c r="G20" s="3"/>
      <c r="H20" s="20"/>
    </row>
    <row r="22" spans="1:9" x14ac:dyDescent="0.2">
      <c r="D22" s="25" t="s">
        <v>12</v>
      </c>
      <c r="E22" s="25"/>
      <c r="F22" s="25" t="s">
        <v>14</v>
      </c>
      <c r="G22" s="25" t="s">
        <v>51</v>
      </c>
    </row>
    <row r="23" spans="1:9" x14ac:dyDescent="0.2">
      <c r="A23" s="2" t="s">
        <v>134</v>
      </c>
    </row>
    <row r="24" spans="1:9" x14ac:dyDescent="0.2">
      <c r="A24" s="2" t="s">
        <v>135</v>
      </c>
      <c r="D24" s="2">
        <v>-12529.7</v>
      </c>
      <c r="F24" s="2">
        <v>0</v>
      </c>
      <c r="G24" s="2">
        <f>+D24+F24</f>
        <v>-12529.7</v>
      </c>
    </row>
    <row r="25" spans="1:9" x14ac:dyDescent="0.2">
      <c r="A25" s="2" t="s">
        <v>136</v>
      </c>
      <c r="D25" s="2">
        <v>-5971.67</v>
      </c>
      <c r="F25" s="2">
        <v>0</v>
      </c>
      <c r="G25" s="2">
        <f t="shared" ref="G25:G26" si="3">+D25+F25</f>
        <v>-5971.67</v>
      </c>
    </row>
    <row r="26" spans="1:9" x14ac:dyDescent="0.2">
      <c r="A26" s="2" t="s">
        <v>137</v>
      </c>
      <c r="D26" s="2">
        <v>-11742.49</v>
      </c>
      <c r="F26" s="2">
        <v>0</v>
      </c>
      <c r="G26" s="2">
        <f t="shared" si="3"/>
        <v>-11742.49</v>
      </c>
    </row>
    <row r="27" spans="1:9" x14ac:dyDescent="0.2">
      <c r="A27" s="2" t="s">
        <v>138</v>
      </c>
    </row>
    <row r="28" spans="1:9" x14ac:dyDescent="0.2">
      <c r="A28" s="2" t="s">
        <v>135</v>
      </c>
      <c r="D28" s="2">
        <v>-91.57</v>
      </c>
      <c r="F28" s="2">
        <v>-33843.089999999997</v>
      </c>
      <c r="G28" s="2">
        <f t="shared" ref="G28:G30" si="4">+D28+F28</f>
        <v>-33934.659999999996</v>
      </c>
    </row>
    <row r="29" spans="1:9" x14ac:dyDescent="0.2">
      <c r="A29" s="2" t="s">
        <v>136</v>
      </c>
      <c r="D29" s="2">
        <v>-43.86</v>
      </c>
      <c r="F29" s="2">
        <v>-16030.93</v>
      </c>
      <c r="G29" s="2">
        <f t="shared" si="4"/>
        <v>-16074.79</v>
      </c>
    </row>
    <row r="30" spans="1:9" x14ac:dyDescent="0.2">
      <c r="A30" s="2" t="s">
        <v>137</v>
      </c>
      <c r="D30" s="2">
        <v>-85.87</v>
      </c>
      <c r="F30" s="2">
        <v>-32061.919999999998</v>
      </c>
      <c r="G30" s="2">
        <f t="shared" si="4"/>
        <v>-32147.789999999997</v>
      </c>
    </row>
    <row r="32" spans="1:9" ht="13.5" thickBot="1" x14ac:dyDescent="0.25">
      <c r="D32" s="83">
        <f>SUM(D24:D30)</f>
        <v>-30465.16</v>
      </c>
      <c r="F32" s="83">
        <f t="shared" ref="F32:G32" si="5">SUM(F24:F30)</f>
        <v>-81935.94</v>
      </c>
      <c r="G32" s="83">
        <f t="shared" si="5"/>
        <v>-112401.09999999999</v>
      </c>
    </row>
    <row r="33" spans="1:7" ht="13.5" thickTop="1" x14ac:dyDescent="0.2"/>
    <row r="35" spans="1:7" x14ac:dyDescent="0.2">
      <c r="A35" s="2" t="s">
        <v>139</v>
      </c>
      <c r="G35" s="2">
        <f>SUM(F12:F18)</f>
        <v>-112289.78</v>
      </c>
    </row>
    <row r="37" spans="1:7" x14ac:dyDescent="0.2">
      <c r="A37" s="2" t="s">
        <v>140</v>
      </c>
      <c r="G37" s="2">
        <f>+G35-G32</f>
        <v>111.31999999999243</v>
      </c>
    </row>
  </sheetData>
  <mergeCells count="2">
    <mergeCell ref="A3:I3"/>
    <mergeCell ref="A2:E2"/>
  </mergeCells>
  <pageMargins left="0.5" right="0.25" top="0.5" bottom="0.75" header="0.3" footer="0.3"/>
  <pageSetup scale="74" orientation="portrait" cellComments="asDisplayed" r:id="rId1"/>
  <headerFooter>
    <oddFooter>&amp;LWA Tax Amortization&amp;C&amp;A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 codeName="Sheet210"/>
  <dimension ref="A1:E69"/>
  <sheetViews>
    <sheetView showGridLines="0" view="pageBreakPreview" topLeftCell="A34" zoomScaleNormal="60" zoomScaleSheetLayoutView="100" workbookViewId="0">
      <selection activeCell="G61" sqref="G61"/>
    </sheetView>
  </sheetViews>
  <sheetFormatPr defaultColWidth="12.77734375" defaultRowHeight="12.75" x14ac:dyDescent="0.2"/>
  <cols>
    <col min="1" max="3" width="13.77734375" style="2" customWidth="1"/>
    <col min="4" max="4" width="2.6640625" style="2" bestFit="1" customWidth="1"/>
    <col min="5" max="22" width="12.77734375" style="2"/>
    <col min="23" max="23" width="12.77734375" style="2" customWidth="1"/>
    <col min="24" max="85" width="12.77734375" style="2"/>
    <col min="86" max="86" width="13.77734375" style="2" customWidth="1"/>
    <col min="87" max="16384" width="12.77734375" style="2"/>
  </cols>
  <sheetData>
    <row r="1" spans="1:5" s="10" customFormat="1" ht="15.75" x14ac:dyDescent="0.25">
      <c r="A1" s="14" t="s">
        <v>18</v>
      </c>
      <c r="B1" s="14"/>
      <c r="C1" s="14"/>
      <c r="D1" s="14"/>
    </row>
    <row r="2" spans="1:5" s="10" customFormat="1" ht="15.75" x14ac:dyDescent="0.25">
      <c r="A2" s="14" t="s">
        <v>19</v>
      </c>
      <c r="B2" s="14"/>
      <c r="C2" s="14"/>
      <c r="D2" s="14"/>
    </row>
    <row r="3" spans="1:5" s="10" customFormat="1" ht="15.75" x14ac:dyDescent="0.25">
      <c r="A3" s="14" t="s">
        <v>20</v>
      </c>
      <c r="B3" s="14"/>
      <c r="C3" s="14"/>
      <c r="D3" s="14"/>
    </row>
    <row r="4" spans="1:5" x14ac:dyDescent="0.2">
      <c r="A4" s="7"/>
      <c r="B4" s="7"/>
      <c r="C4" s="7"/>
      <c r="D4" s="7"/>
    </row>
    <row r="5" spans="1:5" ht="15.75" customHeight="1" x14ac:dyDescent="0.2">
      <c r="A5" s="7" t="s">
        <v>21</v>
      </c>
      <c r="B5" s="7"/>
      <c r="C5" s="7"/>
      <c r="D5" s="7"/>
    </row>
    <row r="6" spans="1:5" ht="15.75" customHeight="1" x14ac:dyDescent="0.2">
      <c r="A6" s="7" t="s">
        <v>22</v>
      </c>
      <c r="B6" s="7"/>
      <c r="C6" s="7"/>
      <c r="D6" s="7"/>
    </row>
    <row r="7" spans="1:5" ht="15.75" customHeight="1" x14ac:dyDescent="0.2">
      <c r="A7" s="33" t="s">
        <v>23</v>
      </c>
      <c r="B7" s="15"/>
      <c r="C7" s="15"/>
      <c r="D7" s="15"/>
    </row>
    <row r="8" spans="1:5" x14ac:dyDescent="0.2">
      <c r="A8" s="7"/>
      <c r="B8" s="7"/>
      <c r="C8" s="7"/>
      <c r="D8" s="7"/>
    </row>
    <row r="9" spans="1:5" x14ac:dyDescent="0.2">
      <c r="A9" s="8" t="s">
        <v>24</v>
      </c>
      <c r="B9" s="8" t="s">
        <v>25</v>
      </c>
      <c r="C9" s="8" t="s">
        <v>26</v>
      </c>
      <c r="D9" s="8"/>
      <c r="E9" s="11"/>
    </row>
    <row r="10" spans="1:5" ht="12.75" customHeight="1" x14ac:dyDescent="0.2">
      <c r="A10" s="76">
        <v>43131</v>
      </c>
      <c r="B10" s="12">
        <v>0</v>
      </c>
      <c r="C10" s="18">
        <v>31</v>
      </c>
      <c r="D10" s="176" t="s">
        <v>27</v>
      </c>
    </row>
    <row r="11" spans="1:5" x14ac:dyDescent="0.2">
      <c r="A11" s="76">
        <v>43159</v>
      </c>
      <c r="B11" s="12">
        <f t="shared" ref="B11:B69" si="0">B10</f>
        <v>0</v>
      </c>
      <c r="C11" s="17">
        <v>28</v>
      </c>
      <c r="D11" s="177"/>
    </row>
    <row r="12" spans="1:5" x14ac:dyDescent="0.2">
      <c r="A12" s="76">
        <v>43190</v>
      </c>
      <c r="B12" s="12">
        <f t="shared" si="0"/>
        <v>0</v>
      </c>
      <c r="C12" s="17">
        <v>31</v>
      </c>
      <c r="D12" s="177"/>
    </row>
    <row r="13" spans="1:5" x14ac:dyDescent="0.2">
      <c r="A13" s="76">
        <v>43220</v>
      </c>
      <c r="B13" s="12">
        <v>0</v>
      </c>
      <c r="C13" s="17">
        <v>30</v>
      </c>
      <c r="D13" s="177"/>
    </row>
    <row r="14" spans="1:5" x14ac:dyDescent="0.2">
      <c r="A14" s="76">
        <v>43251</v>
      </c>
      <c r="B14" s="12">
        <f t="shared" si="0"/>
        <v>0</v>
      </c>
      <c r="C14" s="17">
        <v>31</v>
      </c>
      <c r="D14" s="177"/>
    </row>
    <row r="15" spans="1:5" x14ac:dyDescent="0.2">
      <c r="A15" s="76">
        <v>43281</v>
      </c>
      <c r="B15" s="12">
        <f t="shared" si="0"/>
        <v>0</v>
      </c>
      <c r="C15" s="17">
        <v>30</v>
      </c>
      <c r="D15" s="177"/>
    </row>
    <row r="16" spans="1:5" x14ac:dyDescent="0.2">
      <c r="A16" s="76">
        <v>43312</v>
      </c>
      <c r="B16" s="12">
        <v>0</v>
      </c>
      <c r="C16" s="17">
        <v>31</v>
      </c>
      <c r="D16" s="177"/>
    </row>
    <row r="17" spans="1:4" x14ac:dyDescent="0.2">
      <c r="A17" s="76">
        <v>43343</v>
      </c>
      <c r="B17" s="12">
        <v>0</v>
      </c>
      <c r="C17" s="17">
        <v>31</v>
      </c>
      <c r="D17" s="177"/>
    </row>
    <row r="18" spans="1:4" x14ac:dyDescent="0.2">
      <c r="A18" s="76">
        <v>43373</v>
      </c>
      <c r="B18" s="12">
        <f t="shared" si="0"/>
        <v>0</v>
      </c>
      <c r="C18" s="17">
        <v>30</v>
      </c>
      <c r="D18" s="177"/>
    </row>
    <row r="19" spans="1:4" x14ac:dyDescent="0.2">
      <c r="A19" s="76">
        <v>43404</v>
      </c>
      <c r="B19" s="12">
        <f t="shared" si="0"/>
        <v>0</v>
      </c>
      <c r="C19" s="17">
        <v>31</v>
      </c>
      <c r="D19" s="177"/>
    </row>
    <row r="20" spans="1:4" x14ac:dyDescent="0.2">
      <c r="A20" s="76">
        <v>43434</v>
      </c>
      <c r="B20" s="12">
        <f t="shared" si="0"/>
        <v>0</v>
      </c>
      <c r="C20" s="17">
        <v>30</v>
      </c>
      <c r="D20" s="177"/>
    </row>
    <row r="21" spans="1:4" x14ac:dyDescent="0.2">
      <c r="A21" s="77">
        <v>43465</v>
      </c>
      <c r="B21" s="13">
        <f t="shared" si="0"/>
        <v>0</v>
      </c>
      <c r="C21" s="16">
        <v>31</v>
      </c>
      <c r="D21" s="178"/>
    </row>
    <row r="22" spans="1:4" ht="12.75" customHeight="1" x14ac:dyDescent="0.2">
      <c r="A22" s="76">
        <v>43496</v>
      </c>
      <c r="B22" s="12">
        <f t="shared" si="0"/>
        <v>0</v>
      </c>
      <c r="C22" s="18">
        <v>31</v>
      </c>
      <c r="D22" s="176" t="s">
        <v>28</v>
      </c>
    </row>
    <row r="23" spans="1:4" x14ac:dyDescent="0.2">
      <c r="A23" s="76">
        <v>43524</v>
      </c>
      <c r="B23" s="12">
        <f t="shared" si="0"/>
        <v>0</v>
      </c>
      <c r="C23" s="17">
        <v>28</v>
      </c>
      <c r="D23" s="177"/>
    </row>
    <row r="24" spans="1:4" x14ac:dyDescent="0.2">
      <c r="A24" s="76">
        <v>43555</v>
      </c>
      <c r="B24" s="12">
        <f t="shared" si="0"/>
        <v>0</v>
      </c>
      <c r="C24" s="17">
        <v>31</v>
      </c>
      <c r="D24" s="177"/>
    </row>
    <row r="25" spans="1:4" x14ac:dyDescent="0.2">
      <c r="A25" s="76">
        <v>43585</v>
      </c>
      <c r="B25" s="12">
        <f t="shared" si="0"/>
        <v>0</v>
      </c>
      <c r="C25" s="17">
        <v>30</v>
      </c>
      <c r="D25" s="177"/>
    </row>
    <row r="26" spans="1:4" x14ac:dyDescent="0.2">
      <c r="A26" s="76">
        <v>43616</v>
      </c>
      <c r="B26" s="12">
        <f>B25</f>
        <v>0</v>
      </c>
      <c r="C26" s="17">
        <v>31</v>
      </c>
      <c r="D26" s="177"/>
    </row>
    <row r="27" spans="1:4" x14ac:dyDescent="0.2">
      <c r="A27" s="76">
        <v>43646</v>
      </c>
      <c r="B27" s="12">
        <f t="shared" si="0"/>
        <v>0</v>
      </c>
      <c r="C27" s="17">
        <v>30</v>
      </c>
      <c r="D27" s="177"/>
    </row>
    <row r="28" spans="1:4" x14ac:dyDescent="0.2">
      <c r="A28" s="76">
        <v>43677</v>
      </c>
      <c r="B28" s="12">
        <f t="shared" si="0"/>
        <v>0</v>
      </c>
      <c r="C28" s="17">
        <v>31</v>
      </c>
      <c r="D28" s="177"/>
    </row>
    <row r="29" spans="1:4" x14ac:dyDescent="0.2">
      <c r="A29" s="76">
        <v>43708</v>
      </c>
      <c r="B29" s="12">
        <f t="shared" si="0"/>
        <v>0</v>
      </c>
      <c r="C29" s="17">
        <v>31</v>
      </c>
      <c r="D29" s="177"/>
    </row>
    <row r="30" spans="1:4" x14ac:dyDescent="0.2">
      <c r="A30" s="76">
        <v>43738</v>
      </c>
      <c r="B30" s="12">
        <f t="shared" si="0"/>
        <v>0</v>
      </c>
      <c r="C30" s="17">
        <v>30</v>
      </c>
      <c r="D30" s="177"/>
    </row>
    <row r="31" spans="1:4" x14ac:dyDescent="0.2">
      <c r="A31" s="76">
        <v>43769</v>
      </c>
      <c r="B31" s="12">
        <f t="shared" si="0"/>
        <v>0</v>
      </c>
      <c r="C31" s="17">
        <v>31</v>
      </c>
      <c r="D31" s="177"/>
    </row>
    <row r="32" spans="1:4" x14ac:dyDescent="0.2">
      <c r="A32" s="76">
        <v>43799</v>
      </c>
      <c r="B32" s="12">
        <f t="shared" si="0"/>
        <v>0</v>
      </c>
      <c r="C32" s="17">
        <v>30</v>
      </c>
      <c r="D32" s="177"/>
    </row>
    <row r="33" spans="1:5" x14ac:dyDescent="0.2">
      <c r="A33" s="77">
        <v>43830</v>
      </c>
      <c r="B33" s="13">
        <f t="shared" si="0"/>
        <v>0</v>
      </c>
      <c r="C33" s="16">
        <v>31</v>
      </c>
      <c r="D33" s="178"/>
    </row>
    <row r="34" spans="1:5" x14ac:dyDescent="0.2">
      <c r="A34" s="101">
        <v>43861</v>
      </c>
      <c r="B34" s="102">
        <f t="shared" si="0"/>
        <v>0</v>
      </c>
      <c r="C34" s="103">
        <v>31</v>
      </c>
      <c r="D34" s="176" t="s">
        <v>29</v>
      </c>
    </row>
    <row r="35" spans="1:5" x14ac:dyDescent="0.2">
      <c r="A35" s="76">
        <v>43890</v>
      </c>
      <c r="B35" s="104">
        <f t="shared" si="0"/>
        <v>0</v>
      </c>
      <c r="C35" s="107">
        <v>29</v>
      </c>
      <c r="D35" s="177"/>
      <c r="E35" s="2" t="s">
        <v>30</v>
      </c>
    </row>
    <row r="36" spans="1:5" x14ac:dyDescent="0.2">
      <c r="A36" s="76">
        <v>43921</v>
      </c>
      <c r="B36" s="104">
        <f t="shared" si="0"/>
        <v>0</v>
      </c>
      <c r="C36" s="105">
        <v>31</v>
      </c>
      <c r="D36" s="177"/>
    </row>
    <row r="37" spans="1:5" x14ac:dyDescent="0.2">
      <c r="A37" s="76">
        <v>43951</v>
      </c>
      <c r="B37" s="104">
        <f t="shared" si="0"/>
        <v>0</v>
      </c>
      <c r="C37" s="105">
        <v>30</v>
      </c>
      <c r="D37" s="177"/>
    </row>
    <row r="38" spans="1:5" x14ac:dyDescent="0.2">
      <c r="A38" s="76">
        <v>43982</v>
      </c>
      <c r="B38" s="104">
        <f>B37</f>
        <v>0</v>
      </c>
      <c r="C38" s="105">
        <v>31</v>
      </c>
      <c r="D38" s="177"/>
    </row>
    <row r="39" spans="1:5" x14ac:dyDescent="0.2">
      <c r="A39" s="76">
        <v>44012</v>
      </c>
      <c r="B39" s="104">
        <f t="shared" si="0"/>
        <v>0</v>
      </c>
      <c r="C39" s="105">
        <v>30</v>
      </c>
      <c r="D39" s="177"/>
    </row>
    <row r="40" spans="1:5" x14ac:dyDescent="0.2">
      <c r="A40" s="76">
        <v>44043</v>
      </c>
      <c r="B40" s="104">
        <f t="shared" si="0"/>
        <v>0</v>
      </c>
      <c r="C40" s="105">
        <v>31</v>
      </c>
      <c r="D40" s="177"/>
    </row>
    <row r="41" spans="1:5" x14ac:dyDescent="0.2">
      <c r="A41" s="76">
        <v>44074</v>
      </c>
      <c r="B41" s="104">
        <f t="shared" si="0"/>
        <v>0</v>
      </c>
      <c r="C41" s="105">
        <v>31</v>
      </c>
      <c r="D41" s="177"/>
    </row>
    <row r="42" spans="1:5" x14ac:dyDescent="0.2">
      <c r="A42" s="76">
        <v>44104</v>
      </c>
      <c r="B42" s="104">
        <f t="shared" si="0"/>
        <v>0</v>
      </c>
      <c r="C42" s="105">
        <v>30</v>
      </c>
      <c r="D42" s="177"/>
    </row>
    <row r="43" spans="1:5" x14ac:dyDescent="0.2">
      <c r="A43" s="76">
        <v>44135</v>
      </c>
      <c r="B43" s="104">
        <f t="shared" si="0"/>
        <v>0</v>
      </c>
      <c r="C43" s="105">
        <v>31</v>
      </c>
      <c r="D43" s="177"/>
    </row>
    <row r="44" spans="1:5" x14ac:dyDescent="0.2">
      <c r="A44" s="76">
        <v>44165</v>
      </c>
      <c r="B44" s="104">
        <f t="shared" si="0"/>
        <v>0</v>
      </c>
      <c r="C44" s="105">
        <v>30</v>
      </c>
      <c r="D44" s="177"/>
    </row>
    <row r="45" spans="1:5" x14ac:dyDescent="0.2">
      <c r="A45" s="77">
        <v>44196</v>
      </c>
      <c r="B45" s="13">
        <f t="shared" si="0"/>
        <v>0</v>
      </c>
      <c r="C45" s="106">
        <v>31</v>
      </c>
      <c r="D45" s="178"/>
    </row>
    <row r="46" spans="1:5" x14ac:dyDescent="0.2">
      <c r="A46" s="76">
        <v>44227</v>
      </c>
      <c r="B46" s="102">
        <f t="shared" si="0"/>
        <v>0</v>
      </c>
      <c r="C46" s="103">
        <v>31</v>
      </c>
      <c r="D46" s="176" t="s">
        <v>31</v>
      </c>
    </row>
    <row r="47" spans="1:5" x14ac:dyDescent="0.2">
      <c r="A47" s="76">
        <v>44255</v>
      </c>
      <c r="B47" s="104">
        <f t="shared" si="0"/>
        <v>0</v>
      </c>
      <c r="C47" s="105">
        <v>28</v>
      </c>
      <c r="D47" s="177"/>
    </row>
    <row r="48" spans="1:5" x14ac:dyDescent="0.2">
      <c r="A48" s="76">
        <v>44286</v>
      </c>
      <c r="B48" s="104">
        <f t="shared" si="0"/>
        <v>0</v>
      </c>
      <c r="C48" s="105">
        <v>31</v>
      </c>
      <c r="D48" s="177"/>
    </row>
    <row r="49" spans="1:4" x14ac:dyDescent="0.2">
      <c r="A49" s="76">
        <v>44316</v>
      </c>
      <c r="B49" s="104">
        <f t="shared" si="0"/>
        <v>0</v>
      </c>
      <c r="C49" s="105">
        <v>30</v>
      </c>
      <c r="D49" s="177"/>
    </row>
    <row r="50" spans="1:4" x14ac:dyDescent="0.2">
      <c r="A50" s="76">
        <v>44347</v>
      </c>
      <c r="B50" s="104">
        <f>B49</f>
        <v>0</v>
      </c>
      <c r="C50" s="105">
        <v>31</v>
      </c>
      <c r="D50" s="177"/>
    </row>
    <row r="51" spans="1:4" x14ac:dyDescent="0.2">
      <c r="A51" s="126">
        <v>44377</v>
      </c>
      <c r="B51" s="104">
        <f t="shared" si="0"/>
        <v>0</v>
      </c>
      <c r="C51" s="105">
        <v>30</v>
      </c>
      <c r="D51" s="177"/>
    </row>
    <row r="52" spans="1:4" x14ac:dyDescent="0.2">
      <c r="A52" s="76">
        <v>44408</v>
      </c>
      <c r="B52" s="104">
        <f t="shared" si="0"/>
        <v>0</v>
      </c>
      <c r="C52" s="105">
        <v>31</v>
      </c>
      <c r="D52" s="177"/>
    </row>
    <row r="53" spans="1:4" x14ac:dyDescent="0.2">
      <c r="A53" s="76">
        <v>44439</v>
      </c>
      <c r="B53" s="104">
        <f t="shared" si="0"/>
        <v>0</v>
      </c>
      <c r="C53" s="105">
        <v>31</v>
      </c>
      <c r="D53" s="177"/>
    </row>
    <row r="54" spans="1:4" x14ac:dyDescent="0.2">
      <c r="A54" s="76">
        <v>44469</v>
      </c>
      <c r="B54" s="104">
        <f t="shared" si="0"/>
        <v>0</v>
      </c>
      <c r="C54" s="105">
        <v>30</v>
      </c>
      <c r="D54" s="177"/>
    </row>
    <row r="55" spans="1:4" x14ac:dyDescent="0.2">
      <c r="A55" s="76">
        <v>44500</v>
      </c>
      <c r="B55" s="104">
        <f t="shared" si="0"/>
        <v>0</v>
      </c>
      <c r="C55" s="105">
        <v>31</v>
      </c>
      <c r="D55" s="177"/>
    </row>
    <row r="56" spans="1:4" x14ac:dyDescent="0.2">
      <c r="A56" s="76">
        <v>44530</v>
      </c>
      <c r="B56" s="104">
        <f t="shared" si="0"/>
        <v>0</v>
      </c>
      <c r="C56" s="105">
        <v>30</v>
      </c>
      <c r="D56" s="177"/>
    </row>
    <row r="57" spans="1:4" x14ac:dyDescent="0.2">
      <c r="A57" s="77">
        <v>44561</v>
      </c>
      <c r="B57" s="13">
        <f t="shared" si="0"/>
        <v>0</v>
      </c>
      <c r="C57" s="106">
        <v>31</v>
      </c>
      <c r="D57" s="178"/>
    </row>
    <row r="58" spans="1:4" x14ac:dyDescent="0.2">
      <c r="A58" s="76">
        <v>44592</v>
      </c>
      <c r="B58" s="102">
        <f t="shared" si="0"/>
        <v>0</v>
      </c>
      <c r="C58" s="103">
        <v>31</v>
      </c>
      <c r="D58" s="176" t="s">
        <v>32</v>
      </c>
    </row>
    <row r="59" spans="1:4" x14ac:dyDescent="0.2">
      <c r="A59" s="76">
        <v>44620</v>
      </c>
      <c r="B59" s="104">
        <f t="shared" si="0"/>
        <v>0</v>
      </c>
      <c r="C59" s="105">
        <v>28</v>
      </c>
      <c r="D59" s="177"/>
    </row>
    <row r="60" spans="1:4" x14ac:dyDescent="0.2">
      <c r="A60" s="76">
        <v>44651</v>
      </c>
      <c r="B60" s="104">
        <f t="shared" si="0"/>
        <v>0</v>
      </c>
      <c r="C60" s="105">
        <v>31</v>
      </c>
      <c r="D60" s="177"/>
    </row>
    <row r="61" spans="1:4" x14ac:dyDescent="0.2">
      <c r="A61" s="76">
        <v>44681</v>
      </c>
      <c r="B61" s="104">
        <f t="shared" si="0"/>
        <v>0</v>
      </c>
      <c r="C61" s="105">
        <v>30</v>
      </c>
      <c r="D61" s="177"/>
    </row>
    <row r="62" spans="1:4" x14ac:dyDescent="0.2">
      <c r="A62" s="76">
        <v>44712</v>
      </c>
      <c r="B62" s="104">
        <f>B61</f>
        <v>0</v>
      </c>
      <c r="C62" s="105">
        <v>31</v>
      </c>
      <c r="D62" s="177"/>
    </row>
    <row r="63" spans="1:4" x14ac:dyDescent="0.2">
      <c r="A63" s="126">
        <v>44742</v>
      </c>
      <c r="B63" s="104">
        <f t="shared" si="0"/>
        <v>0</v>
      </c>
      <c r="C63" s="105">
        <v>30</v>
      </c>
      <c r="D63" s="177"/>
    </row>
    <row r="64" spans="1:4" x14ac:dyDescent="0.2">
      <c r="A64" s="76">
        <v>44773</v>
      </c>
      <c r="B64" s="104">
        <f t="shared" si="0"/>
        <v>0</v>
      </c>
      <c r="C64" s="105">
        <v>31</v>
      </c>
      <c r="D64" s="177"/>
    </row>
    <row r="65" spans="1:4" x14ac:dyDescent="0.2">
      <c r="A65" s="76">
        <v>44804</v>
      </c>
      <c r="B65" s="104">
        <f t="shared" si="0"/>
        <v>0</v>
      </c>
      <c r="C65" s="105">
        <v>31</v>
      </c>
      <c r="D65" s="177"/>
    </row>
    <row r="66" spans="1:4" x14ac:dyDescent="0.2">
      <c r="A66" s="76">
        <v>44834</v>
      </c>
      <c r="B66" s="104">
        <f t="shared" si="0"/>
        <v>0</v>
      </c>
      <c r="C66" s="105">
        <v>30</v>
      </c>
      <c r="D66" s="177"/>
    </row>
    <row r="67" spans="1:4" x14ac:dyDescent="0.2">
      <c r="A67" s="76">
        <v>44865</v>
      </c>
      <c r="B67" s="104">
        <f t="shared" si="0"/>
        <v>0</v>
      </c>
      <c r="C67" s="105">
        <v>31</v>
      </c>
      <c r="D67" s="177"/>
    </row>
    <row r="68" spans="1:4" x14ac:dyDescent="0.2">
      <c r="A68" s="76">
        <v>44895</v>
      </c>
      <c r="B68" s="104">
        <f t="shared" si="0"/>
        <v>0</v>
      </c>
      <c r="C68" s="105">
        <v>30</v>
      </c>
      <c r="D68" s="177"/>
    </row>
    <row r="69" spans="1:4" x14ac:dyDescent="0.2">
      <c r="A69" s="77">
        <v>44926</v>
      </c>
      <c r="B69" s="13">
        <f t="shared" si="0"/>
        <v>0</v>
      </c>
      <c r="C69" s="106">
        <v>31</v>
      </c>
      <c r="D69" s="178"/>
    </row>
  </sheetData>
  <mergeCells count="5">
    <mergeCell ref="D22:D33"/>
    <mergeCell ref="D10:D21"/>
    <mergeCell ref="D34:D45"/>
    <mergeCell ref="D46:D57"/>
    <mergeCell ref="D58:D69"/>
  </mergeCells>
  <phoneticPr fontId="0" type="noConversion"/>
  <hyperlinks>
    <hyperlink ref="A7" r:id="rId1" xr:uid="{00000000-0004-0000-0100-000000000000}"/>
  </hyperlinks>
  <printOptions gridLinesSet="0"/>
  <pageMargins left="0.5" right="0.25" top="0.5" bottom="0.25" header="0.5" footer="0.5"/>
  <pageSetup scale="85" orientation="portrait" horizontalDpi="4294967292" verticalDpi="4294967292" r:id="rId2"/>
  <headerFooter alignWithMargins="0">
    <oddFooter>&amp;L&amp;"-,Bold"&amp;10Cascade Natural Gas Corporation&amp;C&amp;"-,Bold"&amp;10Washington Deferral Accounts&amp;R&amp;"-,Bold"&amp;10&amp;A</oddFoot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05"/>
  <sheetViews>
    <sheetView topLeftCell="A54" zoomScaleNormal="100" workbookViewId="0">
      <selection activeCell="H176" sqref="H176"/>
    </sheetView>
  </sheetViews>
  <sheetFormatPr defaultColWidth="8.88671875" defaultRowHeight="15" x14ac:dyDescent="0.25"/>
  <cols>
    <col min="1" max="1" width="6.5546875" style="40" customWidth="1"/>
    <col min="2" max="3" width="9.88671875" style="40" customWidth="1"/>
    <col min="4" max="4" width="4.5546875" style="40" customWidth="1"/>
    <col min="5" max="5" width="8.77734375" style="40" customWidth="1"/>
    <col min="6" max="6" width="9" style="40" bestFit="1" customWidth="1"/>
    <col min="7" max="7" width="6.44140625" style="40" customWidth="1"/>
    <col min="8" max="9" width="9.6640625" style="40" customWidth="1"/>
    <col min="10" max="10" width="10.109375" style="40" customWidth="1"/>
    <col min="11" max="11" width="5.44140625" style="40" customWidth="1"/>
    <col min="12" max="12" width="3.77734375" style="40" customWidth="1"/>
    <col min="13" max="13" width="8.44140625" style="40" customWidth="1"/>
    <col min="14" max="14" width="11" style="40" bestFit="1" customWidth="1"/>
    <col min="15" max="16" width="9.6640625" style="40" customWidth="1"/>
    <col min="17" max="17" width="8.77734375" style="40" customWidth="1"/>
    <col min="18" max="18" width="3.88671875" style="40" customWidth="1"/>
    <col min="19" max="19" width="9.88671875" style="40" customWidth="1"/>
    <col min="20" max="20" width="10.5546875" style="40" customWidth="1"/>
    <col min="21" max="21" width="11" style="40" bestFit="1" customWidth="1"/>
    <col min="22" max="16384" width="8.88671875" style="40"/>
  </cols>
  <sheetData>
    <row r="1" spans="1:21" x14ac:dyDescent="0.25">
      <c r="A1" s="181" t="s">
        <v>33</v>
      </c>
      <c r="B1" s="181"/>
      <c r="C1" s="181"/>
      <c r="D1" s="181"/>
      <c r="E1" s="181"/>
      <c r="F1" s="181"/>
    </row>
    <row r="2" spans="1:21" x14ac:dyDescent="0.25">
      <c r="A2" s="181" t="s">
        <v>34</v>
      </c>
      <c r="B2" s="181"/>
      <c r="C2" s="181"/>
      <c r="D2" s="181"/>
      <c r="E2" s="181"/>
      <c r="F2" s="181"/>
    </row>
    <row r="4" spans="1:21" x14ac:dyDescent="0.25">
      <c r="B4" s="182" t="s">
        <v>35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</row>
    <row r="5" spans="1:21" x14ac:dyDescent="0.25">
      <c r="B5" s="56">
        <v>4800</v>
      </c>
      <c r="C5" s="56"/>
      <c r="D5" s="179">
        <v>4809</v>
      </c>
      <c r="E5" s="180"/>
      <c r="F5" s="180"/>
      <c r="G5" s="179">
        <v>4810</v>
      </c>
      <c r="H5" s="180"/>
      <c r="I5" s="180"/>
      <c r="J5" s="180"/>
      <c r="K5" s="179">
        <v>4811</v>
      </c>
      <c r="L5" s="180"/>
      <c r="M5" s="90">
        <v>4813</v>
      </c>
      <c r="N5" s="90">
        <v>4861</v>
      </c>
      <c r="O5" s="179">
        <v>4863</v>
      </c>
      <c r="P5" s="180"/>
      <c r="Q5" s="180"/>
      <c r="R5" s="56"/>
      <c r="S5" s="90"/>
      <c r="T5" s="161" t="s">
        <v>36</v>
      </c>
      <c r="U5" s="50"/>
    </row>
    <row r="6" spans="1:21" x14ac:dyDescent="0.25">
      <c r="B6" s="42">
        <v>503</v>
      </c>
      <c r="C6" s="42" t="s">
        <v>37</v>
      </c>
      <c r="D6" s="87" t="s">
        <v>38</v>
      </c>
      <c r="E6" s="42">
        <v>505</v>
      </c>
      <c r="F6" s="42">
        <v>511</v>
      </c>
      <c r="G6" s="87" t="s">
        <v>39</v>
      </c>
      <c r="H6" s="42">
        <v>504</v>
      </c>
      <c r="I6" s="42" t="s">
        <v>40</v>
      </c>
      <c r="J6" s="42" t="s">
        <v>41</v>
      </c>
      <c r="K6" s="87" t="s">
        <v>38</v>
      </c>
      <c r="L6" s="42">
        <v>570</v>
      </c>
      <c r="M6" s="87">
        <v>570</v>
      </c>
      <c r="N6" s="125" t="s">
        <v>42</v>
      </c>
      <c r="O6" s="92">
        <v>6631</v>
      </c>
      <c r="P6" s="51">
        <v>6633</v>
      </c>
      <c r="Q6" s="51">
        <v>6635</v>
      </c>
      <c r="R6" s="51">
        <v>916</v>
      </c>
      <c r="S6" s="92" t="s">
        <v>43</v>
      </c>
      <c r="T6" s="162" t="s">
        <v>44</v>
      </c>
      <c r="U6" s="50"/>
    </row>
    <row r="7" spans="1:21" hidden="1" x14ac:dyDescent="0.25">
      <c r="A7" s="41">
        <v>43343</v>
      </c>
      <c r="B7" s="79">
        <f>+F199</f>
        <v>996895</v>
      </c>
      <c r="C7" s="79"/>
      <c r="D7" s="88">
        <v>0</v>
      </c>
      <c r="E7" s="79">
        <v>160070</v>
      </c>
      <c r="F7" s="79">
        <v>88492</v>
      </c>
      <c r="G7" s="88">
        <v>0</v>
      </c>
      <c r="H7" s="79">
        <v>986030</v>
      </c>
      <c r="I7" s="79"/>
      <c r="J7" s="79">
        <v>137321</v>
      </c>
      <c r="K7" s="98">
        <v>0</v>
      </c>
      <c r="L7" s="97">
        <v>0</v>
      </c>
      <c r="M7" s="91">
        <v>0</v>
      </c>
      <c r="N7" s="88">
        <v>0</v>
      </c>
      <c r="O7" s="88">
        <v>0</v>
      </c>
      <c r="P7" s="43">
        <v>0</v>
      </c>
      <c r="Q7" s="43">
        <v>0</v>
      </c>
      <c r="R7" s="43">
        <v>0</v>
      </c>
      <c r="S7" s="88">
        <v>0</v>
      </c>
      <c r="T7" s="88">
        <f>SUM(B7:S7)+E199+E200+E201+E202</f>
        <v>6454626</v>
      </c>
      <c r="U7" s="43"/>
    </row>
    <row r="8" spans="1:21" hidden="1" x14ac:dyDescent="0.25">
      <c r="A8" s="41">
        <v>43373</v>
      </c>
      <c r="B8" s="43">
        <v>2809188</v>
      </c>
      <c r="C8" s="43"/>
      <c r="D8" s="89">
        <v>-359</v>
      </c>
      <c r="E8" s="43">
        <v>648016</v>
      </c>
      <c r="F8" s="43">
        <v>241009</v>
      </c>
      <c r="G8" s="88">
        <v>158</v>
      </c>
      <c r="H8" s="43">
        <v>2784183</v>
      </c>
      <c r="I8" s="43"/>
      <c r="J8" s="43">
        <v>384208</v>
      </c>
      <c r="K8" s="89">
        <f>359+359</f>
        <v>718</v>
      </c>
      <c r="L8" s="43">
        <v>0</v>
      </c>
      <c r="M8" s="88">
        <v>93391</v>
      </c>
      <c r="N8" s="88">
        <v>26924983</v>
      </c>
      <c r="O8" s="88"/>
      <c r="P8" s="43">
        <v>12762544</v>
      </c>
      <c r="Q8" s="43">
        <v>5293486</v>
      </c>
      <c r="R8" s="43">
        <v>14392902</v>
      </c>
      <c r="S8" s="88">
        <v>17937726</v>
      </c>
      <c r="T8" s="88">
        <f t="shared" ref="T8:T25" si="0">SUM(B8:S8)</f>
        <v>84272153</v>
      </c>
      <c r="U8" s="43"/>
    </row>
    <row r="9" spans="1:21" hidden="1" x14ac:dyDescent="0.25">
      <c r="A9" s="41">
        <v>43404</v>
      </c>
      <c r="B9" s="43">
        <v>5307116</v>
      </c>
      <c r="C9" s="43"/>
      <c r="D9" s="88"/>
      <c r="E9" s="43">
        <v>1031586</v>
      </c>
      <c r="F9" s="43">
        <v>447130</v>
      </c>
      <c r="G9" s="88">
        <v>501</v>
      </c>
      <c r="H9" s="43">
        <v>4259766</v>
      </c>
      <c r="I9" s="43"/>
      <c r="J9" s="43">
        <v>674628</v>
      </c>
      <c r="K9" s="88">
        <v>188</v>
      </c>
      <c r="L9" s="43">
        <v>0</v>
      </c>
      <c r="M9" s="88">
        <v>118645</v>
      </c>
      <c r="N9" s="88">
        <v>30461110</v>
      </c>
      <c r="O9" s="88">
        <v>15312916</v>
      </c>
      <c r="P9" s="43">
        <v>14381027</v>
      </c>
      <c r="Q9" s="43">
        <v>2080893</v>
      </c>
      <c r="R9" s="43">
        <v>0</v>
      </c>
      <c r="S9" s="88">
        <v>9407603</v>
      </c>
      <c r="T9" s="88">
        <f t="shared" si="0"/>
        <v>83483109</v>
      </c>
      <c r="U9" s="43"/>
    </row>
    <row r="10" spans="1:21" hidden="1" x14ac:dyDescent="0.25">
      <c r="A10" s="41">
        <v>43434</v>
      </c>
      <c r="B10" s="43">
        <v>5727490</v>
      </c>
      <c r="C10" s="43"/>
      <c r="D10" s="88"/>
      <c r="E10" s="43">
        <v>691277</v>
      </c>
      <c r="F10" s="43">
        <v>107458</v>
      </c>
      <c r="G10" s="88">
        <v>2079</v>
      </c>
      <c r="H10" s="43">
        <v>4031349</v>
      </c>
      <c r="I10" s="43"/>
      <c r="J10" s="43">
        <v>459820</v>
      </c>
      <c r="K10" s="88">
        <v>21</v>
      </c>
      <c r="L10" s="43">
        <v>0</v>
      </c>
      <c r="M10" s="88">
        <v>197742</v>
      </c>
      <c r="N10" s="88">
        <v>32448578</v>
      </c>
      <c r="O10" s="88">
        <v>7714309</v>
      </c>
      <c r="P10" s="43">
        <v>4034082</v>
      </c>
      <c r="Q10" s="43">
        <v>2001543</v>
      </c>
      <c r="R10" s="43">
        <v>0</v>
      </c>
      <c r="S10" s="88">
        <v>12455009</v>
      </c>
      <c r="T10" s="88">
        <f t="shared" si="0"/>
        <v>69870757</v>
      </c>
      <c r="U10" s="43" t="s">
        <v>45</v>
      </c>
    </row>
    <row r="11" spans="1:21" hidden="1" x14ac:dyDescent="0.25">
      <c r="A11" s="41">
        <v>43434</v>
      </c>
      <c r="B11" s="43">
        <v>3233440</v>
      </c>
      <c r="C11" s="43"/>
      <c r="D11" s="88"/>
      <c r="E11" s="43">
        <v>298083</v>
      </c>
      <c r="F11" s="43">
        <v>77569</v>
      </c>
      <c r="G11" s="88">
        <v>0</v>
      </c>
      <c r="H11" s="43">
        <v>2122532</v>
      </c>
      <c r="I11" s="43"/>
      <c r="J11" s="43">
        <v>331925</v>
      </c>
      <c r="K11" s="88">
        <v>0</v>
      </c>
      <c r="L11" s="43">
        <v>0</v>
      </c>
      <c r="M11" s="88">
        <v>0</v>
      </c>
      <c r="N11" s="88">
        <v>0</v>
      </c>
      <c r="O11" s="88">
        <v>0</v>
      </c>
      <c r="P11" s="43">
        <v>0</v>
      </c>
      <c r="Q11" s="43">
        <v>0</v>
      </c>
      <c r="R11" s="43">
        <v>0</v>
      </c>
      <c r="S11" s="88">
        <v>0</v>
      </c>
      <c r="T11" s="88">
        <f t="shared" si="0"/>
        <v>6063549</v>
      </c>
      <c r="U11" s="43" t="s">
        <v>46</v>
      </c>
    </row>
    <row r="12" spans="1:21" hidden="1" x14ac:dyDescent="0.25">
      <c r="A12" s="41">
        <v>43465</v>
      </c>
      <c r="B12" s="43">
        <v>17031202</v>
      </c>
      <c r="C12" s="43"/>
      <c r="D12" s="88"/>
      <c r="E12" s="43">
        <v>1475293</v>
      </c>
      <c r="F12" s="43">
        <v>305292</v>
      </c>
      <c r="G12" s="88">
        <v>3464</v>
      </c>
      <c r="H12" s="43">
        <v>11460190</v>
      </c>
      <c r="I12" s="43"/>
      <c r="J12" s="43">
        <v>1383646</v>
      </c>
      <c r="K12" s="88">
        <v>63</v>
      </c>
      <c r="L12" s="43">
        <v>0</v>
      </c>
      <c r="M12" s="88">
        <v>217688</v>
      </c>
      <c r="N12" s="88">
        <v>25948738</v>
      </c>
      <c r="O12" s="88">
        <v>76766</v>
      </c>
      <c r="P12" s="43">
        <v>28205</v>
      </c>
      <c r="Q12" s="43">
        <v>33898</v>
      </c>
      <c r="R12" s="43">
        <v>0</v>
      </c>
      <c r="S12" s="88">
        <v>12530783</v>
      </c>
      <c r="T12" s="88">
        <f t="shared" si="0"/>
        <v>70495228</v>
      </c>
      <c r="U12" s="43"/>
    </row>
    <row r="13" spans="1:21" hidden="1" x14ac:dyDescent="0.25">
      <c r="A13" s="41">
        <v>43496</v>
      </c>
      <c r="B13" s="43">
        <v>19425579</v>
      </c>
      <c r="C13" s="43"/>
      <c r="D13" s="88"/>
      <c r="E13" s="43">
        <v>1433715</v>
      </c>
      <c r="F13" s="43">
        <v>330955</v>
      </c>
      <c r="G13" s="88">
        <v>4915</v>
      </c>
      <c r="H13" s="43">
        <v>13117967</v>
      </c>
      <c r="I13" s="43"/>
      <c r="J13" s="43">
        <v>1477641</v>
      </c>
      <c r="K13" s="88">
        <v>79</v>
      </c>
      <c r="L13" s="43">
        <v>0</v>
      </c>
      <c r="M13" s="88">
        <v>260482</v>
      </c>
      <c r="N13" s="88">
        <v>29346851</v>
      </c>
      <c r="O13" s="88">
        <v>14382579</v>
      </c>
      <c r="P13" s="43">
        <v>4450625</v>
      </c>
      <c r="Q13" s="43">
        <v>57483</v>
      </c>
      <c r="R13" s="43">
        <v>0</v>
      </c>
      <c r="S13" s="88">
        <f>2617891+938576+765472+502419+1192617+7824829+357236+82468</f>
        <v>14281508</v>
      </c>
      <c r="T13" s="88">
        <f t="shared" si="0"/>
        <v>98570379</v>
      </c>
      <c r="U13" s="43"/>
    </row>
    <row r="14" spans="1:21" hidden="1" x14ac:dyDescent="0.25">
      <c r="A14" s="41">
        <v>43524</v>
      </c>
      <c r="B14" s="43">
        <v>20826493</v>
      </c>
      <c r="C14" s="43"/>
      <c r="D14" s="88"/>
      <c r="E14" s="43">
        <v>1616149</v>
      </c>
      <c r="F14" s="43">
        <v>325966</v>
      </c>
      <c r="G14" s="88">
        <v>4626</v>
      </c>
      <c r="H14" s="43">
        <v>13988227</v>
      </c>
      <c r="I14" s="43"/>
      <c r="J14" s="43">
        <v>1527495</v>
      </c>
      <c r="K14" s="88">
        <v>7</v>
      </c>
      <c r="L14" s="43">
        <v>0</v>
      </c>
      <c r="M14" s="88">
        <v>258811</v>
      </c>
      <c r="N14" s="88">
        <v>31076934</v>
      </c>
      <c r="O14" s="88">
        <v>14944499</v>
      </c>
      <c r="P14" s="43">
        <v>4088088</v>
      </c>
      <c r="Q14" s="43">
        <v>106086</v>
      </c>
      <c r="R14" s="43">
        <v>0</v>
      </c>
      <c r="S14" s="88">
        <f>3202152+2041529+835418+564041+1220699+7679533+0+0</f>
        <v>15543372</v>
      </c>
      <c r="T14" s="88">
        <f t="shared" si="0"/>
        <v>104306753</v>
      </c>
      <c r="U14" s="43"/>
    </row>
    <row r="15" spans="1:21" hidden="1" x14ac:dyDescent="0.25">
      <c r="A15" s="41">
        <v>43555</v>
      </c>
      <c r="B15" s="43">
        <v>22406676</v>
      </c>
      <c r="C15" s="43"/>
      <c r="D15" s="88"/>
      <c r="E15" s="43">
        <v>1794729</v>
      </c>
      <c r="F15" s="43">
        <v>344448</v>
      </c>
      <c r="G15" s="88">
        <v>5486</v>
      </c>
      <c r="H15" s="43">
        <v>15941825</v>
      </c>
      <c r="I15" s="43"/>
      <c r="J15" s="43">
        <v>1650107</v>
      </c>
      <c r="K15" s="88">
        <v>0</v>
      </c>
      <c r="L15" s="43">
        <v>0</v>
      </c>
      <c r="M15" s="88">
        <v>270184</v>
      </c>
      <c r="N15" s="88">
        <v>30225230</v>
      </c>
      <c r="O15" s="88">
        <v>7408861</v>
      </c>
      <c r="P15" s="43">
        <v>5846716</v>
      </c>
      <c r="Q15" s="43">
        <v>228696</v>
      </c>
      <c r="R15" s="43">
        <v>0</v>
      </c>
      <c r="S15" s="88">
        <f>2316555+2359414+735036+538901+1078245+7686555+2483404+39201</f>
        <v>17237311</v>
      </c>
      <c r="T15" s="88">
        <f t="shared" si="0"/>
        <v>103360269</v>
      </c>
      <c r="U15" s="43"/>
    </row>
    <row r="16" spans="1:21" hidden="1" x14ac:dyDescent="0.25">
      <c r="A16" s="41">
        <v>43585</v>
      </c>
      <c r="B16" s="43">
        <v>12262358</v>
      </c>
      <c r="C16" s="43"/>
      <c r="D16" s="88">
        <v>0</v>
      </c>
      <c r="E16" s="43">
        <v>1331310</v>
      </c>
      <c r="F16" s="43">
        <v>339049</v>
      </c>
      <c r="G16" s="88">
        <v>3527</v>
      </c>
      <c r="H16" s="43">
        <v>9096547</v>
      </c>
      <c r="I16" s="43"/>
      <c r="J16" s="43">
        <v>1028839</v>
      </c>
      <c r="K16" s="88">
        <v>0</v>
      </c>
      <c r="L16" s="43">
        <v>0</v>
      </c>
      <c r="M16" s="88">
        <v>248145</v>
      </c>
      <c r="N16" s="88">
        <v>29413222</v>
      </c>
      <c r="O16" s="88">
        <v>9817659</v>
      </c>
      <c r="P16" s="43">
        <v>3088142</v>
      </c>
      <c r="Q16" s="43">
        <v>0</v>
      </c>
      <c r="R16" s="43">
        <v>0</v>
      </c>
      <c r="S16" s="88">
        <f>2298407+2520690+848257+538257+1154609+9312929+334503+112350</f>
        <v>17120002</v>
      </c>
      <c r="T16" s="88">
        <f t="shared" si="0"/>
        <v>83748800</v>
      </c>
      <c r="U16" s="43"/>
    </row>
    <row r="17" spans="1:21" hidden="1" x14ac:dyDescent="0.25">
      <c r="A17" s="41">
        <v>43616</v>
      </c>
      <c r="B17" s="43">
        <v>7409569</v>
      </c>
      <c r="C17" s="43"/>
      <c r="D17" s="88">
        <v>0</v>
      </c>
      <c r="E17" s="43">
        <v>789879</v>
      </c>
      <c r="F17" s="43">
        <v>267660</v>
      </c>
      <c r="G17" s="88">
        <v>2258</v>
      </c>
      <c r="H17" s="43">
        <v>5370530</v>
      </c>
      <c r="I17" s="43"/>
      <c r="J17" s="43">
        <v>692205</v>
      </c>
      <c r="K17" s="88">
        <v>128</v>
      </c>
      <c r="L17" s="43">
        <v>0</v>
      </c>
      <c r="M17" s="88">
        <v>191467</v>
      </c>
      <c r="N17" s="88">
        <v>27861922</v>
      </c>
      <c r="O17" s="88">
        <v>7594206</v>
      </c>
      <c r="P17" s="43">
        <v>2551096</v>
      </c>
      <c r="Q17" s="43">
        <v>24270</v>
      </c>
      <c r="R17" s="43">
        <v>0</v>
      </c>
      <c r="S17" s="88">
        <f>2069826+2845634+769998+397319+1061450+8371884+0+8745</f>
        <v>15524856</v>
      </c>
      <c r="T17" s="88">
        <f t="shared" si="0"/>
        <v>68280046</v>
      </c>
      <c r="U17" s="43"/>
    </row>
    <row r="18" spans="1:21" hidden="1" x14ac:dyDescent="0.25">
      <c r="A18" s="41">
        <v>43646</v>
      </c>
      <c r="B18" s="43">
        <v>4046705</v>
      </c>
      <c r="C18" s="43"/>
      <c r="D18" s="88">
        <v>0</v>
      </c>
      <c r="E18" s="43">
        <v>579038</v>
      </c>
      <c r="F18" s="43">
        <v>275040</v>
      </c>
      <c r="G18" s="88">
        <v>645</v>
      </c>
      <c r="H18" s="43">
        <v>3465484</v>
      </c>
      <c r="I18" s="43"/>
      <c r="J18" s="43">
        <v>479946</v>
      </c>
      <c r="K18" s="88">
        <v>151</v>
      </c>
      <c r="L18" s="43">
        <v>0</v>
      </c>
      <c r="M18" s="88">
        <v>142256</v>
      </c>
      <c r="N18" s="88">
        <v>29822871</v>
      </c>
      <c r="O18" s="88">
        <v>5340649</v>
      </c>
      <c r="P18" s="43">
        <v>381981</v>
      </c>
      <c r="Q18" s="43">
        <v>234043</v>
      </c>
      <c r="R18" s="43">
        <v>0</v>
      </c>
      <c r="S18" s="88">
        <f>1973660+2219500+453427+390685+1024594+5401237+509919+210060</f>
        <v>12183082</v>
      </c>
      <c r="T18" s="88">
        <f t="shared" si="0"/>
        <v>56951891</v>
      </c>
      <c r="U18" s="43"/>
    </row>
    <row r="19" spans="1:21" hidden="1" x14ac:dyDescent="0.25">
      <c r="A19" s="41">
        <v>43677</v>
      </c>
      <c r="B19" s="43">
        <v>3217527</v>
      </c>
      <c r="C19" s="43"/>
      <c r="D19" s="88">
        <v>0</v>
      </c>
      <c r="E19" s="43">
        <v>537168</v>
      </c>
      <c r="F19" s="43">
        <v>315197</v>
      </c>
      <c r="G19" s="88">
        <v>367</v>
      </c>
      <c r="H19" s="43">
        <v>3054528</v>
      </c>
      <c r="I19" s="43"/>
      <c r="J19" s="43">
        <v>406093</v>
      </c>
      <c r="K19" s="88">
        <v>0</v>
      </c>
      <c r="L19" s="43">
        <v>0</v>
      </c>
      <c r="M19" s="88">
        <v>110987</v>
      </c>
      <c r="N19" s="88">
        <v>27060192</v>
      </c>
      <c r="O19" s="88">
        <v>7824546</v>
      </c>
      <c r="P19" s="43">
        <v>6776820</v>
      </c>
      <c r="Q19" s="43">
        <v>1112893</v>
      </c>
      <c r="R19" s="43">
        <v>0</v>
      </c>
      <c r="S19" s="88">
        <f>2265713+2090677+759078+327788+937176+5673695+0+100169</f>
        <v>12154296</v>
      </c>
      <c r="T19" s="88">
        <f t="shared" si="0"/>
        <v>62570614</v>
      </c>
      <c r="U19" s="43"/>
    </row>
    <row r="20" spans="1:21" hidden="1" x14ac:dyDescent="0.25">
      <c r="A20" s="41">
        <v>43708</v>
      </c>
      <c r="B20" s="43">
        <v>2775098</v>
      </c>
      <c r="C20" s="43"/>
      <c r="D20" s="88">
        <v>0</v>
      </c>
      <c r="E20" s="43">
        <v>564404</v>
      </c>
      <c r="F20" s="43">
        <v>350812</v>
      </c>
      <c r="G20" s="88">
        <v>155</v>
      </c>
      <c r="H20" s="43">
        <v>2791770</v>
      </c>
      <c r="I20" s="43"/>
      <c r="J20" s="43">
        <v>400926</v>
      </c>
      <c r="K20" s="88">
        <v>163</v>
      </c>
      <c r="L20" s="43">
        <v>0</v>
      </c>
      <c r="M20" s="88">
        <v>120028</v>
      </c>
      <c r="N20" s="88">
        <v>26087226</v>
      </c>
      <c r="O20" s="88">
        <v>14501183</v>
      </c>
      <c r="P20" s="43">
        <v>14122838</v>
      </c>
      <c r="Q20" s="43">
        <v>5050508</v>
      </c>
      <c r="R20" s="43">
        <v>0</v>
      </c>
      <c r="S20" s="88">
        <v>21648336</v>
      </c>
      <c r="T20" s="88">
        <f t="shared" si="0"/>
        <v>88413447</v>
      </c>
      <c r="U20" s="43"/>
    </row>
    <row r="21" spans="1:21" hidden="1" x14ac:dyDescent="0.25">
      <c r="A21" s="41">
        <v>43738</v>
      </c>
      <c r="B21" s="43">
        <v>2691847</v>
      </c>
      <c r="C21" s="43"/>
      <c r="D21" s="88">
        <v>0</v>
      </c>
      <c r="E21" s="43">
        <v>651984</v>
      </c>
      <c r="F21" s="43">
        <v>310612</v>
      </c>
      <c r="G21" s="88">
        <v>138</v>
      </c>
      <c r="H21" s="43">
        <v>2672689</v>
      </c>
      <c r="I21" s="43"/>
      <c r="J21" s="43">
        <v>346838</v>
      </c>
      <c r="K21" s="88">
        <v>0</v>
      </c>
      <c r="L21" s="43">
        <v>0</v>
      </c>
      <c r="M21" s="88">
        <v>93626</v>
      </c>
      <c r="N21" s="88">
        <v>28179207</v>
      </c>
      <c r="O21" s="88">
        <v>16164686</v>
      </c>
      <c r="P21" s="43">
        <v>15605297</v>
      </c>
      <c r="Q21" s="43">
        <v>9500954</v>
      </c>
      <c r="R21" s="43">
        <v>0</v>
      </c>
      <c r="S21" s="88">
        <f>2310615+2677115+629970+278437+979527+6575658+9118215+147250</f>
        <v>22716787</v>
      </c>
      <c r="T21" s="88">
        <f t="shared" si="0"/>
        <v>98934665</v>
      </c>
      <c r="U21" s="43"/>
    </row>
    <row r="22" spans="1:21" hidden="1" x14ac:dyDescent="0.25">
      <c r="A22" s="41">
        <v>43769</v>
      </c>
      <c r="B22" s="43">
        <v>6366467</v>
      </c>
      <c r="C22" s="43"/>
      <c r="D22" s="88">
        <v>0</v>
      </c>
      <c r="E22" s="43">
        <v>1274354</v>
      </c>
      <c r="F22" s="43">
        <v>413276</v>
      </c>
      <c r="G22" s="88">
        <v>619</v>
      </c>
      <c r="H22" s="43">
        <v>4853452</v>
      </c>
      <c r="I22" s="43"/>
      <c r="J22" s="43">
        <v>680358</v>
      </c>
      <c r="K22" s="88">
        <v>411</v>
      </c>
      <c r="L22" s="43">
        <v>0</v>
      </c>
      <c r="M22" s="88">
        <v>111442</v>
      </c>
      <c r="N22" s="88">
        <v>32200088</v>
      </c>
      <c r="O22" s="88">
        <v>15653555</v>
      </c>
      <c r="P22" s="43">
        <v>14512835</v>
      </c>
      <c r="Q22" s="43">
        <v>4852567</v>
      </c>
      <c r="R22" s="43">
        <v>0</v>
      </c>
      <c r="S22" s="88">
        <f>2238144+2457018+700843+318250+880129+6543518+6204407+451349</f>
        <v>19793658</v>
      </c>
      <c r="T22" s="88">
        <f t="shared" si="0"/>
        <v>100713082</v>
      </c>
      <c r="U22" s="43"/>
    </row>
    <row r="23" spans="1:21" hidden="1" x14ac:dyDescent="0.25">
      <c r="A23" s="41">
        <v>43799</v>
      </c>
      <c r="B23" s="43">
        <v>7622134</v>
      </c>
      <c r="C23" s="43"/>
      <c r="D23" s="88">
        <v>0</v>
      </c>
      <c r="E23" s="43">
        <v>806453</v>
      </c>
      <c r="F23" s="43">
        <v>292270</v>
      </c>
      <c r="G23" s="88">
        <v>2955</v>
      </c>
      <c r="H23" s="43">
        <v>5319138</v>
      </c>
      <c r="I23" s="43"/>
      <c r="J23" s="43">
        <f>1347361+626870</f>
        <v>1974231</v>
      </c>
      <c r="K23" s="88">
        <v>317</v>
      </c>
      <c r="L23" s="43">
        <v>0</v>
      </c>
      <c r="M23" s="88">
        <v>232820</v>
      </c>
      <c r="N23" s="88">
        <v>33622269</v>
      </c>
      <c r="O23" s="88">
        <v>11066763</v>
      </c>
      <c r="P23" s="43">
        <v>667138</v>
      </c>
      <c r="Q23" s="43">
        <v>897404</v>
      </c>
      <c r="R23" s="43">
        <v>0</v>
      </c>
      <c r="S23" s="88">
        <f>2832256+2779753+787046+348739+985783+7985929+1743835+59022</f>
        <v>17522363</v>
      </c>
      <c r="T23" s="88">
        <f t="shared" si="0"/>
        <v>80026255</v>
      </c>
      <c r="U23" s="43" t="s">
        <v>45</v>
      </c>
    </row>
    <row r="24" spans="1:21" hidden="1" x14ac:dyDescent="0.25">
      <c r="A24" s="41">
        <v>43799</v>
      </c>
      <c r="B24" s="43">
        <v>4006834</v>
      </c>
      <c r="C24" s="43"/>
      <c r="D24" s="88">
        <v>0</v>
      </c>
      <c r="E24" s="43">
        <v>352170</v>
      </c>
      <c r="F24" s="43">
        <v>192646</v>
      </c>
      <c r="G24" s="88">
        <v>0</v>
      </c>
      <c r="H24" s="43">
        <v>2589532</v>
      </c>
      <c r="I24" s="43"/>
      <c r="J24" s="43">
        <v>410158</v>
      </c>
      <c r="K24" s="88"/>
      <c r="L24" s="43">
        <v>0</v>
      </c>
      <c r="M24" s="88"/>
      <c r="N24" s="88"/>
      <c r="O24" s="88"/>
      <c r="P24" s="43"/>
      <c r="Q24" s="43"/>
      <c r="R24" s="43"/>
      <c r="S24" s="88"/>
      <c r="T24" s="88">
        <f t="shared" si="0"/>
        <v>7551340</v>
      </c>
      <c r="U24" s="43" t="s">
        <v>46</v>
      </c>
    </row>
    <row r="25" spans="1:21" hidden="1" x14ac:dyDescent="0.25">
      <c r="A25" s="41">
        <v>43830</v>
      </c>
      <c r="B25" s="43">
        <v>17650518</v>
      </c>
      <c r="C25" s="43"/>
      <c r="D25" s="88">
        <v>0</v>
      </c>
      <c r="E25" s="43">
        <v>1422636</v>
      </c>
      <c r="F25" s="43">
        <v>368658</v>
      </c>
      <c r="G25" s="88">
        <v>3958</v>
      </c>
      <c r="H25" s="43">
        <v>11976706</v>
      </c>
      <c r="I25" s="43"/>
      <c r="J25" s="43">
        <f>1498743+1270156</f>
        <v>2768899</v>
      </c>
      <c r="K25" s="88">
        <v>491</v>
      </c>
      <c r="L25" s="43">
        <v>0</v>
      </c>
      <c r="M25" s="88">
        <v>230233</v>
      </c>
      <c r="N25" s="88">
        <v>29817626</v>
      </c>
      <c r="O25" s="88">
        <v>12699045</v>
      </c>
      <c r="P25" s="43">
        <v>5956005</v>
      </c>
      <c r="Q25" s="43">
        <v>211269</v>
      </c>
      <c r="R25" s="43">
        <v>0</v>
      </c>
      <c r="S25" s="88">
        <f>3143984+2719510+758864+325444+994562+7351963+188376+57819</f>
        <v>15540522</v>
      </c>
      <c r="T25" s="88">
        <f t="shared" si="0"/>
        <v>98646566</v>
      </c>
      <c r="U25" s="43"/>
    </row>
    <row r="26" spans="1:21" hidden="1" x14ac:dyDescent="0.25">
      <c r="A26" s="41">
        <v>43861</v>
      </c>
      <c r="B26" s="43">
        <v>21443608</v>
      </c>
      <c r="C26" s="43"/>
      <c r="D26" s="88">
        <v>0</v>
      </c>
      <c r="E26" s="43">
        <v>1522757</v>
      </c>
      <c r="F26" s="43">
        <v>431249</v>
      </c>
      <c r="G26" s="88">
        <v>4552</v>
      </c>
      <c r="H26" s="43">
        <v>14478708</v>
      </c>
      <c r="I26" s="43"/>
      <c r="J26" s="43">
        <f>1688999+1526368</f>
        <v>3215367</v>
      </c>
      <c r="K26" s="88">
        <v>261</v>
      </c>
      <c r="L26" s="43">
        <v>0</v>
      </c>
      <c r="M26" s="88">
        <v>254015</v>
      </c>
      <c r="N26" s="88">
        <v>31598380</v>
      </c>
      <c r="O26" s="88">
        <v>14173947</v>
      </c>
      <c r="P26" s="43">
        <v>13886984</v>
      </c>
      <c r="Q26" s="43">
        <v>1297588</v>
      </c>
      <c r="R26" s="43">
        <v>0</v>
      </c>
      <c r="S26" s="88">
        <f>4182562+2894369+777031+492333+1120091+7386486+6845573+0</f>
        <v>23698445</v>
      </c>
      <c r="T26" s="88">
        <f t="shared" ref="T26:T37" si="1">SUM(B26:S26)</f>
        <v>126005861</v>
      </c>
      <c r="U26" s="43"/>
    </row>
    <row r="27" spans="1:21" hidden="1" x14ac:dyDescent="0.25">
      <c r="A27" s="41">
        <v>43890</v>
      </c>
      <c r="B27" s="43">
        <v>17506775</v>
      </c>
      <c r="C27" s="43"/>
      <c r="D27" s="88">
        <v>0</v>
      </c>
      <c r="E27" s="43">
        <v>1322495</v>
      </c>
      <c r="F27" s="43">
        <v>393372</v>
      </c>
      <c r="G27" s="88">
        <v>4887</v>
      </c>
      <c r="H27" s="43">
        <v>11970901</v>
      </c>
      <c r="I27" s="43"/>
      <c r="J27" s="43">
        <f>1783146+1227695</f>
        <v>3010841</v>
      </c>
      <c r="K27" s="88">
        <v>85</v>
      </c>
      <c r="L27" s="43">
        <v>0</v>
      </c>
      <c r="M27" s="88">
        <v>256203</v>
      </c>
      <c r="N27" s="88">
        <v>32459607</v>
      </c>
      <c r="O27" s="88">
        <v>12220393</v>
      </c>
      <c r="P27" s="43">
        <v>9693367</v>
      </c>
      <c r="Q27" s="43">
        <v>362331</v>
      </c>
      <c r="R27" s="43">
        <v>0</v>
      </c>
      <c r="S27" s="88">
        <f>4206155+2962351+872878+386843+1160711+7350647+4214606+13899</f>
        <v>21168090</v>
      </c>
      <c r="T27" s="88">
        <f t="shared" si="1"/>
        <v>110369347</v>
      </c>
      <c r="U27" s="43"/>
    </row>
    <row r="28" spans="1:21" hidden="1" x14ac:dyDescent="0.25">
      <c r="A28" s="41">
        <v>43921</v>
      </c>
      <c r="B28" s="43">
        <v>17635811</v>
      </c>
      <c r="C28" s="43"/>
      <c r="D28" s="88">
        <v>0</v>
      </c>
      <c r="E28" s="43">
        <v>1356275</v>
      </c>
      <c r="F28" s="43">
        <v>297569</v>
      </c>
      <c r="G28" s="88">
        <v>4650</v>
      </c>
      <c r="H28" s="43">
        <v>11812961</v>
      </c>
      <c r="I28" s="43"/>
      <c r="J28" s="43">
        <f>1661778+1333636</f>
        <v>2995414</v>
      </c>
      <c r="K28" s="88">
        <v>341</v>
      </c>
      <c r="L28" s="43">
        <v>0</v>
      </c>
      <c r="M28" s="88">
        <v>228991</v>
      </c>
      <c r="N28" s="88">
        <v>30355704</v>
      </c>
      <c r="O28" s="88">
        <v>11897407</v>
      </c>
      <c r="P28" s="43">
        <v>7438730</v>
      </c>
      <c r="Q28" s="43">
        <v>761639</v>
      </c>
      <c r="R28" s="43">
        <v>0</v>
      </c>
      <c r="S28" s="88">
        <f>3647038+3352730+759226+340736+950149+6493299+1673858+184428</f>
        <v>17401464</v>
      </c>
      <c r="T28" s="88">
        <f t="shared" si="1"/>
        <v>102186956</v>
      </c>
    </row>
    <row r="29" spans="1:21" hidden="1" x14ac:dyDescent="0.25">
      <c r="A29" s="41">
        <v>43951</v>
      </c>
      <c r="B29" s="43">
        <v>13930299</v>
      </c>
      <c r="C29" s="43"/>
      <c r="D29" s="88">
        <v>0</v>
      </c>
      <c r="E29" s="43">
        <v>1128418</v>
      </c>
      <c r="F29" s="43">
        <v>537766</v>
      </c>
      <c r="G29" s="88">
        <v>4903</v>
      </c>
      <c r="H29" s="43">
        <v>8554564</v>
      </c>
      <c r="I29" s="43"/>
      <c r="J29" s="43">
        <f>1700063+1014345</f>
        <v>2714408</v>
      </c>
      <c r="K29" s="88">
        <v>182</v>
      </c>
      <c r="L29" s="43">
        <v>0</v>
      </c>
      <c r="M29" s="88">
        <v>229265</v>
      </c>
      <c r="N29" s="88">
        <v>32606618</v>
      </c>
      <c r="O29" s="88">
        <v>15670834</v>
      </c>
      <c r="P29" s="43">
        <v>14229128</v>
      </c>
      <c r="Q29" s="43">
        <v>3004872</v>
      </c>
      <c r="R29" s="43">
        <v>0</v>
      </c>
      <c r="S29" s="88">
        <f>3745212+3019501+723268+363829+1112427+5630590+7553041+249821</f>
        <v>22397689</v>
      </c>
      <c r="T29" s="88">
        <f t="shared" si="1"/>
        <v>115008946</v>
      </c>
    </row>
    <row r="30" spans="1:21" hidden="1" x14ac:dyDescent="0.25">
      <c r="A30" s="41">
        <v>43982</v>
      </c>
      <c r="B30" s="119">
        <v>6809502</v>
      </c>
      <c r="C30" s="119"/>
      <c r="D30" s="120">
        <v>0</v>
      </c>
      <c r="E30" s="119">
        <v>713209</v>
      </c>
      <c r="F30" s="119">
        <v>222952</v>
      </c>
      <c r="G30" s="120">
        <v>3889</v>
      </c>
      <c r="H30" s="119">
        <v>4127918</v>
      </c>
      <c r="I30" s="119"/>
      <c r="J30" s="119">
        <f>1363626+540957</f>
        <v>1904583</v>
      </c>
      <c r="K30" s="120">
        <v>193</v>
      </c>
      <c r="L30" s="119">
        <v>0</v>
      </c>
      <c r="M30" s="120">
        <v>189521</v>
      </c>
      <c r="N30" s="120">
        <v>27153851</v>
      </c>
      <c r="O30" s="120">
        <v>13569738</v>
      </c>
      <c r="P30" s="119">
        <v>11001952</v>
      </c>
      <c r="Q30" s="119">
        <v>3430843</v>
      </c>
      <c r="R30" s="119"/>
      <c r="S30" s="120">
        <f>3270112+2756681+192062+280512+1144381+5477666+5121004+0</f>
        <v>18242418</v>
      </c>
      <c r="T30" s="88">
        <f t="shared" si="1"/>
        <v>87370569</v>
      </c>
    </row>
    <row r="31" spans="1:21" hidden="1" x14ac:dyDescent="0.25">
      <c r="A31" s="41">
        <v>44012</v>
      </c>
      <c r="B31" s="119">
        <v>5005480</v>
      </c>
      <c r="C31" s="119"/>
      <c r="D31" s="120">
        <v>0</v>
      </c>
      <c r="E31" s="119">
        <v>637229</v>
      </c>
      <c r="F31" s="119">
        <v>433558</v>
      </c>
      <c r="G31" s="120">
        <v>2219</v>
      </c>
      <c r="H31" s="119">
        <v>3158885</v>
      </c>
      <c r="I31" s="119"/>
      <c r="J31" s="119">
        <f>948718+506151</f>
        <v>1454869</v>
      </c>
      <c r="K31" s="120">
        <v>0</v>
      </c>
      <c r="L31" s="119">
        <v>0</v>
      </c>
      <c r="M31" s="120">
        <v>139589</v>
      </c>
      <c r="N31" s="120">
        <v>29220599</v>
      </c>
      <c r="O31" s="120">
        <v>2198918</v>
      </c>
      <c r="P31" s="119">
        <v>791584</v>
      </c>
      <c r="Q31" s="119">
        <v>447784</v>
      </c>
      <c r="R31" s="119">
        <v>0</v>
      </c>
      <c r="S31" s="120">
        <f>2781081+435041+274097+1164457+7824547+506157+8254</f>
        <v>12993634</v>
      </c>
      <c r="T31" s="88">
        <f t="shared" si="1"/>
        <v>56484348</v>
      </c>
    </row>
    <row r="32" spans="1:21" hidden="1" x14ac:dyDescent="0.25">
      <c r="A32" s="41">
        <v>44043</v>
      </c>
      <c r="B32" s="43">
        <v>4024864</v>
      </c>
      <c r="C32" s="43"/>
      <c r="D32" s="88">
        <v>0</v>
      </c>
      <c r="E32" s="43">
        <v>562464</v>
      </c>
      <c r="F32" s="43">
        <v>335278</v>
      </c>
      <c r="G32" s="88">
        <v>2099</v>
      </c>
      <c r="H32" s="43">
        <v>2836474</v>
      </c>
      <c r="I32" s="43"/>
      <c r="J32" s="43">
        <f>710086+548294</f>
        <v>1258380</v>
      </c>
      <c r="K32" s="88">
        <v>0</v>
      </c>
      <c r="L32" s="43">
        <v>0</v>
      </c>
      <c r="M32" s="88">
        <v>109390</v>
      </c>
      <c r="N32" s="88">
        <v>26165057</v>
      </c>
      <c r="O32" s="88">
        <v>3015900</v>
      </c>
      <c r="P32" s="43">
        <v>1306946</v>
      </c>
      <c r="Q32" s="43">
        <v>736401</v>
      </c>
      <c r="R32" s="43">
        <v>0</v>
      </c>
      <c r="S32" s="88">
        <f>3279559+679596+279356+1044539+6309798+0+39426</f>
        <v>11632274</v>
      </c>
      <c r="T32" s="88">
        <f t="shared" si="1"/>
        <v>51985527</v>
      </c>
    </row>
    <row r="33" spans="1:22" hidden="1" x14ac:dyDescent="0.25">
      <c r="A33" s="41">
        <v>44074</v>
      </c>
      <c r="B33" s="43">
        <v>2732363</v>
      </c>
      <c r="C33" s="43"/>
      <c r="D33" s="88">
        <v>0</v>
      </c>
      <c r="E33" s="43">
        <v>497342</v>
      </c>
      <c r="F33" s="43">
        <v>298740</v>
      </c>
      <c r="G33" s="88">
        <v>943</v>
      </c>
      <c r="H33" s="43">
        <v>2165794</v>
      </c>
      <c r="I33" s="43"/>
      <c r="J33" s="43">
        <f>669108+327920</f>
        <v>997028</v>
      </c>
      <c r="K33" s="88">
        <v>0</v>
      </c>
      <c r="L33" s="43">
        <v>0</v>
      </c>
      <c r="M33" s="88">
        <v>106383</v>
      </c>
      <c r="N33" s="88">
        <v>30463827</v>
      </c>
      <c r="O33" s="88">
        <v>9874110</v>
      </c>
      <c r="P33" s="43">
        <v>5180231</v>
      </c>
      <c r="Q33" s="43">
        <v>1984278</v>
      </c>
      <c r="R33" s="43">
        <v>0</v>
      </c>
      <c r="S33" s="88">
        <f>3353938+405992+286757+943601+6950239+1583529+134999</f>
        <v>13659055</v>
      </c>
      <c r="T33" s="88">
        <f t="shared" si="1"/>
        <v>67960094</v>
      </c>
    </row>
    <row r="34" spans="1:22" hidden="1" x14ac:dyDescent="0.25">
      <c r="A34" s="41">
        <v>44104</v>
      </c>
      <c r="B34" s="43">
        <v>2948480</v>
      </c>
      <c r="C34" s="43"/>
      <c r="D34" s="88">
        <v>0</v>
      </c>
      <c r="E34" s="43">
        <v>620797</v>
      </c>
      <c r="F34" s="43">
        <v>341767</v>
      </c>
      <c r="G34" s="88">
        <v>816</v>
      </c>
      <c r="H34" s="43">
        <v>2450387</v>
      </c>
      <c r="I34" s="43"/>
      <c r="J34" s="43">
        <f>629019+320051</f>
        <v>949070</v>
      </c>
      <c r="K34" s="88">
        <v>0</v>
      </c>
      <c r="L34" s="43">
        <v>0</v>
      </c>
      <c r="M34" s="88">
        <v>100500</v>
      </c>
      <c r="N34" s="88">
        <v>32369567</v>
      </c>
      <c r="O34" s="88">
        <v>13157147</v>
      </c>
      <c r="P34" s="43">
        <v>10278160</v>
      </c>
      <c r="Q34" s="43">
        <v>4334957</v>
      </c>
      <c r="R34" s="43">
        <v>0</v>
      </c>
      <c r="S34" s="88">
        <f>3281965+636243+367353+874186+8114039+4164341+77745</f>
        <v>17515872</v>
      </c>
      <c r="T34" s="88">
        <f t="shared" si="1"/>
        <v>85067520</v>
      </c>
    </row>
    <row r="35" spans="1:22" hidden="1" x14ac:dyDescent="0.25">
      <c r="A35" s="41">
        <v>44135</v>
      </c>
      <c r="B35" s="43">
        <v>4232461</v>
      </c>
      <c r="C35" s="43"/>
      <c r="D35" s="88">
        <v>0</v>
      </c>
      <c r="E35" s="43">
        <v>1000739</v>
      </c>
      <c r="F35" s="43">
        <v>374010</v>
      </c>
      <c r="G35" s="88">
        <v>643</v>
      </c>
      <c r="H35" s="43">
        <v>3183599</v>
      </c>
      <c r="I35" s="43"/>
      <c r="J35" s="43">
        <f>613508+472509</f>
        <v>1086017</v>
      </c>
      <c r="K35" s="88">
        <v>0</v>
      </c>
      <c r="L35" s="43">
        <v>0</v>
      </c>
      <c r="M35" s="88">
        <v>94559</v>
      </c>
      <c r="N35" s="88">
        <v>34257314</v>
      </c>
      <c r="O35" s="88">
        <v>14061705</v>
      </c>
      <c r="P35" s="43">
        <v>12575104</v>
      </c>
      <c r="Q35" s="43">
        <v>5435910</v>
      </c>
      <c r="R35" s="43">
        <v>0</v>
      </c>
      <c r="S35" s="88">
        <f>3365190+645648+401241+882295+4984455+6516174+67903</f>
        <v>16862906</v>
      </c>
      <c r="T35" s="88">
        <f t="shared" si="1"/>
        <v>93164967</v>
      </c>
    </row>
    <row r="36" spans="1:22" hidden="1" x14ac:dyDescent="0.25">
      <c r="A36" s="41">
        <v>44165</v>
      </c>
      <c r="B36" s="43">
        <v>6886950</v>
      </c>
      <c r="C36" s="43"/>
      <c r="D36" s="88">
        <v>0</v>
      </c>
      <c r="E36" s="43">
        <v>615235</v>
      </c>
      <c r="F36" s="43">
        <v>224068</v>
      </c>
      <c r="G36" s="88">
        <v>3290</v>
      </c>
      <c r="H36" s="43">
        <v>4428383</v>
      </c>
      <c r="I36" s="43"/>
      <c r="J36" s="43">
        <f>570674+33943</f>
        <v>604617</v>
      </c>
      <c r="K36" s="88">
        <v>0</v>
      </c>
      <c r="L36" s="43">
        <v>0</v>
      </c>
      <c r="M36" s="88">
        <v>178840</v>
      </c>
      <c r="N36" s="88">
        <f>36288347+513206</f>
        <v>36801553</v>
      </c>
      <c r="O36" s="88">
        <v>9459059</v>
      </c>
      <c r="P36" s="43">
        <v>8268305</v>
      </c>
      <c r="Q36" s="43">
        <v>1590604</v>
      </c>
      <c r="R36" s="43">
        <v>0</v>
      </c>
      <c r="S36" s="88">
        <f>3222482+801554+429333+967135+7330347+1133014+54670</f>
        <v>13938535</v>
      </c>
      <c r="T36" s="88">
        <f t="shared" ref="T36" si="2">SUM(B36:S36)</f>
        <v>82999439</v>
      </c>
      <c r="V36" s="40" t="s">
        <v>45</v>
      </c>
    </row>
    <row r="37" spans="1:22" hidden="1" x14ac:dyDescent="0.25">
      <c r="A37" s="41">
        <v>44165</v>
      </c>
      <c r="B37" s="43">
        <v>3564962</v>
      </c>
      <c r="C37" s="43"/>
      <c r="D37" s="88">
        <v>0</v>
      </c>
      <c r="E37" s="43">
        <v>255052</v>
      </c>
      <c r="F37" s="43">
        <v>108414</v>
      </c>
      <c r="G37" s="88">
        <v>0</v>
      </c>
      <c r="H37" s="43">
        <v>2059842</v>
      </c>
      <c r="I37" s="43"/>
      <c r="J37" s="43">
        <v>268370</v>
      </c>
      <c r="K37" s="88">
        <v>0</v>
      </c>
      <c r="L37" s="43">
        <v>0</v>
      </c>
      <c r="M37" s="88">
        <v>0</v>
      </c>
      <c r="N37" s="88">
        <v>0</v>
      </c>
      <c r="O37" s="88">
        <v>0</v>
      </c>
      <c r="P37" s="43">
        <v>0</v>
      </c>
      <c r="Q37" s="43">
        <v>0</v>
      </c>
      <c r="R37" s="43">
        <v>0</v>
      </c>
      <c r="S37" s="88">
        <v>0</v>
      </c>
      <c r="T37" s="88">
        <f t="shared" si="1"/>
        <v>6256640</v>
      </c>
      <c r="U37" s="127"/>
      <c r="V37" s="40" t="s">
        <v>46</v>
      </c>
    </row>
    <row r="38" spans="1:22" hidden="1" x14ac:dyDescent="0.25">
      <c r="A38" s="41">
        <v>44196</v>
      </c>
      <c r="B38" s="43">
        <v>18475354</v>
      </c>
      <c r="C38" s="43"/>
      <c r="D38" s="88"/>
      <c r="E38" s="43">
        <v>1356324</v>
      </c>
      <c r="F38" s="43">
        <v>419977</v>
      </c>
      <c r="G38" s="88">
        <v>5658</v>
      </c>
      <c r="H38" s="43">
        <v>11995310</v>
      </c>
      <c r="I38" s="43"/>
      <c r="J38" s="43">
        <f>72965+1405863</f>
        <v>1478828</v>
      </c>
      <c r="K38" s="88">
        <v>0</v>
      </c>
      <c r="L38" s="43">
        <v>0</v>
      </c>
      <c r="M38" s="88">
        <v>220318</v>
      </c>
      <c r="N38" s="88">
        <f>37034864+779085</f>
        <v>37813949</v>
      </c>
      <c r="O38" s="88">
        <v>7516479</v>
      </c>
      <c r="P38" s="43">
        <v>2419246</v>
      </c>
      <c r="Q38" s="43">
        <v>916410</v>
      </c>
      <c r="R38" s="43">
        <v>0</v>
      </c>
      <c r="S38" s="88">
        <f>3733619+658635+457902+981664+7462302+18635+3797</f>
        <v>13316554</v>
      </c>
      <c r="T38" s="88">
        <f t="shared" ref="T38:T57" si="3">SUM(B38:S38)</f>
        <v>95934407</v>
      </c>
    </row>
    <row r="39" spans="1:22" hidden="1" x14ac:dyDescent="0.25">
      <c r="A39" s="41">
        <v>44227</v>
      </c>
      <c r="B39" s="43">
        <v>19685299</v>
      </c>
      <c r="C39" s="43"/>
      <c r="D39" s="88">
        <v>0</v>
      </c>
      <c r="E39" s="43">
        <v>1264480</v>
      </c>
      <c r="F39" s="43">
        <v>431368</v>
      </c>
      <c r="G39" s="88">
        <v>7535</v>
      </c>
      <c r="H39" s="43">
        <v>12906274</v>
      </c>
      <c r="I39" s="43"/>
      <c r="J39" s="43">
        <f>96370+1372740</f>
        <v>1469110</v>
      </c>
      <c r="K39" s="88">
        <v>0</v>
      </c>
      <c r="L39" s="43">
        <v>0</v>
      </c>
      <c r="M39" s="88">
        <v>244469</v>
      </c>
      <c r="N39" s="88">
        <f>36823390+810439</f>
        <v>37633829</v>
      </c>
      <c r="O39" s="88">
        <v>13353201</v>
      </c>
      <c r="P39" s="43">
        <v>9176642</v>
      </c>
      <c r="Q39" s="43">
        <v>764453</v>
      </c>
      <c r="R39" s="43">
        <v>0</v>
      </c>
      <c r="S39" s="88">
        <f>3961371+531780+434089+1038258+8629459+801796+0</f>
        <v>15396753</v>
      </c>
      <c r="T39" s="88">
        <f t="shared" si="3"/>
        <v>112333413</v>
      </c>
    </row>
    <row r="40" spans="1:22" hidden="1" x14ac:dyDescent="0.25">
      <c r="A40" s="41">
        <v>44255</v>
      </c>
      <c r="B40" s="43">
        <v>18599534</v>
      </c>
      <c r="C40" s="43"/>
      <c r="D40" s="88">
        <v>0</v>
      </c>
      <c r="E40" s="43">
        <v>1226133</v>
      </c>
      <c r="F40" s="43">
        <v>372501</v>
      </c>
      <c r="G40" s="88">
        <v>12694</v>
      </c>
      <c r="H40" s="43">
        <v>12050270</v>
      </c>
      <c r="I40" s="43"/>
      <c r="J40" s="43">
        <f>87285+1326272</f>
        <v>1413557</v>
      </c>
      <c r="K40" s="88">
        <v>0</v>
      </c>
      <c r="L40" s="43">
        <v>0</v>
      </c>
      <c r="M40" s="88">
        <v>248648</v>
      </c>
      <c r="N40" s="88">
        <f>38836174+837157</f>
        <v>39673331</v>
      </c>
      <c r="O40" s="88">
        <v>12333204</v>
      </c>
      <c r="P40" s="43">
        <v>5190781</v>
      </c>
      <c r="Q40" s="43">
        <v>252622</v>
      </c>
      <c r="R40" s="43">
        <v>0</v>
      </c>
      <c r="S40" s="88">
        <f>3811005+784731+530523+1058820+7760458+392+0</f>
        <v>13945929</v>
      </c>
      <c r="T40" s="88">
        <f t="shared" si="3"/>
        <v>105319204</v>
      </c>
    </row>
    <row r="41" spans="1:22" hidden="1" x14ac:dyDescent="0.25">
      <c r="A41" s="41">
        <v>44286</v>
      </c>
      <c r="B41" s="43">
        <v>19676756</v>
      </c>
      <c r="C41" s="43"/>
      <c r="D41" s="88">
        <v>0</v>
      </c>
      <c r="E41" s="43">
        <v>1362750</v>
      </c>
      <c r="F41" s="43">
        <v>456093</v>
      </c>
      <c r="G41" s="88">
        <v>7553</v>
      </c>
      <c r="H41" s="43">
        <v>13158991</v>
      </c>
      <c r="I41" s="43"/>
      <c r="J41" s="43">
        <f>87405+1426247</f>
        <v>1513652</v>
      </c>
      <c r="K41" s="88">
        <v>0</v>
      </c>
      <c r="L41" s="43">
        <v>0</v>
      </c>
      <c r="M41" s="88">
        <v>238893</v>
      </c>
      <c r="N41" s="88">
        <f>35300328+803484</f>
        <v>36103812</v>
      </c>
      <c r="O41" s="88">
        <v>10471909</v>
      </c>
      <c r="P41" s="43">
        <v>5382227</v>
      </c>
      <c r="Q41" s="43">
        <v>982292</v>
      </c>
      <c r="R41" s="43">
        <v>0</v>
      </c>
      <c r="S41" s="88">
        <f>3364783+632596+377681+1028372+7001034+1613489+22799</f>
        <v>14040754</v>
      </c>
      <c r="T41" s="88">
        <f t="shared" si="3"/>
        <v>103395682</v>
      </c>
    </row>
    <row r="42" spans="1:22" hidden="1" x14ac:dyDescent="0.25">
      <c r="A42" s="41">
        <v>44316</v>
      </c>
      <c r="B42" s="43">
        <v>13567783</v>
      </c>
      <c r="C42" s="43"/>
      <c r="D42" s="88">
        <v>0</v>
      </c>
      <c r="E42" s="43">
        <v>1066951</v>
      </c>
      <c r="F42" s="43">
        <v>426217</v>
      </c>
      <c r="G42" s="88">
        <v>3998</v>
      </c>
      <c r="H42" s="43">
        <v>9154067</v>
      </c>
      <c r="I42" s="43"/>
      <c r="J42" s="43">
        <f>58190+1098911</f>
        <v>1157101</v>
      </c>
      <c r="K42" s="88">
        <v>0</v>
      </c>
      <c r="L42" s="43">
        <v>0</v>
      </c>
      <c r="M42" s="88">
        <v>235545</v>
      </c>
      <c r="N42" s="88">
        <f>37852447+892361</f>
        <v>38744808</v>
      </c>
      <c r="O42" s="88">
        <v>15050505</v>
      </c>
      <c r="P42" s="43">
        <v>10973891</v>
      </c>
      <c r="Q42" s="43">
        <v>2069033</v>
      </c>
      <c r="R42" s="43">
        <v>0</v>
      </c>
      <c r="S42" s="88">
        <f>3445221+731231+344914+1102778+8979413+3832585+108012</f>
        <v>18544154</v>
      </c>
      <c r="T42" s="88">
        <f t="shared" si="3"/>
        <v>110994053</v>
      </c>
    </row>
    <row r="43" spans="1:22" hidden="1" x14ac:dyDescent="0.25">
      <c r="A43" s="41">
        <v>44347</v>
      </c>
      <c r="B43" s="43">
        <v>6623364</v>
      </c>
      <c r="C43" s="43"/>
      <c r="D43" s="88">
        <v>0</v>
      </c>
      <c r="E43" s="43">
        <v>680086</v>
      </c>
      <c r="F43" s="43">
        <v>286219</v>
      </c>
      <c r="G43" s="88">
        <v>2200</v>
      </c>
      <c r="H43" s="43">
        <v>4930955</v>
      </c>
      <c r="I43" s="43"/>
      <c r="J43" s="43">
        <f>35726+618462</f>
        <v>654188</v>
      </c>
      <c r="K43" s="88">
        <v>0</v>
      </c>
      <c r="L43" s="43">
        <v>0</v>
      </c>
      <c r="M43" s="88">
        <v>180576</v>
      </c>
      <c r="N43" s="88">
        <f>35494843+716055</f>
        <v>36210898</v>
      </c>
      <c r="O43" s="88">
        <v>6562711</v>
      </c>
      <c r="P43" s="43">
        <v>12896888</v>
      </c>
      <c r="Q43" s="43">
        <v>8378207</v>
      </c>
      <c r="R43" s="43">
        <v>0</v>
      </c>
      <c r="S43" s="88">
        <f>3529385+651362+244382+1083614+5907169+2326616+4777</f>
        <v>13747305</v>
      </c>
      <c r="T43" s="88">
        <f t="shared" si="3"/>
        <v>91153597</v>
      </c>
    </row>
    <row r="44" spans="1:22" hidden="1" x14ac:dyDescent="0.25">
      <c r="A44" s="41">
        <v>44377</v>
      </c>
      <c r="B44" s="43">
        <v>5165480</v>
      </c>
      <c r="C44" s="43"/>
      <c r="D44" s="88">
        <v>0</v>
      </c>
      <c r="E44" s="43">
        <v>585095</v>
      </c>
      <c r="F44" s="43">
        <v>448138</v>
      </c>
      <c r="G44" s="88">
        <v>3602</v>
      </c>
      <c r="H44" s="43">
        <v>4017478</v>
      </c>
      <c r="I44" s="43"/>
      <c r="J44" s="43">
        <f>22913+506621</f>
        <v>529534</v>
      </c>
      <c r="K44" s="88">
        <v>0</v>
      </c>
      <c r="L44" s="43">
        <v>0</v>
      </c>
      <c r="M44" s="88">
        <v>143789</v>
      </c>
      <c r="N44" s="88">
        <f>33561669+581610</f>
        <v>34143279</v>
      </c>
      <c r="O44" s="88">
        <v>364</v>
      </c>
      <c r="P44" s="43">
        <v>5871337</v>
      </c>
      <c r="Q44" s="43">
        <v>2903752</v>
      </c>
      <c r="R44" s="43">
        <v>0</v>
      </c>
      <c r="S44" s="88">
        <f>2947295+496918+305268+1112584+5745936+6639387+274441</f>
        <v>17521829</v>
      </c>
      <c r="T44" s="88">
        <f t="shared" si="3"/>
        <v>71333677</v>
      </c>
    </row>
    <row r="45" spans="1:22" hidden="1" x14ac:dyDescent="0.25">
      <c r="A45" s="41">
        <v>44408</v>
      </c>
      <c r="B45" s="43">
        <v>3043741</v>
      </c>
      <c r="C45" s="43"/>
      <c r="D45" s="88">
        <v>0</v>
      </c>
      <c r="E45" s="43">
        <v>496382</v>
      </c>
      <c r="F45" s="43">
        <v>260037</v>
      </c>
      <c r="G45" s="88">
        <v>1512</v>
      </c>
      <c r="H45" s="43">
        <v>2731524</v>
      </c>
      <c r="I45" s="43"/>
      <c r="J45" s="43">
        <f>3579+329987</f>
        <v>333566</v>
      </c>
      <c r="K45" s="88">
        <v>0</v>
      </c>
      <c r="L45" s="43">
        <v>0</v>
      </c>
      <c r="M45" s="88">
        <v>104510</v>
      </c>
      <c r="N45" s="88">
        <f>32316224+382999</f>
        <v>32699223</v>
      </c>
      <c r="O45" s="88">
        <v>10580854</v>
      </c>
      <c r="P45" s="43">
        <v>9297912</v>
      </c>
      <c r="Q45" s="43">
        <v>5368620</v>
      </c>
      <c r="R45" s="43">
        <v>0</v>
      </c>
      <c r="S45" s="88">
        <f>3187034+456697+220613+1091768+7240174+5347779+27594</f>
        <v>17571659</v>
      </c>
      <c r="T45" s="88">
        <f t="shared" si="3"/>
        <v>82489540</v>
      </c>
    </row>
    <row r="46" spans="1:22" hidden="1" x14ac:dyDescent="0.25">
      <c r="A46" s="41">
        <v>44439</v>
      </c>
      <c r="B46" s="43">
        <v>2658664</v>
      </c>
      <c r="C46" s="43"/>
      <c r="D46" s="88">
        <v>0</v>
      </c>
      <c r="E46" s="43">
        <v>465585</v>
      </c>
      <c r="F46" s="43">
        <v>315534</v>
      </c>
      <c r="G46" s="88">
        <v>1203</v>
      </c>
      <c r="H46" s="43">
        <v>2572912</v>
      </c>
      <c r="I46" s="43"/>
      <c r="J46" s="43">
        <f>3339+300630</f>
        <v>303969</v>
      </c>
      <c r="K46" s="88">
        <v>0</v>
      </c>
      <c r="L46" s="43">
        <v>0</v>
      </c>
      <c r="M46" s="88">
        <v>88811</v>
      </c>
      <c r="N46" s="88">
        <f>29267956+373243</f>
        <v>29641199</v>
      </c>
      <c r="O46" s="88">
        <v>14701743</v>
      </c>
      <c r="P46" s="43">
        <v>12217042</v>
      </c>
      <c r="Q46" s="43">
        <v>8620267</v>
      </c>
      <c r="R46" s="43">
        <v>0</v>
      </c>
      <c r="S46" s="88">
        <f>3150229+589887+231899+1057703+7874655+6774098+626809</f>
        <v>20305280</v>
      </c>
      <c r="T46" s="88">
        <f t="shared" si="3"/>
        <v>91892209</v>
      </c>
    </row>
    <row r="47" spans="1:22" hidden="1" x14ac:dyDescent="0.25">
      <c r="A47" s="41">
        <v>44469</v>
      </c>
      <c r="B47" s="43">
        <v>3024586</v>
      </c>
      <c r="C47" s="43"/>
      <c r="D47" s="88">
        <v>0</v>
      </c>
      <c r="E47" s="43">
        <v>585259</v>
      </c>
      <c r="F47" s="43">
        <v>292711</v>
      </c>
      <c r="G47" s="88">
        <v>1834</v>
      </c>
      <c r="H47" s="43">
        <v>2784423</v>
      </c>
      <c r="I47" s="43"/>
      <c r="J47" s="43">
        <f>3577+319073</f>
        <v>322650</v>
      </c>
      <c r="K47" s="88">
        <v>0</v>
      </c>
      <c r="L47" s="43">
        <v>0</v>
      </c>
      <c r="M47" s="88">
        <v>103033</v>
      </c>
      <c r="N47" s="88">
        <f>29965850+401833</f>
        <v>30367683</v>
      </c>
      <c r="O47" s="88">
        <v>14849398</v>
      </c>
      <c r="P47" s="43">
        <v>12371540</v>
      </c>
      <c r="Q47" s="43">
        <v>6769382</v>
      </c>
      <c r="R47" s="43">
        <v>0</v>
      </c>
      <c r="S47" s="88">
        <f>3198929+639207+263338+977831+8756668+7028098+1359828</f>
        <v>22223899</v>
      </c>
      <c r="T47" s="88">
        <f t="shared" si="3"/>
        <v>93696398</v>
      </c>
    </row>
    <row r="48" spans="1:22" hidden="1" x14ac:dyDescent="0.25">
      <c r="A48" s="41">
        <v>44500</v>
      </c>
      <c r="B48" s="43">
        <v>5302722</v>
      </c>
      <c r="C48" s="43"/>
      <c r="D48" s="88">
        <v>0</v>
      </c>
      <c r="E48" s="43">
        <v>1219426</v>
      </c>
      <c r="F48" s="43">
        <v>334722</v>
      </c>
      <c r="G48" s="88">
        <v>2215</v>
      </c>
      <c r="H48" s="43">
        <v>3968867</v>
      </c>
      <c r="I48" s="43"/>
      <c r="J48" s="43">
        <f>4202+497258</f>
        <v>501460</v>
      </c>
      <c r="K48" s="88">
        <v>0</v>
      </c>
      <c r="L48" s="43">
        <v>0</v>
      </c>
      <c r="M48" s="88">
        <v>127498</v>
      </c>
      <c r="N48" s="88">
        <f>31832574+419083</f>
        <v>32251657</v>
      </c>
      <c r="O48" s="88">
        <v>13988315</v>
      </c>
      <c r="P48" s="43">
        <v>13923327</v>
      </c>
      <c r="Q48" s="43">
        <v>4789501</v>
      </c>
      <c r="R48" s="43">
        <v>0</v>
      </c>
      <c r="S48" s="88">
        <f>3209502+603823+243842+985969+7797525+7613521+91332</f>
        <v>20545514</v>
      </c>
      <c r="T48" s="88">
        <f t="shared" si="3"/>
        <v>96955224</v>
      </c>
    </row>
    <row r="49" spans="1:22" x14ac:dyDescent="0.25">
      <c r="A49" s="41">
        <v>44530</v>
      </c>
      <c r="B49" s="43">
        <v>6875152</v>
      </c>
      <c r="C49" s="160"/>
      <c r="D49" s="88">
        <v>0</v>
      </c>
      <c r="E49" s="43">
        <v>687044</v>
      </c>
      <c r="F49" s="43">
        <v>274192</v>
      </c>
      <c r="G49" s="88">
        <v>3066</v>
      </c>
      <c r="H49" s="43">
        <v>4648667</v>
      </c>
      <c r="I49" s="160"/>
      <c r="J49" s="43">
        <f>554223+32136</f>
        <v>586359</v>
      </c>
      <c r="K49" s="88">
        <v>0</v>
      </c>
      <c r="L49" s="43">
        <v>0</v>
      </c>
      <c r="M49" s="88">
        <v>188282</v>
      </c>
      <c r="N49" s="88">
        <f>35464781+657384</f>
        <v>36122165</v>
      </c>
      <c r="O49" s="88">
        <v>10167896</v>
      </c>
      <c r="P49" s="43">
        <v>10295353</v>
      </c>
      <c r="Q49" s="43">
        <v>4268420</v>
      </c>
      <c r="R49" s="43">
        <v>0</v>
      </c>
      <c r="S49" s="88">
        <f>3489129+715779+352263+1090501+8044363+2039975+0</f>
        <v>15732010</v>
      </c>
      <c r="T49" s="88">
        <f t="shared" si="3"/>
        <v>89848606</v>
      </c>
      <c r="V49" s="40" t="s">
        <v>45</v>
      </c>
    </row>
    <row r="50" spans="1:22" x14ac:dyDescent="0.25">
      <c r="A50" s="41">
        <v>44530</v>
      </c>
      <c r="B50" s="43">
        <v>3055417</v>
      </c>
      <c r="C50" s="160"/>
      <c r="D50" s="88">
        <v>0</v>
      </c>
      <c r="E50" s="43">
        <v>241794</v>
      </c>
      <c r="F50" s="43">
        <v>98046</v>
      </c>
      <c r="G50" s="88">
        <v>0</v>
      </c>
      <c r="H50" s="43">
        <v>1834948</v>
      </c>
      <c r="I50" s="160"/>
      <c r="J50" s="43">
        <v>233326</v>
      </c>
      <c r="K50" s="88">
        <v>0</v>
      </c>
      <c r="L50" s="43">
        <v>0</v>
      </c>
      <c r="M50" s="88">
        <v>0</v>
      </c>
      <c r="N50" s="88">
        <v>0</v>
      </c>
      <c r="O50" s="88">
        <v>0</v>
      </c>
      <c r="P50" s="43">
        <v>0</v>
      </c>
      <c r="Q50" s="43">
        <v>0</v>
      </c>
      <c r="R50" s="43">
        <v>0</v>
      </c>
      <c r="S50" s="88">
        <v>0</v>
      </c>
      <c r="T50" s="88">
        <f t="shared" si="3"/>
        <v>5463531</v>
      </c>
      <c r="U50" s="127"/>
      <c r="V50" s="40" t="s">
        <v>46</v>
      </c>
    </row>
    <row r="51" spans="1:22" x14ac:dyDescent="0.25">
      <c r="A51" s="41">
        <v>44561</v>
      </c>
      <c r="B51" s="43">
        <v>16399782</v>
      </c>
      <c r="C51" s="160"/>
      <c r="D51" s="88">
        <v>0</v>
      </c>
      <c r="E51" s="43">
        <v>1371971</v>
      </c>
      <c r="F51" s="43">
        <v>456838</v>
      </c>
      <c r="G51" s="88">
        <v>5052</v>
      </c>
      <c r="H51" s="43">
        <v>10769619</v>
      </c>
      <c r="I51" s="160"/>
      <c r="J51" s="43">
        <f>80816+1147081</f>
        <v>1227897</v>
      </c>
      <c r="K51" s="88">
        <v>0</v>
      </c>
      <c r="L51" s="43">
        <v>0</v>
      </c>
      <c r="M51" s="88">
        <v>215369</v>
      </c>
      <c r="N51" s="88">
        <f>33885258+793950</f>
        <v>34679208</v>
      </c>
      <c r="O51" s="88">
        <v>13522374</v>
      </c>
      <c r="P51" s="43">
        <v>7960245</v>
      </c>
      <c r="Q51" s="43">
        <v>449463</v>
      </c>
      <c r="R51" s="43">
        <v>0</v>
      </c>
      <c r="S51" s="88">
        <f>3533155+694755+347700+963439+8163208+1976757+83980</f>
        <v>15762994</v>
      </c>
      <c r="T51" s="88">
        <f t="shared" si="3"/>
        <v>102820812</v>
      </c>
    </row>
    <row r="52" spans="1:22" x14ac:dyDescent="0.25">
      <c r="A52" s="41">
        <v>44592</v>
      </c>
      <c r="B52" s="43">
        <v>25738243</v>
      </c>
      <c r="C52" s="160"/>
      <c r="D52" s="88">
        <v>0</v>
      </c>
      <c r="E52" s="43">
        <v>1704248</v>
      </c>
      <c r="F52" s="43">
        <v>503777</v>
      </c>
      <c r="G52" s="88">
        <v>14032</v>
      </c>
      <c r="H52" s="43">
        <v>17429567</v>
      </c>
      <c r="I52" s="160"/>
      <c r="J52" s="43">
        <f>159651+1625702</f>
        <v>1785353</v>
      </c>
      <c r="K52" s="88">
        <v>0</v>
      </c>
      <c r="L52" s="43">
        <v>0</v>
      </c>
      <c r="M52" s="88">
        <v>271190</v>
      </c>
      <c r="N52" s="88">
        <f>32981298+997948</f>
        <v>33979246</v>
      </c>
      <c r="O52" s="88">
        <v>10372937</v>
      </c>
      <c r="P52" s="43">
        <v>8559438</v>
      </c>
      <c r="Q52" s="43">
        <v>490739</v>
      </c>
      <c r="R52" s="43">
        <v>0</v>
      </c>
      <c r="S52" s="88">
        <f>4107572+589753+414872+1150132+647984+9954381+3235802+43983+53595</f>
        <v>20198074</v>
      </c>
      <c r="T52" s="88">
        <f t="shared" si="3"/>
        <v>121046844</v>
      </c>
    </row>
    <row r="53" spans="1:22" x14ac:dyDescent="0.25">
      <c r="A53" s="41">
        <v>44620</v>
      </c>
      <c r="B53" s="43">
        <v>19530273</v>
      </c>
      <c r="C53" s="160"/>
      <c r="D53" s="88">
        <v>0</v>
      </c>
      <c r="E53" s="43">
        <v>1365177</v>
      </c>
      <c r="F53" s="43">
        <v>438477</v>
      </c>
      <c r="G53" s="88">
        <v>12713</v>
      </c>
      <c r="H53" s="43">
        <v>13856753</v>
      </c>
      <c r="I53" s="160"/>
      <c r="J53" s="43">
        <f>180786+1319458</f>
        <v>1500244</v>
      </c>
      <c r="K53" s="88">
        <v>0</v>
      </c>
      <c r="L53" s="43">
        <v>0</v>
      </c>
      <c r="M53" s="88">
        <v>257267</v>
      </c>
      <c r="N53" s="88">
        <f>38324680+986660</f>
        <v>39311340</v>
      </c>
      <c r="O53" s="88">
        <v>2783061</v>
      </c>
      <c r="P53" s="43">
        <v>5418332</v>
      </c>
      <c r="Q53" s="43">
        <v>479370</v>
      </c>
      <c r="R53" s="43">
        <v>0</v>
      </c>
      <c r="S53" s="88">
        <f>4311103+736280+456725+1244873+638281+9719150+1057680+8109</f>
        <v>18172201</v>
      </c>
      <c r="T53" s="88">
        <f t="shared" si="3"/>
        <v>103125208</v>
      </c>
    </row>
    <row r="54" spans="1:22" x14ac:dyDescent="0.25">
      <c r="A54" s="41">
        <v>44651</v>
      </c>
      <c r="B54" s="43">
        <v>18863108</v>
      </c>
      <c r="C54" s="160"/>
      <c r="D54" s="88">
        <v>0</v>
      </c>
      <c r="E54" s="43">
        <v>1544890</v>
      </c>
      <c r="F54" s="43">
        <v>507616</v>
      </c>
      <c r="G54" s="88">
        <v>6643</v>
      </c>
      <c r="H54" s="43">
        <v>13353929</v>
      </c>
      <c r="I54" s="160"/>
      <c r="J54" s="43">
        <f>133148+1299201</f>
        <v>1432349</v>
      </c>
      <c r="K54" s="88">
        <v>0</v>
      </c>
      <c r="L54" s="43">
        <v>0</v>
      </c>
      <c r="M54" s="88">
        <v>227538</v>
      </c>
      <c r="N54" s="88">
        <f>34267113+761340</f>
        <v>35028453</v>
      </c>
      <c r="O54" s="88">
        <v>8980650</v>
      </c>
      <c r="P54" s="43">
        <v>3610543</v>
      </c>
      <c r="Q54" s="43">
        <v>449992</v>
      </c>
      <c r="R54" s="43">
        <v>0</v>
      </c>
      <c r="S54" s="88">
        <f>4034894+673405+388059+1097465+568224+7919514+1019658+9521+52343</f>
        <v>15763083</v>
      </c>
      <c r="T54" s="88">
        <f t="shared" si="3"/>
        <v>99768794</v>
      </c>
    </row>
    <row r="55" spans="1:22" x14ac:dyDescent="0.25">
      <c r="A55" s="41">
        <v>44681</v>
      </c>
      <c r="B55" s="43">
        <v>12434900</v>
      </c>
      <c r="C55" s="160"/>
      <c r="D55" s="88">
        <v>0</v>
      </c>
      <c r="E55" s="43">
        <v>1036159</v>
      </c>
      <c r="F55" s="43">
        <v>377750</v>
      </c>
      <c r="G55" s="88">
        <v>5669</v>
      </c>
      <c r="H55" s="43">
        <v>8644689</v>
      </c>
      <c r="I55" s="160"/>
      <c r="J55" s="43">
        <f>88207+901666</f>
        <v>989873</v>
      </c>
      <c r="K55" s="88">
        <v>0</v>
      </c>
      <c r="L55" s="43">
        <v>0</v>
      </c>
      <c r="M55" s="88">
        <v>220931</v>
      </c>
      <c r="N55" s="88">
        <f>36296402+757801</f>
        <v>37054203</v>
      </c>
      <c r="O55" s="88">
        <v>10732336</v>
      </c>
      <c r="P55" s="43">
        <v>399625</v>
      </c>
      <c r="Q55" s="43">
        <v>162178</v>
      </c>
      <c r="R55" s="43">
        <v>0</v>
      </c>
      <c r="S55" s="88">
        <f>3674484+715773+350705+1162285+619124+8089416+0+0</f>
        <v>14611787</v>
      </c>
      <c r="T55" s="88">
        <f t="shared" si="3"/>
        <v>86670100</v>
      </c>
    </row>
    <row r="56" spans="1:22" x14ac:dyDescent="0.25">
      <c r="A56" s="41">
        <v>44712</v>
      </c>
      <c r="B56" s="43">
        <v>10496103</v>
      </c>
      <c r="C56" s="160"/>
      <c r="D56" s="88">
        <v>0</v>
      </c>
      <c r="E56" s="43">
        <v>1008957</v>
      </c>
      <c r="F56" s="43">
        <v>328009</v>
      </c>
      <c r="G56" s="88">
        <v>10961</v>
      </c>
      <c r="H56" s="43">
        <v>7572813</v>
      </c>
      <c r="I56" s="160"/>
      <c r="J56" s="43">
        <f>80848+819290</f>
        <v>900138</v>
      </c>
      <c r="K56" s="88">
        <v>0</v>
      </c>
      <c r="L56" s="43">
        <v>0</v>
      </c>
      <c r="M56" s="88">
        <v>211682</v>
      </c>
      <c r="N56" s="88">
        <f>36907197+804834</f>
        <v>37712031</v>
      </c>
      <c r="O56" s="88">
        <v>8681518</v>
      </c>
      <c r="P56" s="43">
        <v>0</v>
      </c>
      <c r="Q56" s="43">
        <v>4411828</v>
      </c>
      <c r="R56" s="43">
        <v>0</v>
      </c>
      <c r="S56" s="88">
        <f>3715725+712231+412738+1126258+590373+5281024+1491537+0</f>
        <v>13329886</v>
      </c>
      <c r="T56" s="88">
        <f t="shared" si="3"/>
        <v>84663926</v>
      </c>
    </row>
    <row r="57" spans="1:22" x14ac:dyDescent="0.25">
      <c r="A57" s="41">
        <v>44742</v>
      </c>
      <c r="B57" s="43">
        <v>6329476</v>
      </c>
      <c r="C57" s="160"/>
      <c r="D57" s="88">
        <v>0</v>
      </c>
      <c r="E57" s="43">
        <v>757107</v>
      </c>
      <c r="F57" s="43">
        <v>387432</v>
      </c>
      <c r="G57" s="88">
        <v>5884</v>
      </c>
      <c r="H57" s="43">
        <v>4956571</v>
      </c>
      <c r="I57" s="160"/>
      <c r="J57" s="43">
        <f>41296+579466</f>
        <v>620762</v>
      </c>
      <c r="K57" s="88">
        <v>0</v>
      </c>
      <c r="L57" s="43">
        <v>0</v>
      </c>
      <c r="M57" s="88">
        <v>179840</v>
      </c>
      <c r="N57" s="88">
        <f>39555314-4308583</f>
        <v>35246731</v>
      </c>
      <c r="O57" s="88">
        <v>6981169</v>
      </c>
      <c r="P57" s="43">
        <v>0</v>
      </c>
      <c r="Q57" s="43">
        <v>782753</v>
      </c>
      <c r="R57" s="43">
        <v>0</v>
      </c>
      <c r="S57" s="88">
        <f>3579442+540138+276680+1123222+609109+5758697+1825895+21006</f>
        <v>13734189</v>
      </c>
      <c r="T57" s="88">
        <f t="shared" si="3"/>
        <v>69981914</v>
      </c>
    </row>
    <row r="58" spans="1:22" x14ac:dyDescent="0.25">
      <c r="A58" s="41">
        <v>44773</v>
      </c>
      <c r="B58" s="43">
        <v>3569632</v>
      </c>
      <c r="C58" s="43">
        <v>1155568</v>
      </c>
      <c r="D58" s="88">
        <v>0</v>
      </c>
      <c r="E58" s="43">
        <v>510625</v>
      </c>
      <c r="F58" s="43">
        <v>380485</v>
      </c>
      <c r="G58" s="88">
        <v>2608</v>
      </c>
      <c r="H58" s="43">
        <v>3138892</v>
      </c>
      <c r="I58" s="43">
        <v>1121403</v>
      </c>
      <c r="J58" s="43">
        <v>366335</v>
      </c>
      <c r="K58" s="88">
        <v>0</v>
      </c>
      <c r="L58" s="43">
        <v>0</v>
      </c>
      <c r="M58" s="88">
        <v>115112</v>
      </c>
      <c r="N58" s="88">
        <v>31307602</v>
      </c>
      <c r="O58" s="88">
        <v>1361467</v>
      </c>
      <c r="P58" s="43">
        <v>1217442</v>
      </c>
      <c r="Q58" s="43">
        <v>621285</v>
      </c>
      <c r="R58" s="43">
        <v>0</v>
      </c>
      <c r="S58" s="88">
        <f>3175626+365328+236238+1026480+568762+7435483+392070+32468</f>
        <v>13232455</v>
      </c>
      <c r="T58" s="88">
        <f>SUM(B58:S58)-C58-I58</f>
        <v>55823940</v>
      </c>
    </row>
    <row r="59" spans="1:22" x14ac:dyDescent="0.25">
      <c r="A59" s="41">
        <v>44804</v>
      </c>
      <c r="B59" s="43">
        <v>2816437</v>
      </c>
      <c r="C59" s="43">
        <v>1269341</v>
      </c>
      <c r="D59" s="88">
        <v>0</v>
      </c>
      <c r="E59" s="43">
        <v>477547</v>
      </c>
      <c r="F59" s="43">
        <v>353311</v>
      </c>
      <c r="G59" s="88">
        <v>1405</v>
      </c>
      <c r="H59" s="43">
        <v>2722770</v>
      </c>
      <c r="I59" s="43">
        <v>1362124</v>
      </c>
      <c r="J59" s="43">
        <f>7393+326074</f>
        <v>333467</v>
      </c>
      <c r="K59" s="88">
        <v>0</v>
      </c>
      <c r="L59" s="43">
        <v>0</v>
      </c>
      <c r="M59" s="88">
        <v>88882</v>
      </c>
      <c r="N59" s="88">
        <v>29708765</v>
      </c>
      <c r="O59" s="88">
        <v>13174665</v>
      </c>
      <c r="P59" s="43">
        <v>7356565</v>
      </c>
      <c r="Q59" s="43">
        <v>0</v>
      </c>
      <c r="R59" s="43">
        <v>0</v>
      </c>
      <c r="S59" s="88">
        <f>3289819+583533+223755+1000803+527314+7475514+3312291+28212</f>
        <v>16441241</v>
      </c>
      <c r="T59" s="88">
        <f t="shared" ref="T59:T61" si="4">SUM(B59:S59)-C59-I59</f>
        <v>73475055</v>
      </c>
      <c r="U59" s="127"/>
    </row>
    <row r="60" spans="1:22" x14ac:dyDescent="0.25">
      <c r="A60" s="41">
        <v>44834</v>
      </c>
      <c r="B60" s="43"/>
      <c r="C60" s="43"/>
      <c r="D60" s="88"/>
      <c r="E60" s="43"/>
      <c r="F60" s="43"/>
      <c r="G60" s="88"/>
      <c r="H60" s="43"/>
      <c r="I60" s="43"/>
      <c r="J60" s="43"/>
      <c r="K60" s="88"/>
      <c r="L60" s="43"/>
      <c r="M60" s="88"/>
      <c r="N60" s="88"/>
      <c r="O60" s="88"/>
      <c r="P60" s="43"/>
      <c r="Q60" s="43"/>
      <c r="R60" s="43"/>
      <c r="S60" s="88"/>
      <c r="T60" s="88">
        <f t="shared" si="4"/>
        <v>0</v>
      </c>
      <c r="U60" s="127"/>
    </row>
    <row r="61" spans="1:22" x14ac:dyDescent="0.25">
      <c r="A61" s="41">
        <v>44865</v>
      </c>
      <c r="B61" s="43"/>
      <c r="C61" s="43"/>
      <c r="D61" s="88"/>
      <c r="E61" s="43"/>
      <c r="F61" s="43"/>
      <c r="G61" s="88"/>
      <c r="H61" s="43"/>
      <c r="I61" s="43"/>
      <c r="J61" s="43"/>
      <c r="K61" s="88"/>
      <c r="L61" s="43"/>
      <c r="M61" s="88"/>
      <c r="N61" s="88"/>
      <c r="O61" s="88"/>
      <c r="P61" s="43"/>
      <c r="Q61" s="43"/>
      <c r="R61" s="43"/>
      <c r="S61" s="88"/>
      <c r="T61" s="88">
        <f t="shared" si="4"/>
        <v>0</v>
      </c>
      <c r="U61" s="127"/>
    </row>
    <row r="62" spans="1:22" s="124" customFormat="1" x14ac:dyDescent="0.25">
      <c r="A62" s="121"/>
      <c r="B62" s="122" t="s">
        <v>47</v>
      </c>
      <c r="C62" s="122" t="s">
        <v>48</v>
      </c>
      <c r="D62" s="123"/>
      <c r="E62" s="122" t="s">
        <v>47</v>
      </c>
      <c r="F62" s="122" t="s">
        <v>47</v>
      </c>
      <c r="G62" s="122" t="s">
        <v>47</v>
      </c>
      <c r="H62" s="122" t="s">
        <v>47</v>
      </c>
      <c r="I62" s="122" t="s">
        <v>48</v>
      </c>
      <c r="J62" s="122" t="s">
        <v>47</v>
      </c>
      <c r="K62" s="122" t="s">
        <v>47</v>
      </c>
      <c r="L62" s="123"/>
      <c r="M62" s="122" t="s">
        <v>47</v>
      </c>
      <c r="N62" s="122" t="s">
        <v>47</v>
      </c>
      <c r="O62" s="122" t="s">
        <v>47</v>
      </c>
      <c r="P62" s="122" t="s">
        <v>47</v>
      </c>
      <c r="Q62" s="122" t="s">
        <v>47</v>
      </c>
      <c r="R62" s="123"/>
      <c r="S62" s="123"/>
      <c r="T62" s="123"/>
      <c r="U62" s="123"/>
    </row>
    <row r="63" spans="1:22" x14ac:dyDescent="0.25">
      <c r="A63" s="41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spans="1:22" x14ac:dyDescent="0.25">
      <c r="A64" s="41"/>
      <c r="B64" s="184" t="s">
        <v>49</v>
      </c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25">
      <c r="B65" s="56">
        <v>4800</v>
      </c>
      <c r="C65" s="56"/>
      <c r="D65" s="179">
        <v>4809</v>
      </c>
      <c r="E65" s="180"/>
      <c r="F65" s="180"/>
      <c r="G65" s="179">
        <v>4810</v>
      </c>
      <c r="H65" s="180"/>
      <c r="I65" s="180"/>
      <c r="J65" s="180"/>
      <c r="K65" s="179">
        <v>4811</v>
      </c>
      <c r="L65" s="180"/>
      <c r="M65" s="90">
        <v>4813</v>
      </c>
      <c r="N65" s="90">
        <v>4861</v>
      </c>
      <c r="O65" s="179">
        <v>4863</v>
      </c>
      <c r="P65" s="180"/>
      <c r="Q65" s="180"/>
      <c r="R65" s="56"/>
      <c r="S65" s="90"/>
      <c r="T65" s="93"/>
      <c r="U65" s="50"/>
    </row>
    <row r="66" spans="1:21" x14ac:dyDescent="0.25">
      <c r="B66" s="42">
        <v>503</v>
      </c>
      <c r="C66" s="42"/>
      <c r="D66" s="87" t="s">
        <v>38</v>
      </c>
      <c r="E66" s="42">
        <v>505</v>
      </c>
      <c r="F66" s="42">
        <v>511</v>
      </c>
      <c r="G66" s="87" t="s">
        <v>39</v>
      </c>
      <c r="H66" s="42">
        <v>504</v>
      </c>
      <c r="I66" s="42"/>
      <c r="J66" s="42" t="s">
        <v>41</v>
      </c>
      <c r="K66" s="87" t="s">
        <v>38</v>
      </c>
      <c r="L66" s="42">
        <v>570</v>
      </c>
      <c r="M66" s="87">
        <v>570</v>
      </c>
      <c r="N66" s="125" t="s">
        <v>42</v>
      </c>
      <c r="O66" s="92">
        <v>6631</v>
      </c>
      <c r="P66" s="51">
        <v>6633</v>
      </c>
      <c r="Q66" s="51">
        <v>6635</v>
      </c>
      <c r="R66" s="51">
        <v>916</v>
      </c>
      <c r="S66" s="92" t="s">
        <v>50</v>
      </c>
      <c r="T66" s="94" t="s">
        <v>51</v>
      </c>
      <c r="U66" s="50"/>
    </row>
    <row r="67" spans="1:21" hidden="1" x14ac:dyDescent="0.25">
      <c r="A67" s="41">
        <v>43343</v>
      </c>
      <c r="B67" s="43">
        <f>+F214</f>
        <v>0</v>
      </c>
      <c r="C67" s="43"/>
      <c r="D67" s="89">
        <v>0</v>
      </c>
      <c r="E67" s="43">
        <v>0</v>
      </c>
      <c r="F67" s="43">
        <v>0</v>
      </c>
      <c r="G67" s="88">
        <v>158</v>
      </c>
      <c r="H67" s="43">
        <f>+F216</f>
        <v>0</v>
      </c>
      <c r="I67" s="43"/>
      <c r="J67" s="43">
        <v>0</v>
      </c>
      <c r="K67" s="89">
        <v>359</v>
      </c>
      <c r="L67" s="43">
        <v>0</v>
      </c>
      <c r="M67" s="88">
        <v>93391</v>
      </c>
      <c r="N67" s="88">
        <v>26924983</v>
      </c>
      <c r="O67" s="88">
        <v>0</v>
      </c>
      <c r="P67" s="43">
        <v>12762544</v>
      </c>
      <c r="Q67" s="43">
        <v>5293486</v>
      </c>
      <c r="R67" s="43">
        <v>14392902</v>
      </c>
      <c r="S67" s="88">
        <f>2073946+1569259+710981+336820+970764+4069426+6558487+1275763</f>
        <v>17565446</v>
      </c>
      <c r="T67" s="88">
        <f>SUM(B67:S67)+E214+E215+E216+E217</f>
        <v>77033269</v>
      </c>
      <c r="U67" s="43"/>
    </row>
    <row r="68" spans="1:21" hidden="1" x14ac:dyDescent="0.25">
      <c r="A68" s="41">
        <v>43373</v>
      </c>
      <c r="B68" s="43"/>
      <c r="C68" s="43"/>
      <c r="D68" s="88"/>
      <c r="E68" s="43"/>
      <c r="F68" s="43"/>
      <c r="G68" s="88">
        <v>501</v>
      </c>
      <c r="H68" s="43"/>
      <c r="I68" s="43"/>
      <c r="J68" s="43"/>
      <c r="K68" s="88">
        <v>188</v>
      </c>
      <c r="L68" s="43"/>
      <c r="M68" s="88">
        <v>118645</v>
      </c>
      <c r="N68" s="88">
        <v>30461110</v>
      </c>
      <c r="O68" s="88">
        <v>15312916</v>
      </c>
      <c r="P68" s="43">
        <v>14381027</v>
      </c>
      <c r="Q68" s="43">
        <v>2080893</v>
      </c>
      <c r="R68" s="43">
        <v>0</v>
      </c>
      <c r="S68" s="88">
        <v>9407603</v>
      </c>
      <c r="T68" s="88">
        <f t="shared" ref="T68:T83" si="5">SUM(B68:S68)</f>
        <v>71762883</v>
      </c>
      <c r="U68" s="43"/>
    </row>
    <row r="69" spans="1:21" hidden="1" x14ac:dyDescent="0.25">
      <c r="A69" s="41">
        <v>43404</v>
      </c>
      <c r="B69" s="43"/>
      <c r="C69" s="43"/>
      <c r="D69" s="88"/>
      <c r="E69" s="43"/>
      <c r="F69" s="43"/>
      <c r="G69" s="88">
        <v>2079</v>
      </c>
      <c r="H69" s="43"/>
      <c r="I69" s="43"/>
      <c r="J69" s="43"/>
      <c r="K69" s="88">
        <v>21</v>
      </c>
      <c r="L69" s="43"/>
      <c r="M69" s="88">
        <v>197742</v>
      </c>
      <c r="N69" s="88">
        <v>32448578</v>
      </c>
      <c r="O69" s="88">
        <v>7714309</v>
      </c>
      <c r="P69" s="43">
        <v>4034082</v>
      </c>
      <c r="Q69" s="43">
        <v>2001543</v>
      </c>
      <c r="R69" s="43">
        <v>0</v>
      </c>
      <c r="S69" s="88">
        <v>12455009</v>
      </c>
      <c r="T69" s="88">
        <f t="shared" si="5"/>
        <v>58853363</v>
      </c>
      <c r="U69" s="43"/>
    </row>
    <row r="70" spans="1:21" hidden="1" x14ac:dyDescent="0.25">
      <c r="A70" s="41">
        <v>43434</v>
      </c>
      <c r="B70" s="43"/>
      <c r="C70" s="43"/>
      <c r="D70" s="96">
        <v>63</v>
      </c>
      <c r="E70" s="43"/>
      <c r="F70" s="43"/>
      <c r="G70" s="88">
        <v>3464</v>
      </c>
      <c r="H70" s="43"/>
      <c r="I70" s="43"/>
      <c r="J70" s="43"/>
      <c r="K70" s="96"/>
      <c r="L70" s="43"/>
      <c r="M70" s="88">
        <v>217688</v>
      </c>
      <c r="N70" s="88">
        <v>25948738</v>
      </c>
      <c r="O70" s="88">
        <v>76766</v>
      </c>
      <c r="P70" s="43">
        <v>28205</v>
      </c>
      <c r="Q70" s="43">
        <v>33898</v>
      </c>
      <c r="R70" s="43"/>
      <c r="S70" s="88">
        <v>12530783</v>
      </c>
      <c r="T70" s="88">
        <f t="shared" si="5"/>
        <v>38839605</v>
      </c>
      <c r="U70" s="43" t="s">
        <v>52</v>
      </c>
    </row>
    <row r="71" spans="1:21" hidden="1" x14ac:dyDescent="0.25">
      <c r="A71" s="41">
        <v>43465</v>
      </c>
      <c r="B71" s="43"/>
      <c r="C71" s="43"/>
      <c r="D71" s="88"/>
      <c r="E71" s="43"/>
      <c r="F71" s="43"/>
      <c r="G71" s="88">
        <v>4915</v>
      </c>
      <c r="H71" s="43"/>
      <c r="I71" s="43"/>
      <c r="J71" s="43"/>
      <c r="K71" s="88">
        <v>79</v>
      </c>
      <c r="L71" s="43"/>
      <c r="M71" s="88">
        <v>260482</v>
      </c>
      <c r="N71" s="88">
        <v>29346851</v>
      </c>
      <c r="O71" s="88">
        <v>14382579</v>
      </c>
      <c r="P71" s="43">
        <v>4450625</v>
      </c>
      <c r="Q71" s="43">
        <v>57483</v>
      </c>
      <c r="R71" s="43">
        <v>0</v>
      </c>
      <c r="S71" s="88">
        <v>14281508</v>
      </c>
      <c r="T71" s="88">
        <f t="shared" si="5"/>
        <v>62784522</v>
      </c>
      <c r="U71" s="43"/>
    </row>
    <row r="72" spans="1:21" hidden="1" x14ac:dyDescent="0.25">
      <c r="A72" s="41">
        <v>43496</v>
      </c>
      <c r="B72" s="43"/>
      <c r="C72" s="43"/>
      <c r="D72" s="88"/>
      <c r="E72" s="43"/>
      <c r="F72" s="43"/>
      <c r="G72" s="88">
        <v>4626</v>
      </c>
      <c r="H72" s="43"/>
      <c r="I72" s="43"/>
      <c r="J72" s="43"/>
      <c r="K72" s="88">
        <v>7</v>
      </c>
      <c r="L72" s="43"/>
      <c r="M72" s="88">
        <v>258811</v>
      </c>
      <c r="N72" s="88">
        <v>31076934</v>
      </c>
      <c r="O72" s="88">
        <v>14944499</v>
      </c>
      <c r="P72" s="43">
        <v>4088088</v>
      </c>
      <c r="Q72" s="43">
        <v>106086</v>
      </c>
      <c r="R72" s="43">
        <v>0</v>
      </c>
      <c r="S72" s="88">
        <f>3202152+2041529+835418+564041+1220699+7679533+0+0</f>
        <v>15543372</v>
      </c>
      <c r="T72" s="88">
        <f t="shared" si="5"/>
        <v>66022423</v>
      </c>
      <c r="U72" s="43"/>
    </row>
    <row r="73" spans="1:21" hidden="1" x14ac:dyDescent="0.25">
      <c r="A73" s="41">
        <v>43524</v>
      </c>
      <c r="B73" s="43"/>
      <c r="C73" s="43"/>
      <c r="D73" s="88"/>
      <c r="E73" s="43"/>
      <c r="F73" s="43"/>
      <c r="G73" s="88">
        <v>5486</v>
      </c>
      <c r="H73" s="43"/>
      <c r="I73" s="43"/>
      <c r="J73" s="43"/>
      <c r="K73" s="88">
        <v>0</v>
      </c>
      <c r="L73" s="43"/>
      <c r="M73" s="88">
        <v>270184</v>
      </c>
      <c r="N73" s="88">
        <v>30225230</v>
      </c>
      <c r="O73" s="88">
        <v>7408861</v>
      </c>
      <c r="P73" s="43">
        <v>5846716</v>
      </c>
      <c r="Q73" s="43">
        <v>228696</v>
      </c>
      <c r="R73" s="43">
        <v>0</v>
      </c>
      <c r="S73" s="88">
        <f>2316555+2359414+735036+538901+1078245+7686555+2483404+39201</f>
        <v>17237311</v>
      </c>
      <c r="T73" s="88">
        <f t="shared" si="5"/>
        <v>61222484</v>
      </c>
      <c r="U73" s="43"/>
    </row>
    <row r="74" spans="1:21" hidden="1" x14ac:dyDescent="0.25">
      <c r="A74" s="41">
        <v>43555</v>
      </c>
      <c r="B74" s="43"/>
      <c r="C74" s="43"/>
      <c r="D74" s="88"/>
      <c r="E74" s="43"/>
      <c r="F74" s="43"/>
      <c r="G74" s="88">
        <v>3527</v>
      </c>
      <c r="H74" s="43"/>
      <c r="I74" s="43"/>
      <c r="J74" s="43"/>
      <c r="K74" s="88">
        <v>0</v>
      </c>
      <c r="L74" s="43"/>
      <c r="M74" s="88">
        <v>248145</v>
      </c>
      <c r="N74" s="88">
        <v>29441177</v>
      </c>
      <c r="O74" s="88">
        <v>9817659</v>
      </c>
      <c r="P74" s="43">
        <v>3088142</v>
      </c>
      <c r="Q74" s="43">
        <v>0</v>
      </c>
      <c r="R74" s="43"/>
      <c r="S74" s="88">
        <f>2298407+2520690+848257+538257+1154609+9312929+334503+112350</f>
        <v>17120002</v>
      </c>
      <c r="T74" s="88">
        <f t="shared" si="5"/>
        <v>59718652</v>
      </c>
      <c r="U74" s="43"/>
    </row>
    <row r="75" spans="1:21" hidden="1" x14ac:dyDescent="0.25">
      <c r="A75" s="41">
        <v>43585</v>
      </c>
      <c r="B75" s="43"/>
      <c r="C75" s="43"/>
      <c r="D75" s="88"/>
      <c r="E75" s="43"/>
      <c r="F75" s="43"/>
      <c r="G75" s="88">
        <v>2258</v>
      </c>
      <c r="H75" s="43"/>
      <c r="I75" s="43"/>
      <c r="J75" s="43"/>
      <c r="K75" s="88">
        <v>128</v>
      </c>
      <c r="L75" s="43"/>
      <c r="M75" s="88">
        <v>191467</v>
      </c>
      <c r="N75" s="88">
        <v>27836882</v>
      </c>
      <c r="O75" s="88">
        <v>7594206</v>
      </c>
      <c r="P75" s="43">
        <v>2551096</v>
      </c>
      <c r="Q75" s="43">
        <v>24270</v>
      </c>
      <c r="R75" s="43">
        <v>0</v>
      </c>
      <c r="S75" s="88">
        <f>2069826+2845634+769998+397319+1061450+8371884+0+8745</f>
        <v>15524856</v>
      </c>
      <c r="T75" s="88">
        <f t="shared" si="5"/>
        <v>53725163</v>
      </c>
      <c r="U75" s="43"/>
    </row>
    <row r="76" spans="1:21" hidden="1" x14ac:dyDescent="0.25">
      <c r="A76" s="41">
        <v>43616</v>
      </c>
      <c r="B76" s="43"/>
      <c r="C76" s="43"/>
      <c r="D76" s="88"/>
      <c r="E76" s="43"/>
      <c r="F76" s="43"/>
      <c r="G76" s="88">
        <v>645</v>
      </c>
      <c r="H76" s="43"/>
      <c r="I76" s="43"/>
      <c r="J76" s="43"/>
      <c r="K76" s="88">
        <v>151</v>
      </c>
      <c r="L76" s="43"/>
      <c r="M76" s="88">
        <v>142256</v>
      </c>
      <c r="N76" s="88">
        <v>29822871</v>
      </c>
      <c r="O76" s="88">
        <v>5340649</v>
      </c>
      <c r="P76" s="43">
        <v>381981</v>
      </c>
      <c r="Q76" s="43">
        <v>234043</v>
      </c>
      <c r="R76" s="43">
        <v>0</v>
      </c>
      <c r="S76" s="88">
        <f>1973660+2219500+453427+390685+1024594+5401237+509919+210060</f>
        <v>12183082</v>
      </c>
      <c r="T76" s="88">
        <f t="shared" si="5"/>
        <v>48105678</v>
      </c>
      <c r="U76" s="43"/>
    </row>
    <row r="77" spans="1:21" hidden="1" x14ac:dyDescent="0.25">
      <c r="A77" s="41">
        <v>43646</v>
      </c>
      <c r="B77" s="43"/>
      <c r="C77" s="43"/>
      <c r="D77" s="88"/>
      <c r="E77" s="43"/>
      <c r="F77" s="43"/>
      <c r="G77" s="88">
        <v>367</v>
      </c>
      <c r="H77" s="43"/>
      <c r="I77" s="43"/>
      <c r="J77" s="43"/>
      <c r="K77" s="88">
        <v>0</v>
      </c>
      <c r="L77" s="43"/>
      <c r="M77" s="88">
        <v>110987</v>
      </c>
      <c r="N77" s="88">
        <v>27060192</v>
      </c>
      <c r="O77" s="88">
        <v>7824546</v>
      </c>
      <c r="P77" s="43">
        <v>6776820</v>
      </c>
      <c r="Q77" s="43">
        <v>1112893</v>
      </c>
      <c r="R77" s="43">
        <v>0</v>
      </c>
      <c r="S77" s="88">
        <f>2265713+2090677+759078+327788+937176+5673695+0+100169</f>
        <v>12154296</v>
      </c>
      <c r="T77" s="88">
        <f t="shared" si="5"/>
        <v>55040101</v>
      </c>
      <c r="U77" s="43"/>
    </row>
    <row r="78" spans="1:21" hidden="1" x14ac:dyDescent="0.25">
      <c r="A78" s="41">
        <v>43677</v>
      </c>
      <c r="B78" s="43"/>
      <c r="C78" s="43"/>
      <c r="D78" s="88"/>
      <c r="E78" s="43"/>
      <c r="F78" s="43"/>
      <c r="G78" s="88">
        <v>155</v>
      </c>
      <c r="H78" s="43"/>
      <c r="I78" s="43"/>
      <c r="J78" s="43"/>
      <c r="K78" s="88">
        <v>163</v>
      </c>
      <c r="L78" s="43"/>
      <c r="M78" s="88">
        <v>120028</v>
      </c>
      <c r="N78" s="88">
        <v>26075307</v>
      </c>
      <c r="O78" s="88">
        <v>14501183</v>
      </c>
      <c r="P78" s="43">
        <v>14122838</v>
      </c>
      <c r="Q78" s="43">
        <v>5050508</v>
      </c>
      <c r="R78" s="43">
        <v>0</v>
      </c>
      <c r="S78" s="88">
        <f>2468668+2697591+656415+339569+959617+6186256+8340220+0</f>
        <v>21648336</v>
      </c>
      <c r="T78" s="88">
        <f t="shared" si="5"/>
        <v>81518518</v>
      </c>
      <c r="U78" s="43"/>
    </row>
    <row r="79" spans="1:21" hidden="1" x14ac:dyDescent="0.25">
      <c r="A79" s="41">
        <v>43708</v>
      </c>
      <c r="B79" s="43"/>
      <c r="C79" s="43"/>
      <c r="D79" s="88"/>
      <c r="E79" s="43"/>
      <c r="F79" s="43"/>
      <c r="G79" s="88">
        <v>138</v>
      </c>
      <c r="H79" s="43"/>
      <c r="I79" s="43"/>
      <c r="J79" s="43"/>
      <c r="K79" s="88">
        <v>0</v>
      </c>
      <c r="L79" s="43"/>
      <c r="M79" s="88">
        <v>93626</v>
      </c>
      <c r="N79" s="88">
        <v>28179207</v>
      </c>
      <c r="O79" s="88">
        <v>16164686</v>
      </c>
      <c r="P79" s="43">
        <v>15605297</v>
      </c>
      <c r="Q79" s="43">
        <v>9500954</v>
      </c>
      <c r="R79" s="43">
        <v>0</v>
      </c>
      <c r="S79" s="88">
        <v>22716787</v>
      </c>
      <c r="T79" s="88">
        <f t="shared" si="5"/>
        <v>92260695</v>
      </c>
      <c r="U79" s="43"/>
    </row>
    <row r="80" spans="1:21" hidden="1" x14ac:dyDescent="0.25">
      <c r="A80" s="41">
        <v>43738</v>
      </c>
      <c r="B80" s="43"/>
      <c r="C80" s="43"/>
      <c r="D80" s="88"/>
      <c r="E80" s="43"/>
      <c r="F80" s="43"/>
      <c r="G80" s="88">
        <v>619</v>
      </c>
      <c r="H80" s="43"/>
      <c r="I80" s="43"/>
      <c r="J80" s="43"/>
      <c r="K80" s="88">
        <v>411</v>
      </c>
      <c r="L80" s="43"/>
      <c r="M80" s="88">
        <v>111442</v>
      </c>
      <c r="N80" s="88">
        <v>31412664</v>
      </c>
      <c r="O80" s="88">
        <v>15653966</v>
      </c>
      <c r="P80" s="43">
        <v>14512835</v>
      </c>
      <c r="Q80" s="43">
        <v>4852567</v>
      </c>
      <c r="R80" s="43">
        <v>0</v>
      </c>
      <c r="S80" s="88">
        <f>2238144+2457018+700843+318250+880129+6543518+6204407+451349</f>
        <v>19793658</v>
      </c>
      <c r="T80" s="88">
        <f t="shared" si="5"/>
        <v>86338162</v>
      </c>
      <c r="U80" s="43"/>
    </row>
    <row r="81" spans="1:22" hidden="1" x14ac:dyDescent="0.25">
      <c r="A81" s="41">
        <v>43769</v>
      </c>
      <c r="B81" s="43"/>
      <c r="C81" s="43"/>
      <c r="D81" s="88"/>
      <c r="E81" s="43"/>
      <c r="F81" s="43"/>
      <c r="G81" s="88">
        <v>2955</v>
      </c>
      <c r="H81" s="43"/>
      <c r="I81" s="43"/>
      <c r="J81" s="43">
        <v>1347361</v>
      </c>
      <c r="K81" s="88">
        <v>317</v>
      </c>
      <c r="L81" s="43"/>
      <c r="M81" s="88">
        <v>232820</v>
      </c>
      <c r="N81" s="88">
        <v>33622137</v>
      </c>
      <c r="O81" s="88">
        <v>11066763</v>
      </c>
      <c r="P81" s="43">
        <v>667138</v>
      </c>
      <c r="Q81" s="43">
        <v>897404</v>
      </c>
      <c r="R81" s="43">
        <v>0</v>
      </c>
      <c r="S81" s="88">
        <f>2832256+2779753+787046+348739+985783+7985929+1743835+59022</f>
        <v>17522363</v>
      </c>
      <c r="T81" s="88">
        <f t="shared" si="5"/>
        <v>65359258</v>
      </c>
      <c r="U81" s="43"/>
    </row>
    <row r="82" spans="1:22" hidden="1" x14ac:dyDescent="0.25">
      <c r="A82" s="41">
        <v>43799</v>
      </c>
      <c r="B82" s="43"/>
      <c r="C82" s="43"/>
      <c r="D82" s="88"/>
      <c r="E82" s="43"/>
      <c r="F82" s="43"/>
      <c r="G82" s="88">
        <v>3958</v>
      </c>
      <c r="H82" s="43"/>
      <c r="I82" s="43"/>
      <c r="J82" s="43">
        <v>1498743</v>
      </c>
      <c r="K82" s="88">
        <v>491</v>
      </c>
      <c r="L82" s="43"/>
      <c r="M82" s="88">
        <v>230233</v>
      </c>
      <c r="N82" s="88">
        <v>29790523</v>
      </c>
      <c r="O82" s="88">
        <v>12699045</v>
      </c>
      <c r="P82" s="43">
        <v>5956005</v>
      </c>
      <c r="Q82" s="43">
        <v>211269</v>
      </c>
      <c r="R82" s="43">
        <v>0</v>
      </c>
      <c r="S82" s="88">
        <f>3143984+2719510+758864+325444+994562+7351963+188376+57819</f>
        <v>15540522</v>
      </c>
      <c r="T82" s="88">
        <f t="shared" si="5"/>
        <v>65930789</v>
      </c>
      <c r="U82" s="43"/>
    </row>
    <row r="83" spans="1:22" hidden="1" x14ac:dyDescent="0.25">
      <c r="A83" s="41">
        <v>43830</v>
      </c>
      <c r="B83" s="43"/>
      <c r="C83" s="43"/>
      <c r="D83" s="88"/>
      <c r="E83" s="43"/>
      <c r="F83" s="43"/>
      <c r="G83" s="88">
        <v>4552</v>
      </c>
      <c r="H83" s="43"/>
      <c r="I83" s="43"/>
      <c r="J83" s="43">
        <v>1688999</v>
      </c>
      <c r="K83" s="88">
        <v>261</v>
      </c>
      <c r="L83" s="43"/>
      <c r="M83" s="88">
        <v>254015</v>
      </c>
      <c r="N83" s="88">
        <v>31590271</v>
      </c>
      <c r="O83" s="88">
        <v>14173947</v>
      </c>
      <c r="P83" s="43">
        <v>13886984</v>
      </c>
      <c r="Q83" s="43">
        <v>1297588</v>
      </c>
      <c r="R83" s="43">
        <v>0</v>
      </c>
      <c r="S83" s="88">
        <f>4182562+2894369+777031+492333+1120091+7386486+6845573+0</f>
        <v>23698445</v>
      </c>
      <c r="T83" s="88">
        <f t="shared" si="5"/>
        <v>86595062</v>
      </c>
      <c r="U83" s="43"/>
    </row>
    <row r="84" spans="1:22" hidden="1" x14ac:dyDescent="0.25">
      <c r="A84" s="41">
        <v>43861</v>
      </c>
      <c r="B84" s="43"/>
      <c r="C84" s="43"/>
      <c r="D84" s="88"/>
      <c r="E84" s="43"/>
      <c r="F84" s="43"/>
      <c r="G84" s="88">
        <v>4887</v>
      </c>
      <c r="H84" s="43"/>
      <c r="I84" s="43"/>
      <c r="J84" s="43">
        <v>1783146</v>
      </c>
      <c r="K84" s="88">
        <v>85</v>
      </c>
      <c r="L84" s="43"/>
      <c r="M84" s="88">
        <v>256203</v>
      </c>
      <c r="N84" s="88">
        <v>32459607</v>
      </c>
      <c r="O84" s="88">
        <v>12220363</v>
      </c>
      <c r="P84" s="43">
        <v>9693367</v>
      </c>
      <c r="Q84" s="43">
        <v>362331</v>
      </c>
      <c r="R84" s="43">
        <v>0</v>
      </c>
      <c r="S84" s="88">
        <f>4206155+2962351+872878+386843+1160711+7350647+4214606+13899</f>
        <v>21168090</v>
      </c>
      <c r="T84" s="88">
        <f t="shared" ref="T84:T95" si="6">SUM(B84:S84)</f>
        <v>77948079</v>
      </c>
      <c r="U84" s="43"/>
    </row>
    <row r="85" spans="1:22" hidden="1" x14ac:dyDescent="0.25">
      <c r="A85" s="41">
        <v>43890</v>
      </c>
      <c r="B85" s="43"/>
      <c r="C85" s="43"/>
      <c r="D85" s="88"/>
      <c r="E85" s="43"/>
      <c r="F85" s="43"/>
      <c r="G85" s="88">
        <v>4650</v>
      </c>
      <c r="H85" s="43"/>
      <c r="I85" s="43"/>
      <c r="J85" s="43">
        <v>1661778</v>
      </c>
      <c r="K85" s="88">
        <v>341</v>
      </c>
      <c r="L85" s="43"/>
      <c r="M85" s="88">
        <v>228991</v>
      </c>
      <c r="N85" s="88">
        <v>30355704</v>
      </c>
      <c r="O85" s="88">
        <v>11897407</v>
      </c>
      <c r="P85" s="43">
        <v>7438730</v>
      </c>
      <c r="Q85" s="43">
        <v>761639</v>
      </c>
      <c r="R85" s="43">
        <v>0</v>
      </c>
      <c r="S85" s="88">
        <f>3647038+3352730+759226+340736+950149+6493299+1673858+184428</f>
        <v>17401464</v>
      </c>
      <c r="T85" s="88">
        <f t="shared" si="6"/>
        <v>69750704</v>
      </c>
      <c r="U85" s="43"/>
    </row>
    <row r="86" spans="1:22" hidden="1" x14ac:dyDescent="0.25">
      <c r="A86" s="41">
        <v>43921</v>
      </c>
      <c r="B86" s="43"/>
      <c r="C86" s="43"/>
      <c r="D86" s="88"/>
      <c r="E86" s="43"/>
      <c r="F86" s="43"/>
      <c r="G86" s="88">
        <v>4903</v>
      </c>
      <c r="H86" s="43"/>
      <c r="I86" s="43"/>
      <c r="J86" s="43">
        <v>1700063</v>
      </c>
      <c r="K86" s="88">
        <v>182</v>
      </c>
      <c r="L86" s="43"/>
      <c r="M86" s="88">
        <v>229265</v>
      </c>
      <c r="N86" s="88">
        <v>32606618</v>
      </c>
      <c r="O86" s="88">
        <v>15670834</v>
      </c>
      <c r="P86" s="43">
        <v>14229128</v>
      </c>
      <c r="Q86" s="43">
        <v>3004872</v>
      </c>
      <c r="R86" s="43">
        <v>0</v>
      </c>
      <c r="S86" s="88">
        <f>3745212+3019501+723268+363829+1112427+5630590+7553041+249821</f>
        <v>22397689</v>
      </c>
      <c r="T86" s="88">
        <f t="shared" si="6"/>
        <v>89843554</v>
      </c>
    </row>
    <row r="87" spans="1:22" hidden="1" x14ac:dyDescent="0.25">
      <c r="A87" s="41">
        <v>43951</v>
      </c>
      <c r="B87" s="43"/>
      <c r="C87" s="43"/>
      <c r="D87" s="88"/>
      <c r="E87" s="43"/>
      <c r="F87" s="43"/>
      <c r="G87" s="88">
        <v>3889</v>
      </c>
      <c r="H87" s="43"/>
      <c r="I87" s="43"/>
      <c r="J87" s="43">
        <v>1363626</v>
      </c>
      <c r="K87" s="88">
        <v>193</v>
      </c>
      <c r="L87" s="43"/>
      <c r="M87" s="88">
        <v>189521</v>
      </c>
      <c r="N87" s="88">
        <v>27153616</v>
      </c>
      <c r="O87" s="88">
        <v>13569738</v>
      </c>
      <c r="P87" s="43">
        <v>11001952</v>
      </c>
      <c r="Q87" s="43">
        <v>3430843</v>
      </c>
      <c r="R87" s="43">
        <v>0</v>
      </c>
      <c r="S87" s="88">
        <f>3270112+2756681+192062+280512+1144381+5477666+5121004+0</f>
        <v>18242418</v>
      </c>
      <c r="T87" s="88">
        <f t="shared" si="6"/>
        <v>74955796</v>
      </c>
    </row>
    <row r="88" spans="1:22" hidden="1" x14ac:dyDescent="0.25">
      <c r="A88" s="41">
        <v>43982</v>
      </c>
      <c r="B88" s="43"/>
      <c r="C88" s="43"/>
      <c r="D88" s="88"/>
      <c r="E88" s="43"/>
      <c r="F88" s="43"/>
      <c r="G88" s="120">
        <v>2219</v>
      </c>
      <c r="H88" s="119"/>
      <c r="I88" s="119"/>
      <c r="J88" s="119">
        <v>948718</v>
      </c>
      <c r="K88" s="120">
        <v>0</v>
      </c>
      <c r="L88" s="119"/>
      <c r="M88" s="120">
        <v>139474</v>
      </c>
      <c r="N88" s="120">
        <v>29220599</v>
      </c>
      <c r="O88" s="120">
        <v>2198918</v>
      </c>
      <c r="P88" s="119">
        <v>791584</v>
      </c>
      <c r="Q88" s="119">
        <v>447784</v>
      </c>
      <c r="R88" s="119">
        <v>0</v>
      </c>
      <c r="S88" s="120">
        <f>2781081+435041+274097+1164457+7824547+506157+8254</f>
        <v>12993634</v>
      </c>
      <c r="T88" s="88">
        <f t="shared" si="6"/>
        <v>46742930</v>
      </c>
    </row>
    <row r="89" spans="1:22" hidden="1" x14ac:dyDescent="0.25">
      <c r="A89" s="41">
        <v>44012</v>
      </c>
      <c r="B89" s="43"/>
      <c r="C89" s="43"/>
      <c r="D89" s="88"/>
      <c r="E89" s="43"/>
      <c r="F89" s="43"/>
      <c r="G89" s="120">
        <v>2099</v>
      </c>
      <c r="H89" s="119"/>
      <c r="I89" s="119"/>
      <c r="J89" s="119">
        <v>710086</v>
      </c>
      <c r="K89" s="120">
        <v>0</v>
      </c>
      <c r="L89" s="119"/>
      <c r="M89" s="120">
        <v>109390</v>
      </c>
      <c r="N89" s="120">
        <v>27661973</v>
      </c>
      <c r="O89" s="120">
        <v>3015900</v>
      </c>
      <c r="P89" s="119">
        <v>1306946</v>
      </c>
      <c r="Q89" s="119">
        <v>736401</v>
      </c>
      <c r="R89" s="119">
        <v>0</v>
      </c>
      <c r="S89" s="120">
        <f>3279559+679596+279356+1044539+6309798+0+39426</f>
        <v>11632274</v>
      </c>
      <c r="T89" s="88">
        <f t="shared" si="6"/>
        <v>45175069</v>
      </c>
    </row>
    <row r="90" spans="1:22" hidden="1" x14ac:dyDescent="0.25">
      <c r="A90" s="41">
        <v>44043</v>
      </c>
      <c r="B90" s="43"/>
      <c r="C90" s="43"/>
      <c r="D90" s="88"/>
      <c r="E90" s="43"/>
      <c r="F90" s="43"/>
      <c r="G90" s="88">
        <v>943</v>
      </c>
      <c r="H90" s="43"/>
      <c r="I90" s="43"/>
      <c r="J90" s="43">
        <v>669108</v>
      </c>
      <c r="K90" s="88">
        <v>0</v>
      </c>
      <c r="L90" s="43"/>
      <c r="M90" s="88">
        <v>106383</v>
      </c>
      <c r="N90" s="88">
        <v>30463827</v>
      </c>
      <c r="O90" s="88">
        <v>9874110</v>
      </c>
      <c r="P90" s="43">
        <v>5180231</v>
      </c>
      <c r="Q90" s="43">
        <v>1984278</v>
      </c>
      <c r="R90" s="43">
        <v>0</v>
      </c>
      <c r="S90" s="88">
        <f>3353938+405992+286757+943601+6950239+1583529+134999</f>
        <v>13659055</v>
      </c>
      <c r="T90" s="88">
        <f t="shared" si="6"/>
        <v>61937935</v>
      </c>
    </row>
    <row r="91" spans="1:22" hidden="1" x14ac:dyDescent="0.25">
      <c r="A91" s="41">
        <v>44074</v>
      </c>
      <c r="B91" s="43"/>
      <c r="C91" s="43"/>
      <c r="D91" s="88"/>
      <c r="E91" s="43"/>
      <c r="F91" s="43"/>
      <c r="G91" s="88">
        <v>816</v>
      </c>
      <c r="H91" s="43"/>
      <c r="I91" s="43"/>
      <c r="J91" s="43">
        <v>629019</v>
      </c>
      <c r="K91" s="88">
        <v>0</v>
      </c>
      <c r="L91" s="43"/>
      <c r="M91" s="88">
        <v>100500</v>
      </c>
      <c r="N91" s="88">
        <v>32340707</v>
      </c>
      <c r="O91" s="88">
        <v>13157147</v>
      </c>
      <c r="P91" s="43">
        <v>10278160</v>
      </c>
      <c r="Q91" s="43">
        <v>4334957</v>
      </c>
      <c r="R91" s="43">
        <v>0</v>
      </c>
      <c r="S91" s="88">
        <f>3281965+636243+367353+874186+8114039+4164341+77745</f>
        <v>17515872</v>
      </c>
      <c r="T91" s="88">
        <f t="shared" si="6"/>
        <v>78357178</v>
      </c>
    </row>
    <row r="92" spans="1:22" hidden="1" x14ac:dyDescent="0.25">
      <c r="A92" s="41">
        <v>44104</v>
      </c>
      <c r="B92" s="43"/>
      <c r="C92" s="43"/>
      <c r="D92" s="88"/>
      <c r="E92" s="43"/>
      <c r="F92" s="43"/>
      <c r="G92" s="88">
        <v>643</v>
      </c>
      <c r="H92" s="43"/>
      <c r="I92" s="43"/>
      <c r="J92" s="43">
        <v>613508</v>
      </c>
      <c r="K92" s="88">
        <v>0</v>
      </c>
      <c r="L92" s="43"/>
      <c r="M92" s="88">
        <v>94559</v>
      </c>
      <c r="N92" s="88">
        <v>34211779</v>
      </c>
      <c r="O92" s="88">
        <v>14061705</v>
      </c>
      <c r="P92" s="43">
        <v>12575104</v>
      </c>
      <c r="Q92" s="43">
        <v>5435910</v>
      </c>
      <c r="R92" s="43">
        <v>0</v>
      </c>
      <c r="S92" s="88">
        <f>3365190+645648+401241+882295+4984455+6516174+67903</f>
        <v>16862906</v>
      </c>
      <c r="T92" s="88">
        <f t="shared" si="6"/>
        <v>83856114</v>
      </c>
    </row>
    <row r="93" spans="1:22" hidden="1" x14ac:dyDescent="0.25">
      <c r="A93" s="41">
        <v>44135</v>
      </c>
      <c r="B93" s="43"/>
      <c r="C93" s="43"/>
      <c r="D93" s="88"/>
      <c r="E93" s="43"/>
      <c r="F93" s="43"/>
      <c r="G93" s="88">
        <v>3290</v>
      </c>
      <c r="H93" s="43"/>
      <c r="I93" s="43"/>
      <c r="J93" s="43">
        <v>33943</v>
      </c>
      <c r="K93" s="88">
        <v>0</v>
      </c>
      <c r="L93" s="43"/>
      <c r="M93" s="88">
        <v>178840</v>
      </c>
      <c r="N93" s="88">
        <f>36331384+513206</f>
        <v>36844590</v>
      </c>
      <c r="O93" s="88">
        <v>9459059</v>
      </c>
      <c r="P93" s="43">
        <v>8268305</v>
      </c>
      <c r="Q93" s="43">
        <v>1590604</v>
      </c>
      <c r="R93" s="43"/>
      <c r="S93" s="88">
        <f>3222482+801554+429333+967135+7330347+1133014+54670</f>
        <v>13938535</v>
      </c>
      <c r="T93" s="88">
        <f t="shared" si="6"/>
        <v>70317166</v>
      </c>
      <c r="V93" s="40" t="s">
        <v>45</v>
      </c>
    </row>
    <row r="94" spans="1:22" hidden="1" x14ac:dyDescent="0.25">
      <c r="A94" s="41">
        <v>44165</v>
      </c>
      <c r="B94" s="43"/>
      <c r="C94" s="43"/>
      <c r="D94" s="88"/>
      <c r="E94" s="43"/>
      <c r="F94" s="43"/>
      <c r="G94" s="88">
        <v>5658</v>
      </c>
      <c r="H94" s="43"/>
      <c r="I94" s="43"/>
      <c r="J94" s="43">
        <v>72965</v>
      </c>
      <c r="K94" s="88">
        <v>0</v>
      </c>
      <c r="L94" s="43"/>
      <c r="M94" s="88">
        <v>220318</v>
      </c>
      <c r="N94" s="88">
        <f>37424714+779085</f>
        <v>38203799</v>
      </c>
      <c r="O94" s="88">
        <v>7516479</v>
      </c>
      <c r="P94" s="43">
        <v>2419246</v>
      </c>
      <c r="Q94" s="43">
        <v>916410</v>
      </c>
      <c r="R94" s="43">
        <v>0</v>
      </c>
      <c r="S94" s="88">
        <f>3733619+658635+457902+981664+7462302+18635+3797</f>
        <v>13316554</v>
      </c>
      <c r="T94" s="88">
        <f t="shared" si="6"/>
        <v>62671429</v>
      </c>
      <c r="V94" s="40" t="s">
        <v>46</v>
      </c>
    </row>
    <row r="95" spans="1:22" hidden="1" x14ac:dyDescent="0.25">
      <c r="A95" s="41">
        <v>44196</v>
      </c>
      <c r="B95" s="43"/>
      <c r="C95" s="43"/>
      <c r="D95" s="88"/>
      <c r="E95" s="43"/>
      <c r="F95" s="43"/>
      <c r="G95" s="88">
        <v>7535</v>
      </c>
      <c r="H95" s="43">
        <v>56288</v>
      </c>
      <c r="I95" s="43"/>
      <c r="J95" s="43">
        <v>96370</v>
      </c>
      <c r="K95" s="88">
        <v>0</v>
      </c>
      <c r="L95" s="43"/>
      <c r="M95" s="88">
        <v>244469</v>
      </c>
      <c r="N95" s="88">
        <f>36823390+810439</f>
        <v>37633829</v>
      </c>
      <c r="O95" s="88">
        <v>13353201</v>
      </c>
      <c r="P95" s="43">
        <v>9176642</v>
      </c>
      <c r="Q95" s="43">
        <v>764453</v>
      </c>
      <c r="R95" s="43">
        <v>0</v>
      </c>
      <c r="S95" s="88">
        <f>3961371+531780+434089+1038258+8629459+801796+0</f>
        <v>15396753</v>
      </c>
      <c r="T95" s="88">
        <f t="shared" si="6"/>
        <v>76729540</v>
      </c>
    </row>
    <row r="96" spans="1:22" hidden="1" x14ac:dyDescent="0.25">
      <c r="A96" s="41">
        <v>44227</v>
      </c>
      <c r="B96" s="43"/>
      <c r="C96" s="43"/>
      <c r="D96" s="88"/>
      <c r="E96" s="43"/>
      <c r="F96" s="43"/>
      <c r="G96" s="88">
        <v>12694</v>
      </c>
      <c r="H96" s="43"/>
      <c r="I96" s="43"/>
      <c r="J96" s="43">
        <v>87285</v>
      </c>
      <c r="K96" s="88">
        <v>0</v>
      </c>
      <c r="L96" s="43"/>
      <c r="M96" s="88">
        <v>248648</v>
      </c>
      <c r="N96" s="88">
        <f>38697294+837157</f>
        <v>39534451</v>
      </c>
      <c r="O96" s="88">
        <v>12333204</v>
      </c>
      <c r="P96" s="43">
        <v>5190781</v>
      </c>
      <c r="Q96" s="43">
        <v>252622</v>
      </c>
      <c r="R96" s="43">
        <v>0</v>
      </c>
      <c r="S96" s="88">
        <f>3811005+784731+530523+1058820+7760458+392+0</f>
        <v>13945929</v>
      </c>
      <c r="T96" s="88">
        <f t="shared" ref="T96:T117" si="7">SUM(B96:S96)</f>
        <v>71605614</v>
      </c>
    </row>
    <row r="97" spans="1:22" hidden="1" x14ac:dyDescent="0.25">
      <c r="A97" s="41">
        <v>44255</v>
      </c>
      <c r="B97" s="43"/>
      <c r="C97" s="43"/>
      <c r="D97" s="88"/>
      <c r="E97" s="43"/>
      <c r="F97" s="43"/>
      <c r="G97" s="88">
        <v>7553</v>
      </c>
      <c r="H97" s="43"/>
      <c r="I97" s="43"/>
      <c r="J97" s="43">
        <v>87405</v>
      </c>
      <c r="K97" s="88">
        <v>0</v>
      </c>
      <c r="L97" s="43"/>
      <c r="M97" s="88">
        <v>239855</v>
      </c>
      <c r="N97" s="88">
        <f>35307154+803484</f>
        <v>36110638</v>
      </c>
      <c r="O97" s="88">
        <v>10471909</v>
      </c>
      <c r="P97" s="43">
        <v>5382227</v>
      </c>
      <c r="Q97" s="43">
        <v>982292</v>
      </c>
      <c r="R97" s="43">
        <v>0</v>
      </c>
      <c r="S97" s="88">
        <f>3364783+632596+377681+1028372+7001034+1613489+22799</f>
        <v>14040754</v>
      </c>
      <c r="T97" s="88">
        <f t="shared" si="7"/>
        <v>67322633</v>
      </c>
    </row>
    <row r="98" spans="1:22" hidden="1" x14ac:dyDescent="0.25">
      <c r="A98" s="41">
        <v>44286</v>
      </c>
      <c r="B98" s="43"/>
      <c r="C98" s="43"/>
      <c r="D98" s="88"/>
      <c r="E98" s="43"/>
      <c r="F98" s="43"/>
      <c r="G98" s="88">
        <v>3998</v>
      </c>
      <c r="H98" s="43"/>
      <c r="I98" s="43"/>
      <c r="J98" s="43">
        <v>58190</v>
      </c>
      <c r="K98" s="88">
        <v>0</v>
      </c>
      <c r="L98" s="43"/>
      <c r="M98" s="88">
        <v>235545</v>
      </c>
      <c r="N98" s="88">
        <f>37852447+892361</f>
        <v>38744808</v>
      </c>
      <c r="O98" s="88">
        <v>15050505</v>
      </c>
      <c r="P98" s="43">
        <v>10973891</v>
      </c>
      <c r="Q98" s="43">
        <v>2069033</v>
      </c>
      <c r="R98" s="43">
        <v>0</v>
      </c>
      <c r="S98" s="88">
        <f>3445221+731231+344914+1102778+8979413+3832585+108012</f>
        <v>18544154</v>
      </c>
      <c r="T98" s="88">
        <f t="shared" si="7"/>
        <v>85680124</v>
      </c>
    </row>
    <row r="99" spans="1:22" hidden="1" x14ac:dyDescent="0.25">
      <c r="A99" s="41">
        <v>44316</v>
      </c>
      <c r="B99" s="43"/>
      <c r="C99" s="43"/>
      <c r="D99" s="88"/>
      <c r="E99" s="43"/>
      <c r="F99" s="43"/>
      <c r="G99" s="88">
        <v>2200</v>
      </c>
      <c r="H99" s="43"/>
      <c r="I99" s="43"/>
      <c r="J99" s="43">
        <v>35726</v>
      </c>
      <c r="K99" s="88">
        <v>0</v>
      </c>
      <c r="L99" s="43"/>
      <c r="M99" s="88">
        <v>180576</v>
      </c>
      <c r="N99" s="88">
        <f>35494843+716055</f>
        <v>36210898</v>
      </c>
      <c r="O99" s="88">
        <v>6562711</v>
      </c>
      <c r="P99" s="43">
        <v>12896888</v>
      </c>
      <c r="Q99" s="43">
        <v>8378207</v>
      </c>
      <c r="R99" s="43">
        <v>0</v>
      </c>
      <c r="S99" s="88">
        <f>3529385+651362+244382+1083614+5907169+2326616+4777</f>
        <v>13747305</v>
      </c>
      <c r="T99" s="88">
        <f t="shared" si="7"/>
        <v>78014511</v>
      </c>
    </row>
    <row r="100" spans="1:22" hidden="1" x14ac:dyDescent="0.25">
      <c r="A100" s="41">
        <v>44347</v>
      </c>
      <c r="B100" s="43"/>
      <c r="C100" s="43"/>
      <c r="D100" s="88"/>
      <c r="E100" s="43"/>
      <c r="F100" s="43"/>
      <c r="G100" s="88">
        <v>3602</v>
      </c>
      <c r="H100" s="43"/>
      <c r="I100" s="43"/>
      <c r="J100" s="43">
        <v>22913</v>
      </c>
      <c r="K100" s="88">
        <v>0</v>
      </c>
      <c r="L100" s="43"/>
      <c r="M100" s="88">
        <v>143789</v>
      </c>
      <c r="N100" s="88">
        <f>33561669+581610</f>
        <v>34143279</v>
      </c>
      <c r="O100" s="88">
        <v>364</v>
      </c>
      <c r="P100" s="43">
        <v>5871337</v>
      </c>
      <c r="Q100" s="43">
        <v>2903752</v>
      </c>
      <c r="R100" s="43">
        <v>0</v>
      </c>
      <c r="S100" s="88">
        <f>2947295+496918+305268+1112584+5745936+6639387+274441</f>
        <v>17521829</v>
      </c>
      <c r="T100" s="88">
        <f t="shared" si="7"/>
        <v>60610865</v>
      </c>
    </row>
    <row r="101" spans="1:22" hidden="1" x14ac:dyDescent="0.25">
      <c r="A101" s="41">
        <v>44377</v>
      </c>
      <c r="B101" s="43"/>
      <c r="C101" s="43"/>
      <c r="D101" s="88"/>
      <c r="E101" s="43"/>
      <c r="F101" s="43"/>
      <c r="G101" s="88">
        <v>1512</v>
      </c>
      <c r="H101" s="43"/>
      <c r="I101" s="43"/>
      <c r="J101" s="43">
        <v>3579</v>
      </c>
      <c r="K101" s="88">
        <v>0</v>
      </c>
      <c r="L101" s="43"/>
      <c r="M101" s="88">
        <v>104510</v>
      </c>
      <c r="N101" s="88">
        <f>32316224+382999</f>
        <v>32699223</v>
      </c>
      <c r="O101" s="88">
        <v>10580854</v>
      </c>
      <c r="P101" s="43">
        <v>9297912</v>
      </c>
      <c r="Q101" s="43">
        <v>5368620</v>
      </c>
      <c r="R101" s="43">
        <v>0</v>
      </c>
      <c r="S101" s="88">
        <f>3187034+456697+220613+1091768+7240174+5347779+27594</f>
        <v>17571659</v>
      </c>
      <c r="T101" s="88">
        <f t="shared" si="7"/>
        <v>75627869</v>
      </c>
    </row>
    <row r="102" spans="1:22" hidden="1" x14ac:dyDescent="0.25">
      <c r="A102" s="41">
        <v>44408</v>
      </c>
      <c r="B102" s="43"/>
      <c r="C102" s="43"/>
      <c r="D102" s="88"/>
      <c r="E102" s="43"/>
      <c r="F102" s="43"/>
      <c r="G102" s="88">
        <v>1203</v>
      </c>
      <c r="H102" s="43"/>
      <c r="I102" s="43"/>
      <c r="J102" s="43">
        <v>3339</v>
      </c>
      <c r="K102" s="88">
        <v>0</v>
      </c>
      <c r="L102" s="43"/>
      <c r="M102" s="88">
        <v>88811</v>
      </c>
      <c r="N102" s="88">
        <f>29267956+373243</f>
        <v>29641199</v>
      </c>
      <c r="O102" s="88">
        <v>14701743</v>
      </c>
      <c r="P102" s="43">
        <v>12217042</v>
      </c>
      <c r="Q102" s="43">
        <v>8620267</v>
      </c>
      <c r="R102" s="43">
        <v>0</v>
      </c>
      <c r="S102" s="88">
        <f>3150229+589887+231899+1057703+7874655+6774098+626809</f>
        <v>20305280</v>
      </c>
      <c r="T102" s="88">
        <f t="shared" si="7"/>
        <v>85578884</v>
      </c>
    </row>
    <row r="103" spans="1:22" hidden="1" x14ac:dyDescent="0.25">
      <c r="A103" s="41">
        <v>44439</v>
      </c>
      <c r="B103" s="43"/>
      <c r="C103" s="43"/>
      <c r="D103" s="88"/>
      <c r="E103" s="43"/>
      <c r="F103" s="43"/>
      <c r="G103" s="88">
        <v>1834</v>
      </c>
      <c r="H103" s="43"/>
      <c r="I103" s="43"/>
      <c r="J103" s="43">
        <v>3577</v>
      </c>
      <c r="K103" s="88">
        <v>0</v>
      </c>
      <c r="L103" s="43"/>
      <c r="M103" s="88">
        <v>103033</v>
      </c>
      <c r="N103" s="88">
        <f>29950263+401833</f>
        <v>30352096</v>
      </c>
      <c r="O103" s="88">
        <v>14849398</v>
      </c>
      <c r="P103" s="43">
        <v>12371540</v>
      </c>
      <c r="Q103" s="43">
        <v>6769382</v>
      </c>
      <c r="R103" s="43">
        <v>0</v>
      </c>
      <c r="S103" s="88">
        <f>3198929+639207+263338+977831+8756668+7028098+1359828</f>
        <v>22223899</v>
      </c>
      <c r="T103" s="88">
        <f t="shared" si="7"/>
        <v>86674759</v>
      </c>
    </row>
    <row r="104" spans="1:22" hidden="1" x14ac:dyDescent="0.25">
      <c r="A104" s="41">
        <v>44469</v>
      </c>
      <c r="B104" s="43"/>
      <c r="C104" s="43"/>
      <c r="D104" s="88"/>
      <c r="E104" s="43"/>
      <c r="F104" s="43"/>
      <c r="G104" s="88">
        <v>2215</v>
      </c>
      <c r="H104" s="43"/>
      <c r="I104" s="43"/>
      <c r="J104" s="43">
        <v>4202</v>
      </c>
      <c r="K104" s="88">
        <v>0</v>
      </c>
      <c r="L104" s="43"/>
      <c r="M104" s="88">
        <v>127498</v>
      </c>
      <c r="N104" s="88">
        <f>31806886+419083</f>
        <v>32225969</v>
      </c>
      <c r="O104" s="88">
        <v>13988315</v>
      </c>
      <c r="P104" s="43">
        <v>13923327</v>
      </c>
      <c r="Q104" s="43">
        <v>4570873</v>
      </c>
      <c r="R104" s="43">
        <v>0</v>
      </c>
      <c r="S104" s="88">
        <f>3209502+603823+243842+985969+7797525+7613521+91332</f>
        <v>20545514</v>
      </c>
      <c r="T104" s="88">
        <f t="shared" si="7"/>
        <v>85387913</v>
      </c>
    </row>
    <row r="105" spans="1:22" hidden="1" x14ac:dyDescent="0.25">
      <c r="A105" s="41">
        <v>44500</v>
      </c>
      <c r="B105" s="43"/>
      <c r="C105" s="43"/>
      <c r="D105" s="88"/>
      <c r="E105" s="43"/>
      <c r="F105" s="43"/>
      <c r="G105" s="88">
        <v>3066</v>
      </c>
      <c r="H105" s="43"/>
      <c r="I105" s="43"/>
      <c r="J105" s="43">
        <v>32136</v>
      </c>
      <c r="K105" s="88">
        <v>0</v>
      </c>
      <c r="L105" s="43"/>
      <c r="M105" s="88">
        <v>188282</v>
      </c>
      <c r="N105" s="88">
        <f>35464781+657384</f>
        <v>36122165</v>
      </c>
      <c r="O105" s="88">
        <v>10167896</v>
      </c>
      <c r="P105" s="43">
        <v>10295353</v>
      </c>
      <c r="Q105" s="43">
        <v>3962511</v>
      </c>
      <c r="R105" s="43">
        <v>0</v>
      </c>
      <c r="S105" s="88">
        <f>3489129+715779+352263+1090501+8044363+2039975+0</f>
        <v>15732010</v>
      </c>
      <c r="T105" s="88">
        <f t="shared" si="7"/>
        <v>76503419</v>
      </c>
      <c r="V105" s="40" t="s">
        <v>45</v>
      </c>
    </row>
    <row r="106" spans="1:22" x14ac:dyDescent="0.25">
      <c r="A106" s="41">
        <v>44530</v>
      </c>
      <c r="B106" s="43"/>
      <c r="C106" s="43"/>
      <c r="D106" s="88"/>
      <c r="E106" s="43"/>
      <c r="F106" s="43"/>
      <c r="G106" s="88">
        <v>5052</v>
      </c>
      <c r="H106" s="43"/>
      <c r="I106" s="43"/>
      <c r="J106" s="43">
        <v>80816</v>
      </c>
      <c r="K106" s="88">
        <v>0</v>
      </c>
      <c r="L106" s="43"/>
      <c r="M106" s="88">
        <v>215369</v>
      </c>
      <c r="N106" s="88">
        <f>33885258+793950</f>
        <v>34679208</v>
      </c>
      <c r="O106" s="88">
        <v>13522374</v>
      </c>
      <c r="P106" s="43">
        <v>7960245</v>
      </c>
      <c r="Q106" s="43">
        <v>449463</v>
      </c>
      <c r="R106" s="43">
        <v>0</v>
      </c>
      <c r="S106" s="88">
        <f>3533155+694755+347700+963439+8163208+1976757+83980</f>
        <v>15762994</v>
      </c>
      <c r="T106" s="88">
        <f t="shared" si="7"/>
        <v>72675521</v>
      </c>
      <c r="V106" s="40" t="s">
        <v>46</v>
      </c>
    </row>
    <row r="107" spans="1:22" x14ac:dyDescent="0.25">
      <c r="A107" s="41">
        <v>44561</v>
      </c>
      <c r="B107" s="43"/>
      <c r="C107" s="43"/>
      <c r="D107" s="88"/>
      <c r="E107" s="43"/>
      <c r="F107" s="43"/>
      <c r="G107" s="88">
        <v>14032</v>
      </c>
      <c r="H107" s="43"/>
      <c r="I107" s="43"/>
      <c r="J107" s="43">
        <v>101592</v>
      </c>
      <c r="K107" s="88">
        <v>0</v>
      </c>
      <c r="L107" s="43"/>
      <c r="M107" s="88">
        <v>271190</v>
      </c>
      <c r="N107" s="88">
        <f>32973555+997948</f>
        <v>33971503</v>
      </c>
      <c r="O107" s="88">
        <v>10372937</v>
      </c>
      <c r="P107" s="43">
        <v>8559438</v>
      </c>
      <c r="Q107" s="43">
        <v>490739</v>
      </c>
      <c r="R107" s="43">
        <v>0</v>
      </c>
      <c r="S107" s="88">
        <f>4107572+589753+414872+1150132+647984+9954381+3235802+43983</f>
        <v>20144479</v>
      </c>
      <c r="T107" s="88">
        <f t="shared" si="7"/>
        <v>73925910</v>
      </c>
    </row>
    <row r="108" spans="1:22" x14ac:dyDescent="0.25">
      <c r="A108" s="41">
        <v>44592</v>
      </c>
      <c r="B108" s="43"/>
      <c r="C108" s="43"/>
      <c r="D108" s="88"/>
      <c r="E108" s="43"/>
      <c r="F108" s="43"/>
      <c r="G108" s="88">
        <v>12713</v>
      </c>
      <c r="H108" s="43"/>
      <c r="I108" s="43"/>
      <c r="J108" s="43">
        <v>249943</v>
      </c>
      <c r="K108" s="88">
        <v>0</v>
      </c>
      <c r="L108" s="43"/>
      <c r="M108" s="88">
        <v>257267</v>
      </c>
      <c r="N108" s="88">
        <f>38158337+986660</f>
        <v>39144997</v>
      </c>
      <c r="O108" s="88">
        <v>2783061</v>
      </c>
      <c r="P108" s="43">
        <v>5418332</v>
      </c>
      <c r="Q108" s="43">
        <v>479370</v>
      </c>
      <c r="R108" s="43">
        <v>0</v>
      </c>
      <c r="S108" s="88">
        <f>4311103+736280+456725+1244873+638281+9719150+1057680+8109</f>
        <v>18172201</v>
      </c>
      <c r="T108" s="88">
        <f t="shared" si="7"/>
        <v>66517884</v>
      </c>
    </row>
    <row r="109" spans="1:22" x14ac:dyDescent="0.25">
      <c r="A109" s="41">
        <v>44620</v>
      </c>
      <c r="B109" s="43"/>
      <c r="C109" s="43"/>
      <c r="D109" s="88"/>
      <c r="E109" s="43"/>
      <c r="F109" s="43"/>
      <c r="G109" s="88">
        <v>6643</v>
      </c>
      <c r="H109" s="43"/>
      <c r="I109" s="43"/>
      <c r="J109" s="43">
        <v>133148</v>
      </c>
      <c r="K109" s="88">
        <v>0</v>
      </c>
      <c r="L109" s="43"/>
      <c r="M109" s="88">
        <v>227538</v>
      </c>
      <c r="N109" s="88">
        <f>34240063+761340</f>
        <v>35001403</v>
      </c>
      <c r="O109" s="88">
        <v>8980650</v>
      </c>
      <c r="P109" s="43">
        <v>3610543</v>
      </c>
      <c r="Q109" s="43">
        <v>449992</v>
      </c>
      <c r="R109" s="43">
        <v>0</v>
      </c>
      <c r="S109" s="88">
        <f>4034894+673405+388059+1097465+568224+7919514+1019658+9521</f>
        <v>15710740</v>
      </c>
      <c r="T109" s="88">
        <f t="shared" si="7"/>
        <v>64120657</v>
      </c>
    </row>
    <row r="110" spans="1:22" x14ac:dyDescent="0.25">
      <c r="A110" s="41">
        <v>44651</v>
      </c>
      <c r="B110" s="43"/>
      <c r="C110" s="43"/>
      <c r="D110" s="88"/>
      <c r="E110" s="43"/>
      <c r="F110" s="43"/>
      <c r="G110" s="88">
        <v>5669</v>
      </c>
      <c r="H110" s="43"/>
      <c r="I110" s="43"/>
      <c r="J110" s="43">
        <v>88207</v>
      </c>
      <c r="K110" s="88">
        <v>0</v>
      </c>
      <c r="L110" s="43"/>
      <c r="M110" s="88">
        <v>220931</v>
      </c>
      <c r="N110" s="88">
        <f>36760806+757801</f>
        <v>37518607</v>
      </c>
      <c r="O110" s="88">
        <v>10732336</v>
      </c>
      <c r="P110" s="43">
        <v>399625</v>
      </c>
      <c r="Q110" s="43">
        <v>162178</v>
      </c>
      <c r="R110" s="43">
        <v>0</v>
      </c>
      <c r="S110" s="88">
        <f>3674484+715773+350705+1162285+619124+8089416+0+0</f>
        <v>14611787</v>
      </c>
      <c r="T110" s="88">
        <f t="shared" si="7"/>
        <v>63739340</v>
      </c>
    </row>
    <row r="111" spans="1:22" x14ac:dyDescent="0.25">
      <c r="A111" s="41">
        <v>44681</v>
      </c>
      <c r="B111" s="43"/>
      <c r="C111" s="43"/>
      <c r="D111" s="88"/>
      <c r="E111" s="43"/>
      <c r="F111" s="43"/>
      <c r="G111" s="88">
        <v>10961</v>
      </c>
      <c r="H111" s="43"/>
      <c r="I111" s="43"/>
      <c r="J111" s="43">
        <v>80848</v>
      </c>
      <c r="K111" s="88">
        <v>0</v>
      </c>
      <c r="L111" s="43"/>
      <c r="M111" s="88">
        <v>211682</v>
      </c>
      <c r="N111" s="88">
        <f>36899581+804834</f>
        <v>37704415</v>
      </c>
      <c r="O111" s="88">
        <v>8681518</v>
      </c>
      <c r="P111" s="43">
        <v>0</v>
      </c>
      <c r="Q111" s="43">
        <v>4411828</v>
      </c>
      <c r="R111" s="43">
        <v>0</v>
      </c>
      <c r="S111" s="88">
        <f>3715725+712231+412738+1126258+590373+5281024+1491537+0</f>
        <v>13329886</v>
      </c>
      <c r="T111" s="88">
        <f t="shared" si="7"/>
        <v>64431138</v>
      </c>
    </row>
    <row r="112" spans="1:22" x14ac:dyDescent="0.25">
      <c r="A112" s="41">
        <v>44712</v>
      </c>
      <c r="B112" s="43"/>
      <c r="C112" s="43"/>
      <c r="D112" s="88"/>
      <c r="E112" s="43"/>
      <c r="F112" s="43"/>
      <c r="G112" s="88">
        <v>5884</v>
      </c>
      <c r="H112" s="43"/>
      <c r="I112" s="43"/>
      <c r="J112" s="43">
        <v>41296</v>
      </c>
      <c r="K112" s="88">
        <v>0</v>
      </c>
      <c r="L112" s="43"/>
      <c r="M112" s="88">
        <v>179840</v>
      </c>
      <c r="N112" s="88">
        <v>35246731</v>
      </c>
      <c r="O112" s="88">
        <v>6981169</v>
      </c>
      <c r="P112" s="43">
        <v>0</v>
      </c>
      <c r="Q112" s="43">
        <v>782753</v>
      </c>
      <c r="R112" s="43">
        <v>0</v>
      </c>
      <c r="S112" s="88">
        <f>3579442+540138+276680+1123222+609109+5758697+1825895+21006</f>
        <v>13734189</v>
      </c>
      <c r="T112" s="88">
        <f t="shared" si="7"/>
        <v>56971862</v>
      </c>
    </row>
    <row r="113" spans="1:22" x14ac:dyDescent="0.25">
      <c r="A113" s="41">
        <v>44742</v>
      </c>
      <c r="B113" s="43"/>
      <c r="C113" s="43"/>
      <c r="D113" s="88"/>
      <c r="E113" s="43"/>
      <c r="F113" s="43"/>
      <c r="G113" s="88">
        <v>2608</v>
      </c>
      <c r="H113" s="43"/>
      <c r="I113" s="43"/>
      <c r="J113" s="43">
        <v>10789</v>
      </c>
      <c r="K113" s="88">
        <v>0</v>
      </c>
      <c r="L113" s="43"/>
      <c r="M113" s="88">
        <v>115112</v>
      </c>
      <c r="N113" s="88">
        <v>31295997</v>
      </c>
      <c r="O113" s="88">
        <v>1361467</v>
      </c>
      <c r="P113" s="43">
        <v>1217442</v>
      </c>
      <c r="Q113" s="43">
        <v>621285</v>
      </c>
      <c r="R113" s="43">
        <v>0</v>
      </c>
      <c r="S113" s="88">
        <f>3175626+365328+236238+1026480+568762+7435483+392070+32468</f>
        <v>13232455</v>
      </c>
      <c r="T113" s="88">
        <f t="shared" si="7"/>
        <v>47857155</v>
      </c>
      <c r="U113" s="123"/>
    </row>
    <row r="114" spans="1:22" x14ac:dyDescent="0.25">
      <c r="A114" s="41">
        <v>44773</v>
      </c>
      <c r="B114" s="43"/>
      <c r="C114" s="160"/>
      <c r="D114" s="88"/>
      <c r="E114" s="43"/>
      <c r="F114" s="43"/>
      <c r="G114" s="88">
        <v>1405</v>
      </c>
      <c r="H114" s="43"/>
      <c r="I114" s="160"/>
      <c r="J114" s="43">
        <v>7393</v>
      </c>
      <c r="K114" s="88">
        <v>0</v>
      </c>
      <c r="L114" s="43"/>
      <c r="M114" s="88">
        <v>88882</v>
      </c>
      <c r="N114" s="88">
        <v>29708765</v>
      </c>
      <c r="O114" s="88">
        <v>13174665</v>
      </c>
      <c r="P114" s="43">
        <v>7356565</v>
      </c>
      <c r="Q114" s="43">
        <v>0</v>
      </c>
      <c r="R114" s="43">
        <v>0</v>
      </c>
      <c r="S114" s="88">
        <f>3289819+583533+223755+1000803+527314+7475514+3312291+28212</f>
        <v>16441241</v>
      </c>
      <c r="T114" s="88">
        <f t="shared" si="7"/>
        <v>66778916</v>
      </c>
      <c r="U114" s="123" t="s">
        <v>53</v>
      </c>
    </row>
    <row r="115" spans="1:22" x14ac:dyDescent="0.25">
      <c r="A115" s="41">
        <v>44804</v>
      </c>
      <c r="B115" s="43"/>
      <c r="C115" s="160"/>
      <c r="D115" s="88"/>
      <c r="E115" s="43"/>
      <c r="F115" s="43"/>
      <c r="G115" s="88">
        <v>1532</v>
      </c>
      <c r="H115" s="43"/>
      <c r="I115" s="160"/>
      <c r="J115" s="43">
        <v>7349</v>
      </c>
      <c r="K115" s="88">
        <v>0</v>
      </c>
      <c r="L115" s="43"/>
      <c r="M115" s="88">
        <v>101586</v>
      </c>
      <c r="N115" s="88">
        <v>33186006</v>
      </c>
      <c r="O115" s="88">
        <f>18226302</f>
        <v>18226302</v>
      </c>
      <c r="P115" s="43">
        <v>10655816</v>
      </c>
      <c r="Q115" s="43">
        <v>0</v>
      </c>
      <c r="R115" s="43">
        <v>0</v>
      </c>
      <c r="S115" s="88">
        <f>2398539+589153+282273+914068+528099+7631064+5360131+183050</f>
        <v>17886377</v>
      </c>
      <c r="T115" s="88">
        <f t="shared" si="7"/>
        <v>80064968</v>
      </c>
      <c r="U115" s="123" t="s">
        <v>54</v>
      </c>
    </row>
    <row r="116" spans="1:22" x14ac:dyDescent="0.25">
      <c r="A116" s="41">
        <v>44834</v>
      </c>
      <c r="B116" s="43"/>
      <c r="C116" s="160"/>
      <c r="D116" s="88"/>
      <c r="E116" s="43"/>
      <c r="F116" s="43"/>
      <c r="G116" s="88"/>
      <c r="H116" s="43"/>
      <c r="I116" s="160"/>
      <c r="J116" s="43"/>
      <c r="K116" s="88"/>
      <c r="L116" s="43"/>
      <c r="M116" s="88"/>
      <c r="N116" s="88"/>
      <c r="O116" s="88"/>
      <c r="P116" s="43"/>
      <c r="Q116" s="43"/>
      <c r="R116" s="43"/>
      <c r="S116" s="88"/>
      <c r="T116" s="88">
        <f t="shared" si="7"/>
        <v>0</v>
      </c>
      <c r="U116" s="123"/>
    </row>
    <row r="117" spans="1:22" x14ac:dyDescent="0.25">
      <c r="A117" s="41">
        <v>44865</v>
      </c>
      <c r="B117" s="43"/>
      <c r="C117" s="160"/>
      <c r="D117" s="88"/>
      <c r="E117" s="43"/>
      <c r="F117" s="43"/>
      <c r="G117" s="88"/>
      <c r="H117" s="43"/>
      <c r="I117" s="160"/>
      <c r="J117" s="43"/>
      <c r="K117" s="88"/>
      <c r="L117" s="43"/>
      <c r="M117" s="88"/>
      <c r="N117" s="88"/>
      <c r="O117" s="88"/>
      <c r="P117" s="43"/>
      <c r="Q117" s="43"/>
      <c r="R117" s="43"/>
      <c r="S117" s="88"/>
      <c r="T117" s="88">
        <f t="shared" si="7"/>
        <v>0</v>
      </c>
      <c r="U117" s="123"/>
    </row>
    <row r="118" spans="1:22" s="124" customFormat="1" x14ac:dyDescent="0.25">
      <c r="A118" s="121"/>
      <c r="B118" s="123"/>
      <c r="C118" s="123"/>
      <c r="D118" s="123"/>
      <c r="E118" s="123"/>
      <c r="F118" s="123"/>
      <c r="G118" s="122" t="s">
        <v>55</v>
      </c>
      <c r="H118" s="123"/>
      <c r="I118" s="123"/>
      <c r="J118" s="122" t="s">
        <v>55</v>
      </c>
      <c r="K118" s="122" t="s">
        <v>55</v>
      </c>
      <c r="L118" s="123"/>
      <c r="M118" s="122" t="s">
        <v>55</v>
      </c>
      <c r="N118" s="122" t="s">
        <v>55</v>
      </c>
      <c r="O118" s="122" t="s">
        <v>55</v>
      </c>
      <c r="P118" s="122" t="s">
        <v>55</v>
      </c>
      <c r="Q118" s="122" t="s">
        <v>55</v>
      </c>
      <c r="R118" s="123"/>
      <c r="S118" s="123"/>
      <c r="T118" s="123"/>
      <c r="U118" s="123"/>
    </row>
    <row r="119" spans="1:22" x14ac:dyDescent="0.25">
      <c r="A119" s="41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</row>
    <row r="120" spans="1:22" x14ac:dyDescent="0.25">
      <c r="A120" s="41"/>
      <c r="B120" s="184" t="s">
        <v>56</v>
      </c>
      <c r="C120" s="184"/>
      <c r="D120" s="184"/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</row>
    <row r="121" spans="1:22" x14ac:dyDescent="0.25">
      <c r="B121" s="56">
        <v>4800</v>
      </c>
      <c r="C121" s="56"/>
      <c r="D121" s="179">
        <v>4809</v>
      </c>
      <c r="E121" s="180"/>
      <c r="F121" s="180"/>
      <c r="G121" s="179">
        <v>4810</v>
      </c>
      <c r="H121" s="180"/>
      <c r="I121" s="180"/>
      <c r="J121" s="180"/>
      <c r="K121" s="179">
        <v>4811</v>
      </c>
      <c r="L121" s="180"/>
      <c r="M121" s="90">
        <v>4813</v>
      </c>
      <c r="N121" s="90">
        <v>4861</v>
      </c>
      <c r="O121" s="179">
        <v>4863</v>
      </c>
      <c r="P121" s="180"/>
      <c r="Q121" s="180"/>
      <c r="R121" s="56"/>
      <c r="S121" s="90"/>
      <c r="T121" s="93"/>
      <c r="U121" s="53" t="s">
        <v>57</v>
      </c>
    </row>
    <row r="122" spans="1:22" x14ac:dyDescent="0.25">
      <c r="B122" s="42">
        <v>503</v>
      </c>
      <c r="C122" s="42"/>
      <c r="D122" s="87" t="s">
        <v>38</v>
      </c>
      <c r="E122" s="42">
        <v>505</v>
      </c>
      <c r="F122" s="42">
        <v>511</v>
      </c>
      <c r="G122" s="87" t="s">
        <v>39</v>
      </c>
      <c r="H122" s="42">
        <v>504</v>
      </c>
      <c r="I122" s="42"/>
      <c r="J122" s="42" t="s">
        <v>41</v>
      </c>
      <c r="K122" s="87" t="s">
        <v>38</v>
      </c>
      <c r="L122" s="42">
        <v>570</v>
      </c>
      <c r="M122" s="87">
        <v>570</v>
      </c>
      <c r="N122" s="125" t="s">
        <v>42</v>
      </c>
      <c r="O122" s="92">
        <v>6631</v>
      </c>
      <c r="P122" s="51">
        <v>6633</v>
      </c>
      <c r="Q122" s="51">
        <v>6635</v>
      </c>
      <c r="R122" s="51">
        <v>916</v>
      </c>
      <c r="S122" s="92" t="s">
        <v>50</v>
      </c>
      <c r="T122" s="94" t="s">
        <v>51</v>
      </c>
      <c r="U122" s="54" t="s">
        <v>58</v>
      </c>
    </row>
    <row r="123" spans="1:22" hidden="1" x14ac:dyDescent="0.25">
      <c r="A123" s="41">
        <v>43343</v>
      </c>
      <c r="B123" s="43">
        <f t="shared" ref="B123:T123" si="8">+B7+B67</f>
        <v>996895</v>
      </c>
      <c r="C123" s="43"/>
      <c r="D123" s="88">
        <f t="shared" si="8"/>
        <v>0</v>
      </c>
      <c r="E123" s="43">
        <f t="shared" si="8"/>
        <v>160070</v>
      </c>
      <c r="F123" s="43">
        <f t="shared" si="8"/>
        <v>88492</v>
      </c>
      <c r="G123" s="88">
        <f t="shared" si="8"/>
        <v>158</v>
      </c>
      <c r="H123" s="43">
        <f t="shared" si="8"/>
        <v>986030</v>
      </c>
      <c r="I123" s="43"/>
      <c r="J123" s="43">
        <f t="shared" si="8"/>
        <v>137321</v>
      </c>
      <c r="K123" s="88">
        <f t="shared" si="8"/>
        <v>359</v>
      </c>
      <c r="L123" s="43">
        <f t="shared" si="8"/>
        <v>0</v>
      </c>
      <c r="M123" s="88">
        <f t="shared" si="8"/>
        <v>93391</v>
      </c>
      <c r="N123" s="88">
        <f t="shared" si="8"/>
        <v>26924983</v>
      </c>
      <c r="O123" s="88">
        <f t="shared" si="8"/>
        <v>0</v>
      </c>
      <c r="P123" s="43">
        <f t="shared" si="8"/>
        <v>12762544</v>
      </c>
      <c r="Q123" s="43">
        <f t="shared" si="8"/>
        <v>5293486</v>
      </c>
      <c r="R123" s="43">
        <f t="shared" si="8"/>
        <v>14392902</v>
      </c>
      <c r="S123" s="88">
        <f t="shared" si="8"/>
        <v>17565446</v>
      </c>
      <c r="T123" s="88">
        <f t="shared" si="8"/>
        <v>83487895</v>
      </c>
      <c r="U123" s="43">
        <f>SUM(B123:R123)</f>
        <v>61836631</v>
      </c>
    </row>
    <row r="124" spans="1:22" hidden="1" x14ac:dyDescent="0.25">
      <c r="A124" s="41">
        <v>43373</v>
      </c>
      <c r="B124" s="43">
        <f t="shared" ref="B124:S124" si="9">+B8+B68-B67</f>
        <v>2809188</v>
      </c>
      <c r="C124" s="43"/>
      <c r="D124" s="88">
        <f t="shared" si="9"/>
        <v>-359</v>
      </c>
      <c r="E124" s="43">
        <f t="shared" si="9"/>
        <v>648016</v>
      </c>
      <c r="F124" s="43">
        <f t="shared" si="9"/>
        <v>241009</v>
      </c>
      <c r="G124" s="88">
        <f t="shared" si="9"/>
        <v>501</v>
      </c>
      <c r="H124" s="43">
        <f t="shared" si="9"/>
        <v>2784183</v>
      </c>
      <c r="I124" s="43"/>
      <c r="J124" s="43">
        <f t="shared" si="9"/>
        <v>384208</v>
      </c>
      <c r="K124" s="88">
        <f t="shared" si="9"/>
        <v>547</v>
      </c>
      <c r="L124" s="43">
        <f t="shared" si="9"/>
        <v>0</v>
      </c>
      <c r="M124" s="88">
        <f t="shared" si="9"/>
        <v>118645</v>
      </c>
      <c r="N124" s="88">
        <f t="shared" si="9"/>
        <v>30461110</v>
      </c>
      <c r="O124" s="88">
        <f t="shared" si="9"/>
        <v>15312916</v>
      </c>
      <c r="P124" s="43">
        <f t="shared" si="9"/>
        <v>14381027</v>
      </c>
      <c r="Q124" s="43">
        <f t="shared" si="9"/>
        <v>2080893</v>
      </c>
      <c r="R124" s="43">
        <f t="shared" si="9"/>
        <v>0</v>
      </c>
      <c r="S124" s="88">
        <f t="shared" si="9"/>
        <v>9779883</v>
      </c>
      <c r="T124" s="88">
        <f t="shared" ref="T124:T134" si="10">SUM(B124:S124)</f>
        <v>79001767</v>
      </c>
      <c r="U124" s="43">
        <f>SUM(B124:R124)</f>
        <v>69221884</v>
      </c>
    </row>
    <row r="125" spans="1:22" hidden="1" x14ac:dyDescent="0.25">
      <c r="A125" s="41">
        <v>43404</v>
      </c>
      <c r="B125" s="43">
        <f t="shared" ref="B125:S125" si="11">+B9+B69-B68</f>
        <v>5307116</v>
      </c>
      <c r="C125" s="43"/>
      <c r="D125" s="88">
        <f t="shared" si="11"/>
        <v>0</v>
      </c>
      <c r="E125" s="43">
        <f t="shared" si="11"/>
        <v>1031586</v>
      </c>
      <c r="F125" s="43">
        <f t="shared" si="11"/>
        <v>447130</v>
      </c>
      <c r="G125" s="88">
        <f t="shared" si="11"/>
        <v>2079</v>
      </c>
      <c r="H125" s="43">
        <f t="shared" si="11"/>
        <v>4259766</v>
      </c>
      <c r="I125" s="43"/>
      <c r="J125" s="43">
        <f t="shared" si="11"/>
        <v>674628</v>
      </c>
      <c r="K125" s="88">
        <f t="shared" si="11"/>
        <v>21</v>
      </c>
      <c r="L125" s="43">
        <f t="shared" si="11"/>
        <v>0</v>
      </c>
      <c r="M125" s="88">
        <f t="shared" si="11"/>
        <v>197742</v>
      </c>
      <c r="N125" s="88">
        <f t="shared" si="11"/>
        <v>32448578</v>
      </c>
      <c r="O125" s="88">
        <f t="shared" si="11"/>
        <v>7714309</v>
      </c>
      <c r="P125" s="43">
        <f t="shared" si="11"/>
        <v>4034082</v>
      </c>
      <c r="Q125" s="43">
        <f t="shared" si="11"/>
        <v>2001543</v>
      </c>
      <c r="R125" s="43">
        <f t="shared" si="11"/>
        <v>0</v>
      </c>
      <c r="S125" s="88">
        <f t="shared" si="11"/>
        <v>12455009</v>
      </c>
      <c r="T125" s="88">
        <f t="shared" si="10"/>
        <v>70573589</v>
      </c>
      <c r="U125" s="43">
        <f>SUM(B125:R125)</f>
        <v>58118580</v>
      </c>
    </row>
    <row r="126" spans="1:22" hidden="1" x14ac:dyDescent="0.25">
      <c r="A126" s="41">
        <v>43434</v>
      </c>
      <c r="B126" s="43">
        <f t="shared" ref="B126:S126" si="12">+B10-B69</f>
        <v>5727490</v>
      </c>
      <c r="C126" s="43"/>
      <c r="D126" s="88">
        <f t="shared" si="12"/>
        <v>0</v>
      </c>
      <c r="E126" s="43">
        <f t="shared" si="12"/>
        <v>691277</v>
      </c>
      <c r="F126" s="43">
        <f t="shared" si="12"/>
        <v>107458</v>
      </c>
      <c r="G126" s="88">
        <f t="shared" si="12"/>
        <v>0</v>
      </c>
      <c r="H126" s="43">
        <f t="shared" si="12"/>
        <v>4031349</v>
      </c>
      <c r="I126" s="43"/>
      <c r="J126" s="43">
        <f t="shared" si="12"/>
        <v>459820</v>
      </c>
      <c r="K126" s="88">
        <f t="shared" si="12"/>
        <v>0</v>
      </c>
      <c r="L126" s="43">
        <f t="shared" si="12"/>
        <v>0</v>
      </c>
      <c r="M126" s="88">
        <f t="shared" si="12"/>
        <v>0</v>
      </c>
      <c r="N126" s="88">
        <f t="shared" si="12"/>
        <v>0</v>
      </c>
      <c r="O126" s="88">
        <f t="shared" si="12"/>
        <v>0</v>
      </c>
      <c r="P126" s="43">
        <f t="shared" si="12"/>
        <v>0</v>
      </c>
      <c r="Q126" s="43">
        <f t="shared" si="12"/>
        <v>0</v>
      </c>
      <c r="R126" s="43">
        <f t="shared" si="12"/>
        <v>0</v>
      </c>
      <c r="S126" s="88">
        <f t="shared" si="12"/>
        <v>0</v>
      </c>
      <c r="T126" s="88">
        <f t="shared" si="10"/>
        <v>11017394</v>
      </c>
      <c r="U126" s="43">
        <f>SUM(B126:R126)</f>
        <v>11017394</v>
      </c>
      <c r="V126" s="40" t="s">
        <v>45</v>
      </c>
    </row>
    <row r="127" spans="1:22" hidden="1" x14ac:dyDescent="0.25">
      <c r="A127" s="41">
        <v>43434</v>
      </c>
      <c r="B127" s="43">
        <f t="shared" ref="B127:S127" si="13">+B11+B70</f>
        <v>3233440</v>
      </c>
      <c r="C127" s="43"/>
      <c r="D127" s="88">
        <f t="shared" si="13"/>
        <v>63</v>
      </c>
      <c r="E127" s="43">
        <f t="shared" si="13"/>
        <v>298083</v>
      </c>
      <c r="F127" s="43">
        <f t="shared" si="13"/>
        <v>77569</v>
      </c>
      <c r="G127" s="88">
        <f t="shared" si="13"/>
        <v>3464</v>
      </c>
      <c r="H127" s="43">
        <f t="shared" si="13"/>
        <v>2122532</v>
      </c>
      <c r="I127" s="43"/>
      <c r="J127" s="43">
        <f t="shared" si="13"/>
        <v>331925</v>
      </c>
      <c r="K127" s="88">
        <f t="shared" si="13"/>
        <v>0</v>
      </c>
      <c r="L127" s="43">
        <f t="shared" si="13"/>
        <v>0</v>
      </c>
      <c r="M127" s="88">
        <f t="shared" si="13"/>
        <v>217688</v>
      </c>
      <c r="N127" s="88">
        <f t="shared" si="13"/>
        <v>25948738</v>
      </c>
      <c r="O127" s="88">
        <f t="shared" si="13"/>
        <v>76766</v>
      </c>
      <c r="P127" s="43">
        <f t="shared" si="13"/>
        <v>28205</v>
      </c>
      <c r="Q127" s="43">
        <f t="shared" si="13"/>
        <v>33898</v>
      </c>
      <c r="R127" s="43">
        <f t="shared" si="13"/>
        <v>0</v>
      </c>
      <c r="S127" s="88">
        <f t="shared" si="13"/>
        <v>12530783</v>
      </c>
      <c r="T127" s="88">
        <f t="shared" si="10"/>
        <v>44903154</v>
      </c>
      <c r="U127" s="43">
        <f>SUM(B127:R127)</f>
        <v>32372371</v>
      </c>
      <c r="V127" s="40" t="s">
        <v>46</v>
      </c>
    </row>
    <row r="128" spans="1:22" hidden="1" x14ac:dyDescent="0.25">
      <c r="A128" s="41">
        <v>43465</v>
      </c>
      <c r="B128" s="43">
        <f t="shared" ref="B128:S128" si="14">+B12+B71-B70</f>
        <v>17031202</v>
      </c>
      <c r="C128" s="43"/>
      <c r="D128" s="88">
        <f t="shared" si="14"/>
        <v>-63</v>
      </c>
      <c r="E128" s="43">
        <f t="shared" si="14"/>
        <v>1475293</v>
      </c>
      <c r="F128" s="43">
        <f t="shared" si="14"/>
        <v>305292</v>
      </c>
      <c r="G128" s="88">
        <f t="shared" si="14"/>
        <v>4915</v>
      </c>
      <c r="H128" s="43">
        <f t="shared" si="14"/>
        <v>11460190</v>
      </c>
      <c r="I128" s="43"/>
      <c r="J128" s="43">
        <f t="shared" si="14"/>
        <v>1383646</v>
      </c>
      <c r="K128" s="88">
        <f t="shared" si="14"/>
        <v>142</v>
      </c>
      <c r="L128" s="43">
        <f t="shared" si="14"/>
        <v>0</v>
      </c>
      <c r="M128" s="88">
        <f t="shared" si="14"/>
        <v>260482</v>
      </c>
      <c r="N128" s="88">
        <f t="shared" si="14"/>
        <v>29346851</v>
      </c>
      <c r="O128" s="88">
        <f t="shared" si="14"/>
        <v>14382579</v>
      </c>
      <c r="P128" s="43">
        <f t="shared" si="14"/>
        <v>4450625</v>
      </c>
      <c r="Q128" s="43">
        <f t="shared" si="14"/>
        <v>57483</v>
      </c>
      <c r="R128" s="43">
        <f t="shared" si="14"/>
        <v>0</v>
      </c>
      <c r="S128" s="88">
        <f t="shared" si="14"/>
        <v>14281508</v>
      </c>
      <c r="T128" s="88">
        <f t="shared" si="10"/>
        <v>94440145</v>
      </c>
      <c r="U128" s="43">
        <f t="shared" ref="U128:U177" si="15">SUM(B128:R128)</f>
        <v>80158637</v>
      </c>
    </row>
    <row r="129" spans="1:22" hidden="1" x14ac:dyDescent="0.25">
      <c r="A129" s="41">
        <v>43496</v>
      </c>
      <c r="B129" s="43">
        <f t="shared" ref="B129:S129" si="16">+B13+B72-B71</f>
        <v>19425579</v>
      </c>
      <c r="C129" s="43"/>
      <c r="D129" s="88">
        <f t="shared" si="16"/>
        <v>0</v>
      </c>
      <c r="E129" s="43">
        <f t="shared" si="16"/>
        <v>1433715</v>
      </c>
      <c r="F129" s="43">
        <f t="shared" si="16"/>
        <v>330955</v>
      </c>
      <c r="G129" s="88">
        <f t="shared" si="16"/>
        <v>4626</v>
      </c>
      <c r="H129" s="43">
        <f t="shared" si="16"/>
        <v>13117967</v>
      </c>
      <c r="I129" s="43"/>
      <c r="J129" s="43">
        <f t="shared" si="16"/>
        <v>1477641</v>
      </c>
      <c r="K129" s="88">
        <f t="shared" si="16"/>
        <v>7</v>
      </c>
      <c r="L129" s="43">
        <f t="shared" si="16"/>
        <v>0</v>
      </c>
      <c r="M129" s="88">
        <f t="shared" si="16"/>
        <v>258811</v>
      </c>
      <c r="N129" s="88">
        <f t="shared" si="16"/>
        <v>31076934</v>
      </c>
      <c r="O129" s="88">
        <f t="shared" si="16"/>
        <v>14944499</v>
      </c>
      <c r="P129" s="43">
        <f t="shared" si="16"/>
        <v>4088088</v>
      </c>
      <c r="Q129" s="43">
        <f t="shared" si="16"/>
        <v>106086</v>
      </c>
      <c r="R129" s="43">
        <f t="shared" si="16"/>
        <v>0</v>
      </c>
      <c r="S129" s="88">
        <f t="shared" si="16"/>
        <v>15543372</v>
      </c>
      <c r="T129" s="88">
        <f t="shared" si="10"/>
        <v>101808280</v>
      </c>
      <c r="U129" s="43">
        <f t="shared" si="15"/>
        <v>86264908</v>
      </c>
    </row>
    <row r="130" spans="1:22" hidden="1" x14ac:dyDescent="0.25">
      <c r="A130" s="41">
        <v>43524</v>
      </c>
      <c r="B130" s="43">
        <f t="shared" ref="B130:S130" si="17">+B14+B73-B72</f>
        <v>20826493</v>
      </c>
      <c r="C130" s="43"/>
      <c r="D130" s="88">
        <f t="shared" si="17"/>
        <v>0</v>
      </c>
      <c r="E130" s="43">
        <f t="shared" si="17"/>
        <v>1616149</v>
      </c>
      <c r="F130" s="43">
        <f t="shared" si="17"/>
        <v>325966</v>
      </c>
      <c r="G130" s="88">
        <f t="shared" si="17"/>
        <v>5486</v>
      </c>
      <c r="H130" s="43">
        <f t="shared" si="17"/>
        <v>13988227</v>
      </c>
      <c r="I130" s="43"/>
      <c r="J130" s="43">
        <f t="shared" si="17"/>
        <v>1527495</v>
      </c>
      <c r="K130" s="88">
        <f t="shared" si="17"/>
        <v>0</v>
      </c>
      <c r="L130" s="43">
        <f t="shared" si="17"/>
        <v>0</v>
      </c>
      <c r="M130" s="88">
        <f t="shared" si="17"/>
        <v>270184</v>
      </c>
      <c r="N130" s="88">
        <f t="shared" si="17"/>
        <v>30225230</v>
      </c>
      <c r="O130" s="88">
        <f t="shared" si="17"/>
        <v>7408861</v>
      </c>
      <c r="P130" s="43">
        <f t="shared" si="17"/>
        <v>5846716</v>
      </c>
      <c r="Q130" s="43">
        <f t="shared" si="17"/>
        <v>228696</v>
      </c>
      <c r="R130" s="43">
        <f t="shared" si="17"/>
        <v>0</v>
      </c>
      <c r="S130" s="88">
        <f t="shared" si="17"/>
        <v>17237311</v>
      </c>
      <c r="T130" s="88">
        <f t="shared" si="10"/>
        <v>99506814</v>
      </c>
      <c r="U130" s="43">
        <f t="shared" si="15"/>
        <v>82269503</v>
      </c>
    </row>
    <row r="131" spans="1:22" hidden="1" x14ac:dyDescent="0.25">
      <c r="A131" s="41">
        <v>43555</v>
      </c>
      <c r="B131" s="43">
        <f t="shared" ref="B131:S131" si="18">+B15+B74-B73</f>
        <v>22406676</v>
      </c>
      <c r="C131" s="43"/>
      <c r="D131" s="88">
        <f t="shared" si="18"/>
        <v>0</v>
      </c>
      <c r="E131" s="43">
        <f t="shared" si="18"/>
        <v>1794729</v>
      </c>
      <c r="F131" s="43">
        <f t="shared" si="18"/>
        <v>344448</v>
      </c>
      <c r="G131" s="88">
        <f t="shared" si="18"/>
        <v>3527</v>
      </c>
      <c r="H131" s="43">
        <f t="shared" si="18"/>
        <v>15941825</v>
      </c>
      <c r="I131" s="43"/>
      <c r="J131" s="43">
        <f t="shared" si="18"/>
        <v>1650107</v>
      </c>
      <c r="K131" s="88">
        <f t="shared" si="18"/>
        <v>0</v>
      </c>
      <c r="L131" s="43">
        <f t="shared" si="18"/>
        <v>0</v>
      </c>
      <c r="M131" s="88">
        <f t="shared" si="18"/>
        <v>248145</v>
      </c>
      <c r="N131" s="88">
        <f t="shared" si="18"/>
        <v>29441177</v>
      </c>
      <c r="O131" s="88">
        <f t="shared" si="18"/>
        <v>9817659</v>
      </c>
      <c r="P131" s="43">
        <f t="shared" si="18"/>
        <v>3088142</v>
      </c>
      <c r="Q131" s="43">
        <f t="shared" si="18"/>
        <v>0</v>
      </c>
      <c r="R131" s="43">
        <f t="shared" si="18"/>
        <v>0</v>
      </c>
      <c r="S131" s="88">
        <f t="shared" si="18"/>
        <v>17120002</v>
      </c>
      <c r="T131" s="88">
        <f t="shared" si="10"/>
        <v>101856437</v>
      </c>
      <c r="U131" s="43">
        <f t="shared" si="15"/>
        <v>84736435</v>
      </c>
    </row>
    <row r="132" spans="1:22" hidden="1" x14ac:dyDescent="0.25">
      <c r="A132" s="41">
        <v>43585</v>
      </c>
      <c r="B132" s="43">
        <f t="shared" ref="B132:S132" si="19">+B16+B75-B74</f>
        <v>12262358</v>
      </c>
      <c r="C132" s="43"/>
      <c r="D132" s="88">
        <f t="shared" si="19"/>
        <v>0</v>
      </c>
      <c r="E132" s="43">
        <f t="shared" si="19"/>
        <v>1331310</v>
      </c>
      <c r="F132" s="43">
        <f t="shared" si="19"/>
        <v>339049</v>
      </c>
      <c r="G132" s="88">
        <f t="shared" si="19"/>
        <v>2258</v>
      </c>
      <c r="H132" s="43">
        <f t="shared" si="19"/>
        <v>9096547</v>
      </c>
      <c r="I132" s="43"/>
      <c r="J132" s="43">
        <f t="shared" si="19"/>
        <v>1028839</v>
      </c>
      <c r="K132" s="88">
        <f t="shared" si="19"/>
        <v>128</v>
      </c>
      <c r="L132" s="43">
        <f t="shared" si="19"/>
        <v>0</v>
      </c>
      <c r="M132" s="88">
        <f t="shared" si="19"/>
        <v>191467</v>
      </c>
      <c r="N132" s="88">
        <f t="shared" si="19"/>
        <v>27808927</v>
      </c>
      <c r="O132" s="88">
        <f t="shared" si="19"/>
        <v>7594206</v>
      </c>
      <c r="P132" s="43">
        <f t="shared" si="19"/>
        <v>2551096</v>
      </c>
      <c r="Q132" s="43">
        <f t="shared" si="19"/>
        <v>24270</v>
      </c>
      <c r="R132" s="43">
        <f t="shared" si="19"/>
        <v>0</v>
      </c>
      <c r="S132" s="88">
        <f t="shared" si="19"/>
        <v>15524856</v>
      </c>
      <c r="T132" s="88">
        <f t="shared" si="10"/>
        <v>77755311</v>
      </c>
      <c r="U132" s="43">
        <f t="shared" si="15"/>
        <v>62230455</v>
      </c>
    </row>
    <row r="133" spans="1:22" hidden="1" x14ac:dyDescent="0.25">
      <c r="A133" s="41">
        <v>43616</v>
      </c>
      <c r="B133" s="43">
        <f t="shared" ref="B133:S133" si="20">+B17+B76-B75</f>
        <v>7409569</v>
      </c>
      <c r="C133" s="43"/>
      <c r="D133" s="88">
        <f t="shared" si="20"/>
        <v>0</v>
      </c>
      <c r="E133" s="43">
        <f t="shared" si="20"/>
        <v>789879</v>
      </c>
      <c r="F133" s="43">
        <f t="shared" si="20"/>
        <v>267660</v>
      </c>
      <c r="G133" s="88">
        <f t="shared" si="20"/>
        <v>645</v>
      </c>
      <c r="H133" s="43">
        <f t="shared" si="20"/>
        <v>5370530</v>
      </c>
      <c r="I133" s="43"/>
      <c r="J133" s="43">
        <f t="shared" si="20"/>
        <v>692205</v>
      </c>
      <c r="K133" s="88">
        <f t="shared" si="20"/>
        <v>151</v>
      </c>
      <c r="L133" s="43">
        <f t="shared" si="20"/>
        <v>0</v>
      </c>
      <c r="M133" s="88">
        <f t="shared" si="20"/>
        <v>142256</v>
      </c>
      <c r="N133" s="88">
        <f t="shared" si="20"/>
        <v>29847911</v>
      </c>
      <c r="O133" s="88">
        <f t="shared" si="20"/>
        <v>5340649</v>
      </c>
      <c r="P133" s="43">
        <f t="shared" si="20"/>
        <v>381981</v>
      </c>
      <c r="Q133" s="43">
        <f t="shared" si="20"/>
        <v>234043</v>
      </c>
      <c r="R133" s="43">
        <f t="shared" si="20"/>
        <v>0</v>
      </c>
      <c r="S133" s="88">
        <f t="shared" si="20"/>
        <v>12183082</v>
      </c>
      <c r="T133" s="88">
        <f t="shared" si="10"/>
        <v>62660561</v>
      </c>
      <c r="U133" s="43">
        <f t="shared" si="15"/>
        <v>50477479</v>
      </c>
    </row>
    <row r="134" spans="1:22" hidden="1" x14ac:dyDescent="0.25">
      <c r="A134" s="41">
        <v>43646</v>
      </c>
      <c r="B134" s="43">
        <f t="shared" ref="B134:S134" si="21">+B18+B77-B76</f>
        <v>4046705</v>
      </c>
      <c r="C134" s="43"/>
      <c r="D134" s="88">
        <f t="shared" si="21"/>
        <v>0</v>
      </c>
      <c r="E134" s="43">
        <f t="shared" si="21"/>
        <v>579038</v>
      </c>
      <c r="F134" s="43">
        <f t="shared" si="21"/>
        <v>275040</v>
      </c>
      <c r="G134" s="88">
        <f t="shared" si="21"/>
        <v>367</v>
      </c>
      <c r="H134" s="43">
        <f t="shared" si="21"/>
        <v>3465484</v>
      </c>
      <c r="I134" s="43"/>
      <c r="J134" s="43">
        <f t="shared" si="21"/>
        <v>479946</v>
      </c>
      <c r="K134" s="88">
        <f t="shared" si="21"/>
        <v>0</v>
      </c>
      <c r="L134" s="43">
        <f t="shared" si="21"/>
        <v>0</v>
      </c>
      <c r="M134" s="88">
        <f t="shared" si="21"/>
        <v>110987</v>
      </c>
      <c r="N134" s="88">
        <f t="shared" si="21"/>
        <v>27060192</v>
      </c>
      <c r="O134" s="88">
        <f t="shared" si="21"/>
        <v>7824546</v>
      </c>
      <c r="P134" s="43">
        <f t="shared" si="21"/>
        <v>6776820</v>
      </c>
      <c r="Q134" s="43">
        <f t="shared" si="21"/>
        <v>1112893</v>
      </c>
      <c r="R134" s="43">
        <f t="shared" si="21"/>
        <v>0</v>
      </c>
      <c r="S134" s="88">
        <f t="shared" si="21"/>
        <v>12154296</v>
      </c>
      <c r="T134" s="88">
        <f t="shared" si="10"/>
        <v>63886314</v>
      </c>
      <c r="U134" s="43">
        <f t="shared" si="15"/>
        <v>51732018</v>
      </c>
    </row>
    <row r="135" spans="1:22" hidden="1" x14ac:dyDescent="0.25">
      <c r="A135" s="41">
        <v>43677</v>
      </c>
      <c r="B135" s="43">
        <f t="shared" ref="B135:S135" si="22">+B19+B78-B77</f>
        <v>3217527</v>
      </c>
      <c r="C135" s="43"/>
      <c r="D135" s="88">
        <f t="shared" si="22"/>
        <v>0</v>
      </c>
      <c r="E135" s="43">
        <f t="shared" si="22"/>
        <v>537168</v>
      </c>
      <c r="F135" s="43">
        <f t="shared" si="22"/>
        <v>315197</v>
      </c>
      <c r="G135" s="88">
        <f t="shared" si="22"/>
        <v>155</v>
      </c>
      <c r="H135" s="43">
        <f t="shared" si="22"/>
        <v>3054528</v>
      </c>
      <c r="I135" s="43"/>
      <c r="J135" s="43">
        <f t="shared" si="22"/>
        <v>406093</v>
      </c>
      <c r="K135" s="88">
        <f t="shared" si="22"/>
        <v>163</v>
      </c>
      <c r="L135" s="43">
        <f t="shared" si="22"/>
        <v>0</v>
      </c>
      <c r="M135" s="88">
        <f t="shared" si="22"/>
        <v>120028</v>
      </c>
      <c r="N135" s="88">
        <f t="shared" si="22"/>
        <v>26075307</v>
      </c>
      <c r="O135" s="88">
        <f t="shared" si="22"/>
        <v>14501183</v>
      </c>
      <c r="P135" s="43">
        <f t="shared" si="22"/>
        <v>14122838</v>
      </c>
      <c r="Q135" s="43">
        <f t="shared" si="22"/>
        <v>5050508</v>
      </c>
      <c r="R135" s="43">
        <f t="shared" si="22"/>
        <v>0</v>
      </c>
      <c r="S135" s="88">
        <f t="shared" si="22"/>
        <v>21648336</v>
      </c>
      <c r="T135" s="88">
        <f t="shared" ref="T135:T141" si="23">SUM(B135:S135)</f>
        <v>89049031</v>
      </c>
      <c r="U135" s="43">
        <f t="shared" si="15"/>
        <v>67400695</v>
      </c>
    </row>
    <row r="136" spans="1:22" hidden="1" x14ac:dyDescent="0.25">
      <c r="A136" s="41">
        <v>43708</v>
      </c>
      <c r="B136" s="43">
        <f t="shared" ref="B136:S136" si="24">+B20+B79-B78</f>
        <v>2775098</v>
      </c>
      <c r="C136" s="43"/>
      <c r="D136" s="88">
        <f t="shared" si="24"/>
        <v>0</v>
      </c>
      <c r="E136" s="43">
        <f t="shared" si="24"/>
        <v>564404</v>
      </c>
      <c r="F136" s="43">
        <f t="shared" si="24"/>
        <v>350812</v>
      </c>
      <c r="G136" s="88">
        <f t="shared" si="24"/>
        <v>138</v>
      </c>
      <c r="H136" s="43">
        <f t="shared" si="24"/>
        <v>2791770</v>
      </c>
      <c r="I136" s="43"/>
      <c r="J136" s="43">
        <f t="shared" si="24"/>
        <v>400926</v>
      </c>
      <c r="K136" s="88">
        <f t="shared" si="24"/>
        <v>0</v>
      </c>
      <c r="L136" s="43">
        <f t="shared" si="24"/>
        <v>0</v>
      </c>
      <c r="M136" s="88">
        <f t="shared" si="24"/>
        <v>93626</v>
      </c>
      <c r="N136" s="88">
        <f t="shared" si="24"/>
        <v>28191126</v>
      </c>
      <c r="O136" s="88">
        <f t="shared" si="24"/>
        <v>16164686</v>
      </c>
      <c r="P136" s="43">
        <f t="shared" si="24"/>
        <v>15605297</v>
      </c>
      <c r="Q136" s="43">
        <f t="shared" si="24"/>
        <v>9500954</v>
      </c>
      <c r="R136" s="43">
        <f t="shared" si="24"/>
        <v>0</v>
      </c>
      <c r="S136" s="88">
        <f t="shared" si="24"/>
        <v>22716787</v>
      </c>
      <c r="T136" s="88">
        <f t="shared" si="23"/>
        <v>99155624</v>
      </c>
      <c r="U136" s="43">
        <f t="shared" si="15"/>
        <v>76438837</v>
      </c>
    </row>
    <row r="137" spans="1:22" hidden="1" x14ac:dyDescent="0.25">
      <c r="A137" s="41">
        <v>43738</v>
      </c>
      <c r="B137" s="43">
        <f t="shared" ref="B137:S137" si="25">+B21+B80-B79</f>
        <v>2691847</v>
      </c>
      <c r="C137" s="43"/>
      <c r="D137" s="88">
        <f t="shared" si="25"/>
        <v>0</v>
      </c>
      <c r="E137" s="43">
        <f t="shared" si="25"/>
        <v>651984</v>
      </c>
      <c r="F137" s="43">
        <f t="shared" si="25"/>
        <v>310612</v>
      </c>
      <c r="G137" s="88">
        <f t="shared" si="25"/>
        <v>619</v>
      </c>
      <c r="H137" s="43">
        <f t="shared" si="25"/>
        <v>2672689</v>
      </c>
      <c r="I137" s="43"/>
      <c r="J137" s="43">
        <f t="shared" si="25"/>
        <v>346838</v>
      </c>
      <c r="K137" s="88">
        <f t="shared" si="25"/>
        <v>411</v>
      </c>
      <c r="L137" s="43">
        <f t="shared" si="25"/>
        <v>0</v>
      </c>
      <c r="M137" s="88">
        <f t="shared" si="25"/>
        <v>111442</v>
      </c>
      <c r="N137" s="88">
        <f t="shared" si="25"/>
        <v>31412664</v>
      </c>
      <c r="O137" s="88">
        <f t="shared" si="25"/>
        <v>15653966</v>
      </c>
      <c r="P137" s="43">
        <f t="shared" si="25"/>
        <v>14512835</v>
      </c>
      <c r="Q137" s="43">
        <f t="shared" si="25"/>
        <v>4852567</v>
      </c>
      <c r="R137" s="43">
        <f t="shared" si="25"/>
        <v>0</v>
      </c>
      <c r="S137" s="88">
        <f t="shared" si="25"/>
        <v>19793658</v>
      </c>
      <c r="T137" s="88">
        <f t="shared" si="23"/>
        <v>93012132</v>
      </c>
      <c r="U137" s="43">
        <f t="shared" si="15"/>
        <v>73218474</v>
      </c>
    </row>
    <row r="138" spans="1:22" hidden="1" x14ac:dyDescent="0.25">
      <c r="A138" s="41">
        <v>43769</v>
      </c>
      <c r="B138" s="43">
        <f t="shared" ref="B138:S138" si="26">+B22+B81-B80</f>
        <v>6366467</v>
      </c>
      <c r="C138" s="43"/>
      <c r="D138" s="88">
        <f t="shared" si="26"/>
        <v>0</v>
      </c>
      <c r="E138" s="43">
        <f t="shared" si="26"/>
        <v>1274354</v>
      </c>
      <c r="F138" s="43">
        <f t="shared" si="26"/>
        <v>413276</v>
      </c>
      <c r="G138" s="88">
        <f t="shared" si="26"/>
        <v>2955</v>
      </c>
      <c r="H138" s="43">
        <f t="shared" si="26"/>
        <v>4853452</v>
      </c>
      <c r="I138" s="43"/>
      <c r="J138" s="43">
        <f t="shared" si="26"/>
        <v>2027719</v>
      </c>
      <c r="K138" s="88">
        <f t="shared" si="26"/>
        <v>317</v>
      </c>
      <c r="L138" s="43">
        <f t="shared" si="26"/>
        <v>0</v>
      </c>
      <c r="M138" s="88">
        <f t="shared" si="26"/>
        <v>232820</v>
      </c>
      <c r="N138" s="88">
        <f t="shared" si="26"/>
        <v>34409561</v>
      </c>
      <c r="O138" s="88">
        <f t="shared" si="26"/>
        <v>11066352</v>
      </c>
      <c r="P138" s="43">
        <f t="shared" si="26"/>
        <v>667138</v>
      </c>
      <c r="Q138" s="43">
        <f t="shared" si="26"/>
        <v>897404</v>
      </c>
      <c r="R138" s="43">
        <f t="shared" si="26"/>
        <v>0</v>
      </c>
      <c r="S138" s="88">
        <f t="shared" si="26"/>
        <v>17522363</v>
      </c>
      <c r="T138" s="88">
        <f t="shared" si="23"/>
        <v>79734178</v>
      </c>
      <c r="U138" s="43">
        <f t="shared" si="15"/>
        <v>62211815</v>
      </c>
    </row>
    <row r="139" spans="1:22" hidden="1" x14ac:dyDescent="0.25">
      <c r="A139" s="41">
        <v>43799</v>
      </c>
      <c r="B139" s="43">
        <f t="shared" ref="B139:S139" si="27">+B23-B81</f>
        <v>7622134</v>
      </c>
      <c r="C139" s="43"/>
      <c r="D139" s="88">
        <f t="shared" si="27"/>
        <v>0</v>
      </c>
      <c r="E139" s="43">
        <f t="shared" si="27"/>
        <v>806453</v>
      </c>
      <c r="F139" s="43">
        <f t="shared" si="27"/>
        <v>292270</v>
      </c>
      <c r="G139" s="88">
        <f t="shared" si="27"/>
        <v>0</v>
      </c>
      <c r="H139" s="43">
        <f t="shared" si="27"/>
        <v>5319138</v>
      </c>
      <c r="I139" s="43"/>
      <c r="J139" s="43">
        <f t="shared" si="27"/>
        <v>626870</v>
      </c>
      <c r="K139" s="88">
        <f t="shared" si="27"/>
        <v>0</v>
      </c>
      <c r="L139" s="43">
        <f t="shared" si="27"/>
        <v>0</v>
      </c>
      <c r="M139" s="88">
        <f t="shared" si="27"/>
        <v>0</v>
      </c>
      <c r="N139" s="88">
        <f t="shared" si="27"/>
        <v>132</v>
      </c>
      <c r="O139" s="88">
        <f t="shared" si="27"/>
        <v>0</v>
      </c>
      <c r="P139" s="43">
        <f t="shared" si="27"/>
        <v>0</v>
      </c>
      <c r="Q139" s="43">
        <f t="shared" si="27"/>
        <v>0</v>
      </c>
      <c r="R139" s="43">
        <f t="shared" si="27"/>
        <v>0</v>
      </c>
      <c r="S139" s="88">
        <f t="shared" si="27"/>
        <v>0</v>
      </c>
      <c r="T139" s="88">
        <f t="shared" si="23"/>
        <v>14666997</v>
      </c>
      <c r="U139" s="43">
        <f t="shared" si="15"/>
        <v>14666997</v>
      </c>
      <c r="V139" s="40" t="s">
        <v>45</v>
      </c>
    </row>
    <row r="140" spans="1:22" hidden="1" x14ac:dyDescent="0.25">
      <c r="A140" s="41">
        <v>43799</v>
      </c>
      <c r="B140" s="43">
        <f t="shared" ref="B140:S140" si="28">+B24+B82</f>
        <v>4006834</v>
      </c>
      <c r="C140" s="43"/>
      <c r="D140" s="88">
        <f t="shared" si="28"/>
        <v>0</v>
      </c>
      <c r="E140" s="43">
        <f t="shared" si="28"/>
        <v>352170</v>
      </c>
      <c r="F140" s="43">
        <f t="shared" si="28"/>
        <v>192646</v>
      </c>
      <c r="G140" s="88">
        <f t="shared" si="28"/>
        <v>3958</v>
      </c>
      <c r="H140" s="43">
        <f t="shared" si="28"/>
        <v>2589532</v>
      </c>
      <c r="I140" s="43"/>
      <c r="J140" s="43">
        <f t="shared" si="28"/>
        <v>1908901</v>
      </c>
      <c r="K140" s="88">
        <f t="shared" si="28"/>
        <v>491</v>
      </c>
      <c r="L140" s="43">
        <f t="shared" si="28"/>
        <v>0</v>
      </c>
      <c r="M140" s="88">
        <f t="shared" si="28"/>
        <v>230233</v>
      </c>
      <c r="N140" s="88">
        <f t="shared" si="28"/>
        <v>29790523</v>
      </c>
      <c r="O140" s="88">
        <f t="shared" si="28"/>
        <v>12699045</v>
      </c>
      <c r="P140" s="43">
        <f t="shared" si="28"/>
        <v>5956005</v>
      </c>
      <c r="Q140" s="43">
        <f t="shared" si="28"/>
        <v>211269</v>
      </c>
      <c r="R140" s="43">
        <f t="shared" si="28"/>
        <v>0</v>
      </c>
      <c r="S140" s="88">
        <f t="shared" si="28"/>
        <v>15540522</v>
      </c>
      <c r="T140" s="88">
        <f t="shared" si="23"/>
        <v>73482129</v>
      </c>
      <c r="U140" s="43">
        <f t="shared" si="15"/>
        <v>57941607</v>
      </c>
      <c r="V140" s="40" t="s">
        <v>46</v>
      </c>
    </row>
    <row r="141" spans="1:22" hidden="1" x14ac:dyDescent="0.25">
      <c r="A141" s="41">
        <v>43830</v>
      </c>
      <c r="B141" s="43">
        <f t="shared" ref="B141:S141" si="29">+B25+B83-B82</f>
        <v>17650518</v>
      </c>
      <c r="C141" s="43"/>
      <c r="D141" s="88">
        <f t="shared" si="29"/>
        <v>0</v>
      </c>
      <c r="E141" s="43">
        <f t="shared" si="29"/>
        <v>1422636</v>
      </c>
      <c r="F141" s="43">
        <f t="shared" si="29"/>
        <v>368658</v>
      </c>
      <c r="G141" s="88">
        <f t="shared" si="29"/>
        <v>4552</v>
      </c>
      <c r="H141" s="43">
        <f t="shared" si="29"/>
        <v>11976706</v>
      </c>
      <c r="I141" s="43"/>
      <c r="J141" s="43">
        <f t="shared" si="29"/>
        <v>2959155</v>
      </c>
      <c r="K141" s="88">
        <f t="shared" si="29"/>
        <v>261</v>
      </c>
      <c r="L141" s="43">
        <f t="shared" si="29"/>
        <v>0</v>
      </c>
      <c r="M141" s="88">
        <f t="shared" si="29"/>
        <v>254015</v>
      </c>
      <c r="N141" s="88">
        <f t="shared" si="29"/>
        <v>31617374</v>
      </c>
      <c r="O141" s="88">
        <f t="shared" si="29"/>
        <v>14173947</v>
      </c>
      <c r="P141" s="43">
        <f t="shared" si="29"/>
        <v>13886984</v>
      </c>
      <c r="Q141" s="43">
        <f t="shared" si="29"/>
        <v>1297588</v>
      </c>
      <c r="R141" s="43">
        <f t="shared" si="29"/>
        <v>0</v>
      </c>
      <c r="S141" s="88">
        <f t="shared" si="29"/>
        <v>23698445</v>
      </c>
      <c r="T141" s="88">
        <f t="shared" si="23"/>
        <v>119310839</v>
      </c>
      <c r="U141" s="43">
        <f t="shared" si="15"/>
        <v>95612394</v>
      </c>
    </row>
    <row r="142" spans="1:22" hidden="1" x14ac:dyDescent="0.25">
      <c r="A142" s="41">
        <v>43861</v>
      </c>
      <c r="B142" s="43">
        <f t="shared" ref="B142:S142" si="30">+B26+B84-B83</f>
        <v>21443608</v>
      </c>
      <c r="C142" s="43"/>
      <c r="D142" s="88">
        <f t="shared" si="30"/>
        <v>0</v>
      </c>
      <c r="E142" s="43">
        <f t="shared" si="30"/>
        <v>1522757</v>
      </c>
      <c r="F142" s="43">
        <f t="shared" si="30"/>
        <v>431249</v>
      </c>
      <c r="G142" s="88">
        <f t="shared" si="30"/>
        <v>4887</v>
      </c>
      <c r="H142" s="43">
        <f t="shared" si="30"/>
        <v>14478708</v>
      </c>
      <c r="I142" s="43"/>
      <c r="J142" s="43">
        <f t="shared" si="30"/>
        <v>3309514</v>
      </c>
      <c r="K142" s="88">
        <f t="shared" si="30"/>
        <v>85</v>
      </c>
      <c r="L142" s="43">
        <f t="shared" si="30"/>
        <v>0</v>
      </c>
      <c r="M142" s="88">
        <f t="shared" si="30"/>
        <v>256203</v>
      </c>
      <c r="N142" s="88">
        <f t="shared" si="30"/>
        <v>32467716</v>
      </c>
      <c r="O142" s="88">
        <f t="shared" si="30"/>
        <v>12220363</v>
      </c>
      <c r="P142" s="43">
        <f t="shared" si="30"/>
        <v>9693367</v>
      </c>
      <c r="Q142" s="43">
        <f t="shared" si="30"/>
        <v>362331</v>
      </c>
      <c r="R142" s="43">
        <f t="shared" si="30"/>
        <v>0</v>
      </c>
      <c r="S142" s="88">
        <f t="shared" si="30"/>
        <v>21168090</v>
      </c>
      <c r="T142" s="88">
        <f t="shared" ref="T142:T154" si="31">SUM(B142:S142)</f>
        <v>117358878</v>
      </c>
      <c r="U142" s="43">
        <f t="shared" si="15"/>
        <v>96190788</v>
      </c>
    </row>
    <row r="143" spans="1:22" hidden="1" x14ac:dyDescent="0.25">
      <c r="A143" s="41">
        <v>43890</v>
      </c>
      <c r="B143" s="43">
        <f t="shared" ref="B143:S143" si="32">+B27+B85-B84</f>
        <v>17506775</v>
      </c>
      <c r="C143" s="43"/>
      <c r="D143" s="88">
        <f t="shared" si="32"/>
        <v>0</v>
      </c>
      <c r="E143" s="43">
        <f t="shared" si="32"/>
        <v>1322495</v>
      </c>
      <c r="F143" s="43">
        <f t="shared" si="32"/>
        <v>393372</v>
      </c>
      <c r="G143" s="88">
        <f t="shared" si="32"/>
        <v>4650</v>
      </c>
      <c r="H143" s="43">
        <f t="shared" si="32"/>
        <v>11970901</v>
      </c>
      <c r="I143" s="43"/>
      <c r="J143" s="43">
        <f t="shared" si="32"/>
        <v>2889473</v>
      </c>
      <c r="K143" s="88">
        <f t="shared" si="32"/>
        <v>341</v>
      </c>
      <c r="L143" s="43">
        <f t="shared" si="32"/>
        <v>0</v>
      </c>
      <c r="M143" s="88">
        <f t="shared" si="32"/>
        <v>228991</v>
      </c>
      <c r="N143" s="88">
        <f t="shared" si="32"/>
        <v>30355704</v>
      </c>
      <c r="O143" s="88">
        <f t="shared" si="32"/>
        <v>11897437</v>
      </c>
      <c r="P143" s="43">
        <f t="shared" si="32"/>
        <v>7438730</v>
      </c>
      <c r="Q143" s="43">
        <f t="shared" si="32"/>
        <v>761639</v>
      </c>
      <c r="R143" s="43">
        <f t="shared" si="32"/>
        <v>0</v>
      </c>
      <c r="S143" s="88">
        <f t="shared" si="32"/>
        <v>17401464</v>
      </c>
      <c r="T143" s="88">
        <f t="shared" si="31"/>
        <v>102171972</v>
      </c>
      <c r="U143" s="43">
        <f t="shared" si="15"/>
        <v>84770508</v>
      </c>
    </row>
    <row r="144" spans="1:22" hidden="1" x14ac:dyDescent="0.25">
      <c r="A144" s="41">
        <v>43921</v>
      </c>
      <c r="B144" s="43">
        <f t="shared" ref="B144:S144" si="33">+B28+B86-B85</f>
        <v>17635811</v>
      </c>
      <c r="C144" s="43"/>
      <c r="D144" s="88">
        <f t="shared" si="33"/>
        <v>0</v>
      </c>
      <c r="E144" s="43">
        <f t="shared" si="33"/>
        <v>1356275</v>
      </c>
      <c r="F144" s="43">
        <f t="shared" si="33"/>
        <v>297569</v>
      </c>
      <c r="G144" s="88">
        <f t="shared" si="33"/>
        <v>4903</v>
      </c>
      <c r="H144" s="43">
        <f t="shared" si="33"/>
        <v>11812961</v>
      </c>
      <c r="I144" s="43"/>
      <c r="J144" s="43">
        <f t="shared" si="33"/>
        <v>3033699</v>
      </c>
      <c r="K144" s="88">
        <f t="shared" si="33"/>
        <v>182</v>
      </c>
      <c r="L144" s="43">
        <f t="shared" si="33"/>
        <v>0</v>
      </c>
      <c r="M144" s="88">
        <f t="shared" si="33"/>
        <v>229265</v>
      </c>
      <c r="N144" s="88">
        <f t="shared" si="33"/>
        <v>32606618</v>
      </c>
      <c r="O144" s="88">
        <f t="shared" si="33"/>
        <v>15670834</v>
      </c>
      <c r="P144" s="43">
        <f t="shared" si="33"/>
        <v>14229128</v>
      </c>
      <c r="Q144" s="43">
        <f t="shared" si="33"/>
        <v>3004872</v>
      </c>
      <c r="R144" s="43">
        <f t="shared" si="33"/>
        <v>0</v>
      </c>
      <c r="S144" s="88">
        <f t="shared" si="33"/>
        <v>22397689</v>
      </c>
      <c r="T144" s="88">
        <f t="shared" si="31"/>
        <v>122279806</v>
      </c>
      <c r="U144" s="43">
        <f t="shared" si="15"/>
        <v>99882117</v>
      </c>
    </row>
    <row r="145" spans="1:22" hidden="1" x14ac:dyDescent="0.25">
      <c r="A145" s="41">
        <v>43951</v>
      </c>
      <c r="B145" s="43">
        <f t="shared" ref="B145:S145" si="34">+B29+B87-B86</f>
        <v>13930299</v>
      </c>
      <c r="C145" s="43"/>
      <c r="D145" s="88">
        <f t="shared" si="34"/>
        <v>0</v>
      </c>
      <c r="E145" s="43">
        <f t="shared" si="34"/>
        <v>1128418</v>
      </c>
      <c r="F145" s="43">
        <f t="shared" si="34"/>
        <v>537766</v>
      </c>
      <c r="G145" s="88">
        <f t="shared" si="34"/>
        <v>3889</v>
      </c>
      <c r="H145" s="43">
        <f t="shared" si="34"/>
        <v>8554564</v>
      </c>
      <c r="I145" s="43"/>
      <c r="J145" s="43">
        <f t="shared" si="34"/>
        <v>2377971</v>
      </c>
      <c r="K145" s="88">
        <f t="shared" si="34"/>
        <v>193</v>
      </c>
      <c r="L145" s="43">
        <f t="shared" si="34"/>
        <v>0</v>
      </c>
      <c r="M145" s="88">
        <f t="shared" si="34"/>
        <v>189521</v>
      </c>
      <c r="N145" s="88">
        <f t="shared" si="34"/>
        <v>27153616</v>
      </c>
      <c r="O145" s="88">
        <f t="shared" si="34"/>
        <v>13569738</v>
      </c>
      <c r="P145" s="43">
        <f t="shared" si="34"/>
        <v>11001952</v>
      </c>
      <c r="Q145" s="43">
        <f t="shared" si="34"/>
        <v>3430843</v>
      </c>
      <c r="R145" s="43">
        <f t="shared" si="34"/>
        <v>0</v>
      </c>
      <c r="S145" s="88">
        <f t="shared" si="34"/>
        <v>18242418</v>
      </c>
      <c r="T145" s="88">
        <f t="shared" si="31"/>
        <v>100121188</v>
      </c>
      <c r="U145" s="43">
        <f t="shared" si="15"/>
        <v>81878770</v>
      </c>
    </row>
    <row r="146" spans="1:22" hidden="1" x14ac:dyDescent="0.25">
      <c r="A146" s="41">
        <v>43982</v>
      </c>
      <c r="B146" s="43">
        <f t="shared" ref="B146:S146" si="35">+B30+B88-B87</f>
        <v>6809502</v>
      </c>
      <c r="C146" s="43"/>
      <c r="D146" s="88">
        <f t="shared" si="35"/>
        <v>0</v>
      </c>
      <c r="E146" s="43">
        <f t="shared" si="35"/>
        <v>713209</v>
      </c>
      <c r="F146" s="43">
        <f t="shared" si="35"/>
        <v>222952</v>
      </c>
      <c r="G146" s="88">
        <f t="shared" si="35"/>
        <v>2219</v>
      </c>
      <c r="H146" s="43">
        <f t="shared" si="35"/>
        <v>4127918</v>
      </c>
      <c r="I146" s="43"/>
      <c r="J146" s="43">
        <f t="shared" si="35"/>
        <v>1489675</v>
      </c>
      <c r="K146" s="88">
        <f t="shared" si="35"/>
        <v>0</v>
      </c>
      <c r="L146" s="43">
        <f t="shared" si="35"/>
        <v>0</v>
      </c>
      <c r="M146" s="88">
        <f t="shared" si="35"/>
        <v>139474</v>
      </c>
      <c r="N146" s="88">
        <f t="shared" si="35"/>
        <v>29220834</v>
      </c>
      <c r="O146" s="88">
        <f t="shared" si="35"/>
        <v>2198918</v>
      </c>
      <c r="P146" s="43">
        <f t="shared" si="35"/>
        <v>791584</v>
      </c>
      <c r="Q146" s="43">
        <f t="shared" si="35"/>
        <v>447784</v>
      </c>
      <c r="R146" s="43">
        <f t="shared" si="35"/>
        <v>0</v>
      </c>
      <c r="S146" s="88">
        <f t="shared" si="35"/>
        <v>12993634</v>
      </c>
      <c r="T146" s="88">
        <f t="shared" si="31"/>
        <v>59157703</v>
      </c>
      <c r="U146" s="43">
        <f t="shared" si="15"/>
        <v>46164069</v>
      </c>
    </row>
    <row r="147" spans="1:22" hidden="1" x14ac:dyDescent="0.25">
      <c r="A147" s="41">
        <v>44012</v>
      </c>
      <c r="B147" s="43">
        <f t="shared" ref="B147:S147" si="36">+B31+B89-B88</f>
        <v>5005480</v>
      </c>
      <c r="C147" s="43"/>
      <c r="D147" s="88">
        <f t="shared" si="36"/>
        <v>0</v>
      </c>
      <c r="E147" s="43">
        <f t="shared" si="36"/>
        <v>637229</v>
      </c>
      <c r="F147" s="43">
        <f t="shared" si="36"/>
        <v>433558</v>
      </c>
      <c r="G147" s="88">
        <f t="shared" si="36"/>
        <v>2099</v>
      </c>
      <c r="H147" s="43">
        <f t="shared" si="36"/>
        <v>3158885</v>
      </c>
      <c r="I147" s="43"/>
      <c r="J147" s="43">
        <f t="shared" si="36"/>
        <v>1216237</v>
      </c>
      <c r="K147" s="88">
        <f t="shared" si="36"/>
        <v>0</v>
      </c>
      <c r="L147" s="43">
        <f t="shared" si="36"/>
        <v>0</v>
      </c>
      <c r="M147" s="88">
        <f t="shared" si="36"/>
        <v>109505</v>
      </c>
      <c r="N147" s="88">
        <f t="shared" si="36"/>
        <v>27661973</v>
      </c>
      <c r="O147" s="88">
        <f t="shared" si="36"/>
        <v>3015900</v>
      </c>
      <c r="P147" s="43">
        <f t="shared" si="36"/>
        <v>1306946</v>
      </c>
      <c r="Q147" s="43">
        <f t="shared" si="36"/>
        <v>736401</v>
      </c>
      <c r="R147" s="43">
        <f t="shared" si="36"/>
        <v>0</v>
      </c>
      <c r="S147" s="88">
        <f t="shared" si="36"/>
        <v>11632274</v>
      </c>
      <c r="T147" s="88">
        <f t="shared" si="31"/>
        <v>54916487</v>
      </c>
      <c r="U147" s="43">
        <f t="shared" si="15"/>
        <v>43284213</v>
      </c>
    </row>
    <row r="148" spans="1:22" hidden="1" x14ac:dyDescent="0.25">
      <c r="A148" s="41">
        <v>44043</v>
      </c>
      <c r="B148" s="43">
        <f t="shared" ref="B148:S148" si="37">+B32+B90-B89</f>
        <v>4024864</v>
      </c>
      <c r="C148" s="43"/>
      <c r="D148" s="88">
        <f t="shared" si="37"/>
        <v>0</v>
      </c>
      <c r="E148" s="43">
        <f t="shared" si="37"/>
        <v>562464</v>
      </c>
      <c r="F148" s="43">
        <f t="shared" si="37"/>
        <v>335278</v>
      </c>
      <c r="G148" s="88">
        <f t="shared" si="37"/>
        <v>943</v>
      </c>
      <c r="H148" s="43">
        <f t="shared" si="37"/>
        <v>2836474</v>
      </c>
      <c r="I148" s="43"/>
      <c r="J148" s="43">
        <f t="shared" si="37"/>
        <v>1217402</v>
      </c>
      <c r="K148" s="88">
        <f t="shared" si="37"/>
        <v>0</v>
      </c>
      <c r="L148" s="43">
        <f t="shared" si="37"/>
        <v>0</v>
      </c>
      <c r="M148" s="88">
        <f t="shared" si="37"/>
        <v>106383</v>
      </c>
      <c r="N148" s="88">
        <f t="shared" si="37"/>
        <v>28966911</v>
      </c>
      <c r="O148" s="88">
        <f t="shared" si="37"/>
        <v>9874110</v>
      </c>
      <c r="P148" s="43">
        <f t="shared" si="37"/>
        <v>5180231</v>
      </c>
      <c r="Q148" s="43">
        <f t="shared" si="37"/>
        <v>1984278</v>
      </c>
      <c r="R148" s="43">
        <f t="shared" si="37"/>
        <v>0</v>
      </c>
      <c r="S148" s="88">
        <f t="shared" si="37"/>
        <v>13659055</v>
      </c>
      <c r="T148" s="88">
        <f t="shared" si="31"/>
        <v>68748393</v>
      </c>
      <c r="U148" s="43">
        <f t="shared" si="15"/>
        <v>55089338</v>
      </c>
    </row>
    <row r="149" spans="1:22" hidden="1" x14ac:dyDescent="0.25">
      <c r="A149" s="41">
        <v>44074</v>
      </c>
      <c r="B149" s="43">
        <f t="shared" ref="B149:S149" si="38">+B33+B91-B90</f>
        <v>2732363</v>
      </c>
      <c r="C149" s="43"/>
      <c r="D149" s="88">
        <f t="shared" si="38"/>
        <v>0</v>
      </c>
      <c r="E149" s="43">
        <f t="shared" si="38"/>
        <v>497342</v>
      </c>
      <c r="F149" s="43">
        <f t="shared" si="38"/>
        <v>298740</v>
      </c>
      <c r="G149" s="88">
        <f t="shared" si="38"/>
        <v>816</v>
      </c>
      <c r="H149" s="43">
        <f t="shared" si="38"/>
        <v>2165794</v>
      </c>
      <c r="I149" s="43"/>
      <c r="J149" s="43">
        <f t="shared" si="38"/>
        <v>956939</v>
      </c>
      <c r="K149" s="88">
        <f t="shared" si="38"/>
        <v>0</v>
      </c>
      <c r="L149" s="43">
        <f t="shared" si="38"/>
        <v>0</v>
      </c>
      <c r="M149" s="88">
        <f t="shared" si="38"/>
        <v>100500</v>
      </c>
      <c r="N149" s="88">
        <f t="shared" si="38"/>
        <v>32340707</v>
      </c>
      <c r="O149" s="88">
        <f t="shared" si="38"/>
        <v>13157147</v>
      </c>
      <c r="P149" s="43">
        <f t="shared" si="38"/>
        <v>10278160</v>
      </c>
      <c r="Q149" s="43">
        <f t="shared" si="38"/>
        <v>4334957</v>
      </c>
      <c r="R149" s="43">
        <f t="shared" si="38"/>
        <v>0</v>
      </c>
      <c r="S149" s="88">
        <f t="shared" si="38"/>
        <v>17515872</v>
      </c>
      <c r="T149" s="88">
        <f t="shared" si="31"/>
        <v>84379337</v>
      </c>
      <c r="U149" s="43">
        <f t="shared" si="15"/>
        <v>66863465</v>
      </c>
    </row>
    <row r="150" spans="1:22" hidden="1" x14ac:dyDescent="0.25">
      <c r="A150" s="41">
        <v>44104</v>
      </c>
      <c r="B150" s="43">
        <f t="shared" ref="B150:S150" si="39">+B34+B92-B91</f>
        <v>2948480</v>
      </c>
      <c r="C150" s="43"/>
      <c r="D150" s="88">
        <f t="shared" si="39"/>
        <v>0</v>
      </c>
      <c r="E150" s="43">
        <f t="shared" si="39"/>
        <v>620797</v>
      </c>
      <c r="F150" s="43">
        <f t="shared" si="39"/>
        <v>341767</v>
      </c>
      <c r="G150" s="88">
        <f t="shared" si="39"/>
        <v>643</v>
      </c>
      <c r="H150" s="43">
        <f t="shared" si="39"/>
        <v>2450387</v>
      </c>
      <c r="I150" s="43"/>
      <c r="J150" s="43">
        <f t="shared" si="39"/>
        <v>933559</v>
      </c>
      <c r="K150" s="88">
        <f t="shared" si="39"/>
        <v>0</v>
      </c>
      <c r="L150" s="43">
        <f t="shared" si="39"/>
        <v>0</v>
      </c>
      <c r="M150" s="88">
        <f t="shared" si="39"/>
        <v>94559</v>
      </c>
      <c r="N150" s="88">
        <f t="shared" si="39"/>
        <v>34240639</v>
      </c>
      <c r="O150" s="88">
        <f t="shared" si="39"/>
        <v>14061705</v>
      </c>
      <c r="P150" s="43">
        <f t="shared" si="39"/>
        <v>12575104</v>
      </c>
      <c r="Q150" s="43">
        <f t="shared" si="39"/>
        <v>5435910</v>
      </c>
      <c r="R150" s="43">
        <f t="shared" si="39"/>
        <v>0</v>
      </c>
      <c r="S150" s="88">
        <f t="shared" si="39"/>
        <v>16862906</v>
      </c>
      <c r="T150" s="88">
        <f t="shared" si="31"/>
        <v>90566456</v>
      </c>
      <c r="U150" s="43">
        <f t="shared" si="15"/>
        <v>73703550</v>
      </c>
    </row>
    <row r="151" spans="1:22" hidden="1" x14ac:dyDescent="0.25">
      <c r="A151" s="41">
        <v>44135</v>
      </c>
      <c r="B151" s="43">
        <f t="shared" ref="B151:S151" si="40">+B35+B93-B92</f>
        <v>4232461</v>
      </c>
      <c r="C151" s="43"/>
      <c r="D151" s="88">
        <f t="shared" si="40"/>
        <v>0</v>
      </c>
      <c r="E151" s="43">
        <f t="shared" si="40"/>
        <v>1000739</v>
      </c>
      <c r="F151" s="43">
        <f t="shared" si="40"/>
        <v>374010</v>
      </c>
      <c r="G151" s="88">
        <f t="shared" si="40"/>
        <v>3290</v>
      </c>
      <c r="H151" s="43">
        <f t="shared" si="40"/>
        <v>3183599</v>
      </c>
      <c r="I151" s="43"/>
      <c r="J151" s="43">
        <f t="shared" si="40"/>
        <v>506452</v>
      </c>
      <c r="K151" s="88">
        <f t="shared" si="40"/>
        <v>0</v>
      </c>
      <c r="L151" s="43">
        <f t="shared" si="40"/>
        <v>0</v>
      </c>
      <c r="M151" s="88">
        <f t="shared" si="40"/>
        <v>178840</v>
      </c>
      <c r="N151" s="88">
        <f t="shared" si="40"/>
        <v>36890125</v>
      </c>
      <c r="O151" s="88">
        <f t="shared" si="40"/>
        <v>9459059</v>
      </c>
      <c r="P151" s="43">
        <f t="shared" si="40"/>
        <v>8268305</v>
      </c>
      <c r="Q151" s="43">
        <f t="shared" si="40"/>
        <v>1590604</v>
      </c>
      <c r="R151" s="43">
        <f t="shared" si="40"/>
        <v>0</v>
      </c>
      <c r="S151" s="88">
        <f t="shared" si="40"/>
        <v>13938535</v>
      </c>
      <c r="T151" s="88">
        <f t="shared" si="31"/>
        <v>79626019</v>
      </c>
      <c r="U151" s="43">
        <f t="shared" si="15"/>
        <v>65687484</v>
      </c>
    </row>
    <row r="152" spans="1:22" hidden="1" x14ac:dyDescent="0.25">
      <c r="A152" s="41">
        <v>44165</v>
      </c>
      <c r="B152" s="43">
        <f t="shared" ref="B152:S152" si="41">+B36-B93</f>
        <v>6886950</v>
      </c>
      <c r="C152" s="43"/>
      <c r="D152" s="88">
        <f t="shared" si="41"/>
        <v>0</v>
      </c>
      <c r="E152" s="43">
        <f t="shared" si="41"/>
        <v>615235</v>
      </c>
      <c r="F152" s="43">
        <f t="shared" si="41"/>
        <v>224068</v>
      </c>
      <c r="G152" s="88">
        <f t="shared" si="41"/>
        <v>0</v>
      </c>
      <c r="H152" s="43">
        <f t="shared" si="41"/>
        <v>4428383</v>
      </c>
      <c r="I152" s="43"/>
      <c r="J152" s="43">
        <f t="shared" si="41"/>
        <v>570674</v>
      </c>
      <c r="K152" s="88">
        <f t="shared" si="41"/>
        <v>0</v>
      </c>
      <c r="L152" s="43">
        <f t="shared" si="41"/>
        <v>0</v>
      </c>
      <c r="M152" s="88">
        <f t="shared" si="41"/>
        <v>0</v>
      </c>
      <c r="N152" s="88">
        <f t="shared" si="41"/>
        <v>-43037</v>
      </c>
      <c r="O152" s="88">
        <f t="shared" si="41"/>
        <v>0</v>
      </c>
      <c r="P152" s="43">
        <f t="shared" si="41"/>
        <v>0</v>
      </c>
      <c r="Q152" s="43">
        <f t="shared" si="41"/>
        <v>0</v>
      </c>
      <c r="R152" s="43">
        <f t="shared" si="41"/>
        <v>0</v>
      </c>
      <c r="S152" s="88">
        <f t="shared" si="41"/>
        <v>0</v>
      </c>
      <c r="T152" s="88">
        <f t="shared" si="31"/>
        <v>12682273</v>
      </c>
      <c r="U152" s="43">
        <f t="shared" si="15"/>
        <v>12682273</v>
      </c>
      <c r="V152" s="40" t="s">
        <v>45</v>
      </c>
    </row>
    <row r="153" spans="1:22" hidden="1" x14ac:dyDescent="0.25">
      <c r="A153" s="41">
        <v>44165</v>
      </c>
      <c r="B153" s="43">
        <f t="shared" ref="B153:S153" si="42">+B37+B94</f>
        <v>3564962</v>
      </c>
      <c r="C153" s="43"/>
      <c r="D153" s="88">
        <f t="shared" si="42"/>
        <v>0</v>
      </c>
      <c r="E153" s="43">
        <f t="shared" si="42"/>
        <v>255052</v>
      </c>
      <c r="F153" s="43">
        <f t="shared" si="42"/>
        <v>108414</v>
      </c>
      <c r="G153" s="88">
        <f t="shared" si="42"/>
        <v>5658</v>
      </c>
      <c r="H153" s="43">
        <f t="shared" si="42"/>
        <v>2059842</v>
      </c>
      <c r="I153" s="43"/>
      <c r="J153" s="43">
        <f t="shared" si="42"/>
        <v>341335</v>
      </c>
      <c r="K153" s="88">
        <f t="shared" si="42"/>
        <v>0</v>
      </c>
      <c r="L153" s="43">
        <f t="shared" si="42"/>
        <v>0</v>
      </c>
      <c r="M153" s="88">
        <f t="shared" si="42"/>
        <v>220318</v>
      </c>
      <c r="N153" s="88">
        <f t="shared" si="42"/>
        <v>38203799</v>
      </c>
      <c r="O153" s="88">
        <f t="shared" si="42"/>
        <v>7516479</v>
      </c>
      <c r="P153" s="43">
        <f t="shared" si="42"/>
        <v>2419246</v>
      </c>
      <c r="Q153" s="43">
        <f t="shared" si="42"/>
        <v>916410</v>
      </c>
      <c r="R153" s="43">
        <f t="shared" si="42"/>
        <v>0</v>
      </c>
      <c r="S153" s="88">
        <f t="shared" si="42"/>
        <v>13316554</v>
      </c>
      <c r="T153" s="88">
        <f t="shared" ref="T153" si="43">SUM(B153:S153)</f>
        <v>68928069</v>
      </c>
      <c r="U153" s="43">
        <f t="shared" si="15"/>
        <v>55611515</v>
      </c>
      <c r="V153" s="40" t="s">
        <v>46</v>
      </c>
    </row>
    <row r="154" spans="1:22" hidden="1" x14ac:dyDescent="0.25">
      <c r="A154" s="41">
        <v>44196</v>
      </c>
      <c r="B154" s="43">
        <f t="shared" ref="B154:S154" si="44">+B38+B95-B94</f>
        <v>18475354</v>
      </c>
      <c r="C154" s="43"/>
      <c r="D154" s="88">
        <f t="shared" si="44"/>
        <v>0</v>
      </c>
      <c r="E154" s="43">
        <f t="shared" si="44"/>
        <v>1356324</v>
      </c>
      <c r="F154" s="43">
        <f t="shared" si="44"/>
        <v>419977</v>
      </c>
      <c r="G154" s="88">
        <f t="shared" si="44"/>
        <v>7535</v>
      </c>
      <c r="H154" s="43">
        <f t="shared" si="44"/>
        <v>12051598</v>
      </c>
      <c r="I154" s="43"/>
      <c r="J154" s="43">
        <f t="shared" si="44"/>
        <v>1502233</v>
      </c>
      <c r="K154" s="88">
        <f t="shared" si="44"/>
        <v>0</v>
      </c>
      <c r="L154" s="43">
        <f t="shared" si="44"/>
        <v>0</v>
      </c>
      <c r="M154" s="88">
        <f t="shared" si="44"/>
        <v>244469</v>
      </c>
      <c r="N154" s="88">
        <f t="shared" si="44"/>
        <v>37243979</v>
      </c>
      <c r="O154" s="88">
        <f t="shared" si="44"/>
        <v>13353201</v>
      </c>
      <c r="P154" s="43">
        <f t="shared" si="44"/>
        <v>9176642</v>
      </c>
      <c r="Q154" s="43">
        <f t="shared" si="44"/>
        <v>764453</v>
      </c>
      <c r="R154" s="43">
        <f t="shared" si="44"/>
        <v>0</v>
      </c>
      <c r="S154" s="88">
        <f t="shared" si="44"/>
        <v>15396753</v>
      </c>
      <c r="T154" s="88">
        <f t="shared" si="31"/>
        <v>109992518</v>
      </c>
      <c r="U154" s="43">
        <f t="shared" si="15"/>
        <v>94595765</v>
      </c>
    </row>
    <row r="155" spans="1:22" hidden="1" x14ac:dyDescent="0.25">
      <c r="A155" s="41">
        <v>44227</v>
      </c>
      <c r="B155" s="43">
        <f t="shared" ref="B155:S155" si="45">+B39+B96-B95</f>
        <v>19685299</v>
      </c>
      <c r="C155" s="43"/>
      <c r="D155" s="88">
        <f t="shared" si="45"/>
        <v>0</v>
      </c>
      <c r="E155" s="43">
        <f t="shared" si="45"/>
        <v>1264480</v>
      </c>
      <c r="F155" s="43">
        <f t="shared" si="45"/>
        <v>431368</v>
      </c>
      <c r="G155" s="88">
        <f t="shared" si="45"/>
        <v>12694</v>
      </c>
      <c r="H155" s="43">
        <f t="shared" si="45"/>
        <v>12849986</v>
      </c>
      <c r="I155" s="43"/>
      <c r="J155" s="43">
        <f t="shared" si="45"/>
        <v>1460025</v>
      </c>
      <c r="K155" s="88">
        <f t="shared" si="45"/>
        <v>0</v>
      </c>
      <c r="L155" s="43">
        <f t="shared" si="45"/>
        <v>0</v>
      </c>
      <c r="M155" s="88">
        <f t="shared" si="45"/>
        <v>248648</v>
      </c>
      <c r="N155" s="88">
        <f t="shared" si="45"/>
        <v>39534451</v>
      </c>
      <c r="O155" s="88">
        <f t="shared" si="45"/>
        <v>12333204</v>
      </c>
      <c r="P155" s="43">
        <f t="shared" si="45"/>
        <v>5190781</v>
      </c>
      <c r="Q155" s="43">
        <f t="shared" si="45"/>
        <v>252622</v>
      </c>
      <c r="R155" s="43">
        <f t="shared" si="45"/>
        <v>0</v>
      </c>
      <c r="S155" s="88">
        <f t="shared" si="45"/>
        <v>13945929</v>
      </c>
      <c r="T155" s="88">
        <f t="shared" ref="T155:T164" si="46">SUM(B155:S155)</f>
        <v>107209487</v>
      </c>
      <c r="U155" s="43">
        <f t="shared" si="15"/>
        <v>93263558</v>
      </c>
    </row>
    <row r="156" spans="1:22" hidden="1" x14ac:dyDescent="0.25">
      <c r="A156" s="41">
        <v>44255</v>
      </c>
      <c r="B156" s="43">
        <f t="shared" ref="B156:S156" si="47">+B40+B97-B96</f>
        <v>18599534</v>
      </c>
      <c r="C156" s="43"/>
      <c r="D156" s="88">
        <f t="shared" si="47"/>
        <v>0</v>
      </c>
      <c r="E156" s="43">
        <f t="shared" si="47"/>
        <v>1226133</v>
      </c>
      <c r="F156" s="43">
        <f t="shared" si="47"/>
        <v>372501</v>
      </c>
      <c r="G156" s="88">
        <f t="shared" si="47"/>
        <v>7553</v>
      </c>
      <c r="H156" s="43">
        <f t="shared" si="47"/>
        <v>12050270</v>
      </c>
      <c r="I156" s="43"/>
      <c r="J156" s="43">
        <f t="shared" si="47"/>
        <v>1413677</v>
      </c>
      <c r="K156" s="88">
        <f t="shared" si="47"/>
        <v>0</v>
      </c>
      <c r="L156" s="43">
        <f t="shared" si="47"/>
        <v>0</v>
      </c>
      <c r="M156" s="88">
        <f t="shared" si="47"/>
        <v>239855</v>
      </c>
      <c r="N156" s="88">
        <f t="shared" si="47"/>
        <v>36249518</v>
      </c>
      <c r="O156" s="88">
        <f t="shared" si="47"/>
        <v>10471909</v>
      </c>
      <c r="P156" s="43">
        <f t="shared" si="47"/>
        <v>5382227</v>
      </c>
      <c r="Q156" s="43">
        <f t="shared" si="47"/>
        <v>982292</v>
      </c>
      <c r="R156" s="43">
        <f t="shared" si="47"/>
        <v>0</v>
      </c>
      <c r="S156" s="88">
        <f t="shared" si="47"/>
        <v>14040754</v>
      </c>
      <c r="T156" s="88">
        <f t="shared" si="46"/>
        <v>101036223</v>
      </c>
      <c r="U156" s="43">
        <f t="shared" si="15"/>
        <v>86995469</v>
      </c>
    </row>
    <row r="157" spans="1:22" hidden="1" x14ac:dyDescent="0.25">
      <c r="A157" s="41">
        <v>44286</v>
      </c>
      <c r="B157" s="43">
        <f t="shared" ref="B157:S157" si="48">+B41+B98-B97</f>
        <v>19676756</v>
      </c>
      <c r="C157" s="43"/>
      <c r="D157" s="88">
        <f t="shared" si="48"/>
        <v>0</v>
      </c>
      <c r="E157" s="43">
        <f t="shared" si="48"/>
        <v>1362750</v>
      </c>
      <c r="F157" s="43">
        <f t="shared" si="48"/>
        <v>456093</v>
      </c>
      <c r="G157" s="88">
        <f t="shared" si="48"/>
        <v>3998</v>
      </c>
      <c r="H157" s="43">
        <f t="shared" si="48"/>
        <v>13158991</v>
      </c>
      <c r="I157" s="43"/>
      <c r="J157" s="43">
        <f t="shared" si="48"/>
        <v>1484437</v>
      </c>
      <c r="K157" s="88">
        <f t="shared" si="48"/>
        <v>0</v>
      </c>
      <c r="L157" s="43">
        <f t="shared" si="48"/>
        <v>0</v>
      </c>
      <c r="M157" s="88">
        <f t="shared" si="48"/>
        <v>234583</v>
      </c>
      <c r="N157" s="88">
        <f t="shared" si="48"/>
        <v>38737982</v>
      </c>
      <c r="O157" s="88">
        <f t="shared" si="48"/>
        <v>15050505</v>
      </c>
      <c r="P157" s="43">
        <f t="shared" si="48"/>
        <v>10973891</v>
      </c>
      <c r="Q157" s="43">
        <f t="shared" si="48"/>
        <v>2069033</v>
      </c>
      <c r="R157" s="43">
        <f t="shared" si="48"/>
        <v>0</v>
      </c>
      <c r="S157" s="88">
        <f t="shared" si="48"/>
        <v>18544154</v>
      </c>
      <c r="T157" s="88">
        <f t="shared" si="46"/>
        <v>121753173</v>
      </c>
      <c r="U157" s="43">
        <f t="shared" si="15"/>
        <v>103209019</v>
      </c>
    </row>
    <row r="158" spans="1:22" hidden="1" x14ac:dyDescent="0.25">
      <c r="A158" s="41">
        <v>44316</v>
      </c>
      <c r="B158" s="43">
        <f t="shared" ref="B158:S158" si="49">+B42+B99-B98</f>
        <v>13567783</v>
      </c>
      <c r="C158" s="43"/>
      <c r="D158" s="88">
        <f t="shared" si="49"/>
        <v>0</v>
      </c>
      <c r="E158" s="43">
        <f t="shared" si="49"/>
        <v>1066951</v>
      </c>
      <c r="F158" s="43">
        <f t="shared" si="49"/>
        <v>426217</v>
      </c>
      <c r="G158" s="88">
        <f t="shared" si="49"/>
        <v>2200</v>
      </c>
      <c r="H158" s="43">
        <f t="shared" si="49"/>
        <v>9154067</v>
      </c>
      <c r="I158" s="43"/>
      <c r="J158" s="43">
        <f t="shared" si="49"/>
        <v>1134637</v>
      </c>
      <c r="K158" s="88">
        <f t="shared" si="49"/>
        <v>0</v>
      </c>
      <c r="L158" s="43">
        <f t="shared" si="49"/>
        <v>0</v>
      </c>
      <c r="M158" s="88">
        <f t="shared" si="49"/>
        <v>180576</v>
      </c>
      <c r="N158" s="88">
        <f t="shared" si="49"/>
        <v>36210898</v>
      </c>
      <c r="O158" s="88">
        <f t="shared" si="49"/>
        <v>6562711</v>
      </c>
      <c r="P158" s="43">
        <f t="shared" si="49"/>
        <v>12896888</v>
      </c>
      <c r="Q158" s="43">
        <f t="shared" si="49"/>
        <v>8378207</v>
      </c>
      <c r="R158" s="43">
        <f t="shared" si="49"/>
        <v>0</v>
      </c>
      <c r="S158" s="88">
        <f t="shared" si="49"/>
        <v>13747305</v>
      </c>
      <c r="T158" s="88">
        <f t="shared" si="46"/>
        <v>103328440</v>
      </c>
      <c r="U158" s="43">
        <f t="shared" si="15"/>
        <v>89581135</v>
      </c>
    </row>
    <row r="159" spans="1:22" hidden="1" x14ac:dyDescent="0.25">
      <c r="A159" s="41">
        <v>44347</v>
      </c>
      <c r="B159" s="43">
        <f t="shared" ref="B159:S159" si="50">+B43+B100-B99</f>
        <v>6623364</v>
      </c>
      <c r="C159" s="43"/>
      <c r="D159" s="88">
        <f t="shared" si="50"/>
        <v>0</v>
      </c>
      <c r="E159" s="43">
        <f t="shared" si="50"/>
        <v>680086</v>
      </c>
      <c r="F159" s="43">
        <f t="shared" si="50"/>
        <v>286219</v>
      </c>
      <c r="G159" s="88">
        <f t="shared" si="50"/>
        <v>3602</v>
      </c>
      <c r="H159" s="43">
        <f t="shared" si="50"/>
        <v>4930955</v>
      </c>
      <c r="I159" s="43"/>
      <c r="J159" s="43">
        <f t="shared" si="50"/>
        <v>641375</v>
      </c>
      <c r="K159" s="88">
        <f t="shared" si="50"/>
        <v>0</v>
      </c>
      <c r="L159" s="43">
        <f t="shared" si="50"/>
        <v>0</v>
      </c>
      <c r="M159" s="88">
        <f t="shared" si="50"/>
        <v>143789</v>
      </c>
      <c r="N159" s="88">
        <f t="shared" si="50"/>
        <v>34143279</v>
      </c>
      <c r="O159" s="88">
        <f t="shared" si="50"/>
        <v>364</v>
      </c>
      <c r="P159" s="43">
        <f t="shared" si="50"/>
        <v>5871337</v>
      </c>
      <c r="Q159" s="43">
        <f t="shared" si="50"/>
        <v>2903752</v>
      </c>
      <c r="R159" s="43">
        <f t="shared" si="50"/>
        <v>0</v>
      </c>
      <c r="S159" s="88">
        <f t="shared" si="50"/>
        <v>17521829</v>
      </c>
      <c r="T159" s="88">
        <f t="shared" si="46"/>
        <v>73749951</v>
      </c>
      <c r="U159" s="43">
        <f t="shared" si="15"/>
        <v>56228122</v>
      </c>
    </row>
    <row r="160" spans="1:22" hidden="1" x14ac:dyDescent="0.25">
      <c r="A160" s="41">
        <v>44377</v>
      </c>
      <c r="B160" s="43">
        <f t="shared" ref="B160:S160" si="51">+B44+B101-B100</f>
        <v>5165480</v>
      </c>
      <c r="C160" s="43"/>
      <c r="D160" s="88">
        <f t="shared" si="51"/>
        <v>0</v>
      </c>
      <c r="E160" s="43">
        <f t="shared" si="51"/>
        <v>585095</v>
      </c>
      <c r="F160" s="43">
        <f t="shared" si="51"/>
        <v>448138</v>
      </c>
      <c r="G160" s="88">
        <f t="shared" si="51"/>
        <v>1512</v>
      </c>
      <c r="H160" s="43">
        <f t="shared" si="51"/>
        <v>4017478</v>
      </c>
      <c r="I160" s="43"/>
      <c r="J160" s="43">
        <f t="shared" si="51"/>
        <v>510200</v>
      </c>
      <c r="K160" s="88">
        <f t="shared" si="51"/>
        <v>0</v>
      </c>
      <c r="L160" s="43">
        <f t="shared" si="51"/>
        <v>0</v>
      </c>
      <c r="M160" s="88">
        <f t="shared" si="51"/>
        <v>104510</v>
      </c>
      <c r="N160" s="88">
        <f t="shared" si="51"/>
        <v>32699223</v>
      </c>
      <c r="O160" s="88">
        <f t="shared" si="51"/>
        <v>10580854</v>
      </c>
      <c r="P160" s="43">
        <f t="shared" si="51"/>
        <v>9297912</v>
      </c>
      <c r="Q160" s="43">
        <f t="shared" si="51"/>
        <v>5368620</v>
      </c>
      <c r="R160" s="43">
        <f t="shared" si="51"/>
        <v>0</v>
      </c>
      <c r="S160" s="88">
        <f t="shared" si="51"/>
        <v>17571659</v>
      </c>
      <c r="T160" s="88">
        <f t="shared" si="46"/>
        <v>86350681</v>
      </c>
      <c r="U160" s="43">
        <f t="shared" si="15"/>
        <v>68779022</v>
      </c>
    </row>
    <row r="161" spans="1:22" hidden="1" x14ac:dyDescent="0.25">
      <c r="A161" s="41">
        <v>44408</v>
      </c>
      <c r="B161" s="43">
        <f t="shared" ref="B161:S161" si="52">+B45+B102-B101</f>
        <v>3043741</v>
      </c>
      <c r="C161" s="43"/>
      <c r="D161" s="88">
        <f t="shared" si="52"/>
        <v>0</v>
      </c>
      <c r="E161" s="43">
        <f t="shared" si="52"/>
        <v>496382</v>
      </c>
      <c r="F161" s="43">
        <f t="shared" si="52"/>
        <v>260037</v>
      </c>
      <c r="G161" s="88">
        <f t="shared" si="52"/>
        <v>1203</v>
      </c>
      <c r="H161" s="43">
        <f t="shared" si="52"/>
        <v>2731524</v>
      </c>
      <c r="I161" s="43"/>
      <c r="J161" s="43">
        <f t="shared" si="52"/>
        <v>333326</v>
      </c>
      <c r="K161" s="88">
        <f t="shared" si="52"/>
        <v>0</v>
      </c>
      <c r="L161" s="43">
        <f t="shared" si="52"/>
        <v>0</v>
      </c>
      <c r="M161" s="88">
        <f t="shared" si="52"/>
        <v>88811</v>
      </c>
      <c r="N161" s="88">
        <f t="shared" si="52"/>
        <v>29641199</v>
      </c>
      <c r="O161" s="88">
        <f t="shared" si="52"/>
        <v>14701743</v>
      </c>
      <c r="P161" s="43">
        <f t="shared" si="52"/>
        <v>12217042</v>
      </c>
      <c r="Q161" s="43">
        <f t="shared" si="52"/>
        <v>8620267</v>
      </c>
      <c r="R161" s="43">
        <f t="shared" si="52"/>
        <v>0</v>
      </c>
      <c r="S161" s="88">
        <f t="shared" si="52"/>
        <v>20305280</v>
      </c>
      <c r="T161" s="88">
        <f t="shared" si="46"/>
        <v>92440555</v>
      </c>
      <c r="U161" s="43">
        <f t="shared" si="15"/>
        <v>72135275</v>
      </c>
    </row>
    <row r="162" spans="1:22" hidden="1" x14ac:dyDescent="0.25">
      <c r="A162" s="41">
        <v>44439</v>
      </c>
      <c r="B162" s="43">
        <f t="shared" ref="B162:S162" si="53">+B46+B103-B102</f>
        <v>2658664</v>
      </c>
      <c r="C162" s="43"/>
      <c r="D162" s="88">
        <f t="shared" si="53"/>
        <v>0</v>
      </c>
      <c r="E162" s="43">
        <f t="shared" si="53"/>
        <v>465585</v>
      </c>
      <c r="F162" s="43">
        <f t="shared" si="53"/>
        <v>315534</v>
      </c>
      <c r="G162" s="88">
        <f t="shared" si="53"/>
        <v>1834</v>
      </c>
      <c r="H162" s="43">
        <f t="shared" si="53"/>
        <v>2572912</v>
      </c>
      <c r="I162" s="43"/>
      <c r="J162" s="43">
        <f t="shared" si="53"/>
        <v>304207</v>
      </c>
      <c r="K162" s="88">
        <f t="shared" si="53"/>
        <v>0</v>
      </c>
      <c r="L162" s="43">
        <f t="shared" si="53"/>
        <v>0</v>
      </c>
      <c r="M162" s="88">
        <f t="shared" si="53"/>
        <v>103033</v>
      </c>
      <c r="N162" s="88">
        <f t="shared" si="53"/>
        <v>30352096</v>
      </c>
      <c r="O162" s="88">
        <f t="shared" si="53"/>
        <v>14849398</v>
      </c>
      <c r="P162" s="43">
        <f t="shared" si="53"/>
        <v>12371540</v>
      </c>
      <c r="Q162" s="43">
        <f t="shared" si="53"/>
        <v>6769382</v>
      </c>
      <c r="R162" s="43">
        <f t="shared" si="53"/>
        <v>0</v>
      </c>
      <c r="S162" s="88">
        <f t="shared" si="53"/>
        <v>22223899</v>
      </c>
      <c r="T162" s="88">
        <f t="shared" si="46"/>
        <v>92988084</v>
      </c>
      <c r="U162" s="43">
        <f t="shared" si="15"/>
        <v>70764185</v>
      </c>
    </row>
    <row r="163" spans="1:22" hidden="1" x14ac:dyDescent="0.25">
      <c r="A163" s="41">
        <v>44469</v>
      </c>
      <c r="B163" s="43">
        <f t="shared" ref="B163:S163" si="54">+B47+B104-B103</f>
        <v>3024586</v>
      </c>
      <c r="C163" s="43"/>
      <c r="D163" s="88">
        <f t="shared" si="54"/>
        <v>0</v>
      </c>
      <c r="E163" s="43">
        <f t="shared" si="54"/>
        <v>585259</v>
      </c>
      <c r="F163" s="43">
        <f t="shared" si="54"/>
        <v>292711</v>
      </c>
      <c r="G163" s="88">
        <f t="shared" si="54"/>
        <v>2215</v>
      </c>
      <c r="H163" s="43">
        <f t="shared" si="54"/>
        <v>2784423</v>
      </c>
      <c r="I163" s="43"/>
      <c r="J163" s="43">
        <f t="shared" si="54"/>
        <v>323275</v>
      </c>
      <c r="K163" s="88">
        <f t="shared" si="54"/>
        <v>0</v>
      </c>
      <c r="L163" s="43">
        <f t="shared" si="54"/>
        <v>0</v>
      </c>
      <c r="M163" s="88">
        <f t="shared" si="54"/>
        <v>127498</v>
      </c>
      <c r="N163" s="88">
        <f t="shared" si="54"/>
        <v>32241556</v>
      </c>
      <c r="O163" s="88">
        <f t="shared" si="54"/>
        <v>13988315</v>
      </c>
      <c r="P163" s="43">
        <f t="shared" si="54"/>
        <v>13923327</v>
      </c>
      <c r="Q163" s="43">
        <f t="shared" si="54"/>
        <v>4570873</v>
      </c>
      <c r="R163" s="43">
        <f t="shared" si="54"/>
        <v>0</v>
      </c>
      <c r="S163" s="88">
        <f t="shared" si="54"/>
        <v>20545514</v>
      </c>
      <c r="T163" s="88">
        <f t="shared" si="46"/>
        <v>92409552</v>
      </c>
      <c r="U163" s="43">
        <f t="shared" si="15"/>
        <v>71864038</v>
      </c>
    </row>
    <row r="164" spans="1:22" hidden="1" x14ac:dyDescent="0.25">
      <c r="A164" s="41">
        <v>44500</v>
      </c>
      <c r="B164" s="43">
        <f t="shared" ref="B164:S164" si="55">+B48+B105-B104</f>
        <v>5302722</v>
      </c>
      <c r="C164" s="43"/>
      <c r="D164" s="88">
        <f t="shared" si="55"/>
        <v>0</v>
      </c>
      <c r="E164" s="43">
        <f t="shared" si="55"/>
        <v>1219426</v>
      </c>
      <c r="F164" s="43">
        <f t="shared" si="55"/>
        <v>334722</v>
      </c>
      <c r="G164" s="88">
        <f t="shared" si="55"/>
        <v>3066</v>
      </c>
      <c r="H164" s="43">
        <f t="shared" si="55"/>
        <v>3968867</v>
      </c>
      <c r="I164" s="43"/>
      <c r="J164" s="43">
        <f t="shared" si="55"/>
        <v>529394</v>
      </c>
      <c r="K164" s="88">
        <f t="shared" si="55"/>
        <v>0</v>
      </c>
      <c r="L164" s="43">
        <f t="shared" si="55"/>
        <v>0</v>
      </c>
      <c r="M164" s="88">
        <f t="shared" si="55"/>
        <v>188282</v>
      </c>
      <c r="N164" s="88">
        <f t="shared" si="55"/>
        <v>36147853</v>
      </c>
      <c r="O164" s="88">
        <f t="shared" si="55"/>
        <v>10167896</v>
      </c>
      <c r="P164" s="43">
        <f t="shared" si="55"/>
        <v>10295353</v>
      </c>
      <c r="Q164" s="43">
        <f t="shared" si="55"/>
        <v>4181139</v>
      </c>
      <c r="R164" s="43">
        <f t="shared" si="55"/>
        <v>0</v>
      </c>
      <c r="S164" s="88">
        <f t="shared" si="55"/>
        <v>15732010</v>
      </c>
      <c r="T164" s="88">
        <f t="shared" si="46"/>
        <v>88070730</v>
      </c>
      <c r="U164" s="43">
        <f t="shared" si="15"/>
        <v>72338720</v>
      </c>
    </row>
    <row r="165" spans="1:22" x14ac:dyDescent="0.25">
      <c r="A165" s="41">
        <v>44530</v>
      </c>
      <c r="B165" s="43">
        <f>+B49-B105</f>
        <v>6875152</v>
      </c>
      <c r="C165" s="43"/>
      <c r="D165" s="88">
        <f t="shared" ref="D165:T165" si="56">+D49-D105</f>
        <v>0</v>
      </c>
      <c r="E165" s="43">
        <f t="shared" si="56"/>
        <v>687044</v>
      </c>
      <c r="F165" s="43">
        <f t="shared" si="56"/>
        <v>274192</v>
      </c>
      <c r="G165" s="88">
        <f t="shared" si="56"/>
        <v>0</v>
      </c>
      <c r="H165" s="43">
        <f t="shared" si="56"/>
        <v>4648667</v>
      </c>
      <c r="I165" s="43"/>
      <c r="J165" s="43">
        <f t="shared" si="56"/>
        <v>554223</v>
      </c>
      <c r="K165" s="88">
        <f t="shared" si="56"/>
        <v>0</v>
      </c>
      <c r="L165" s="43">
        <f t="shared" si="56"/>
        <v>0</v>
      </c>
      <c r="M165" s="88">
        <f t="shared" si="56"/>
        <v>0</v>
      </c>
      <c r="N165" s="88">
        <f t="shared" si="56"/>
        <v>0</v>
      </c>
      <c r="O165" s="88">
        <f t="shared" si="56"/>
        <v>0</v>
      </c>
      <c r="P165" s="43">
        <f t="shared" si="56"/>
        <v>0</v>
      </c>
      <c r="Q165" s="43">
        <f t="shared" si="56"/>
        <v>305909</v>
      </c>
      <c r="R165" s="43">
        <f t="shared" si="56"/>
        <v>0</v>
      </c>
      <c r="S165" s="88">
        <f t="shared" si="56"/>
        <v>0</v>
      </c>
      <c r="T165" s="88">
        <f t="shared" si="56"/>
        <v>13345187</v>
      </c>
      <c r="U165" s="43">
        <f t="shared" si="15"/>
        <v>13345187</v>
      </c>
      <c r="V165" s="40" t="s">
        <v>45</v>
      </c>
    </row>
    <row r="166" spans="1:22" x14ac:dyDescent="0.25">
      <c r="A166" s="41">
        <v>44530</v>
      </c>
      <c r="B166" s="43">
        <f>+B50+B106</f>
        <v>3055417</v>
      </c>
      <c r="C166" s="43"/>
      <c r="D166" s="88">
        <f t="shared" ref="D166:T166" si="57">+D50+D106</f>
        <v>0</v>
      </c>
      <c r="E166" s="43">
        <f t="shared" si="57"/>
        <v>241794</v>
      </c>
      <c r="F166" s="43">
        <f t="shared" si="57"/>
        <v>98046</v>
      </c>
      <c r="G166" s="88">
        <f t="shared" si="57"/>
        <v>5052</v>
      </c>
      <c r="H166" s="43">
        <f t="shared" si="57"/>
        <v>1834948</v>
      </c>
      <c r="I166" s="43"/>
      <c r="J166" s="43">
        <f t="shared" si="57"/>
        <v>314142</v>
      </c>
      <c r="K166" s="88">
        <f t="shared" si="57"/>
        <v>0</v>
      </c>
      <c r="L166" s="43">
        <f t="shared" si="57"/>
        <v>0</v>
      </c>
      <c r="M166" s="88">
        <f t="shared" si="57"/>
        <v>215369</v>
      </c>
      <c r="N166" s="88">
        <f t="shared" si="57"/>
        <v>34679208</v>
      </c>
      <c r="O166" s="88">
        <f t="shared" si="57"/>
        <v>13522374</v>
      </c>
      <c r="P166" s="43">
        <f t="shared" si="57"/>
        <v>7960245</v>
      </c>
      <c r="Q166" s="43">
        <f t="shared" si="57"/>
        <v>449463</v>
      </c>
      <c r="R166" s="43">
        <f t="shared" si="57"/>
        <v>0</v>
      </c>
      <c r="S166" s="88">
        <f t="shared" si="57"/>
        <v>15762994</v>
      </c>
      <c r="T166" s="88">
        <f t="shared" si="57"/>
        <v>78139052</v>
      </c>
      <c r="U166" s="43">
        <f t="shared" si="15"/>
        <v>62376058</v>
      </c>
      <c r="V166" s="40" t="s">
        <v>46</v>
      </c>
    </row>
    <row r="167" spans="1:22" x14ac:dyDescent="0.25">
      <c r="A167" s="41">
        <v>44561</v>
      </c>
      <c r="B167" s="43">
        <f>+B51+B107-B106</f>
        <v>16399782</v>
      </c>
      <c r="C167" s="43"/>
      <c r="D167" s="88">
        <f t="shared" ref="D167:T177" si="58">+D51+D107-D106</f>
        <v>0</v>
      </c>
      <c r="E167" s="43">
        <f t="shared" si="58"/>
        <v>1371971</v>
      </c>
      <c r="F167" s="43">
        <f t="shared" si="58"/>
        <v>456838</v>
      </c>
      <c r="G167" s="88">
        <f t="shared" si="58"/>
        <v>14032</v>
      </c>
      <c r="H167" s="43">
        <f t="shared" si="58"/>
        <v>10769619</v>
      </c>
      <c r="I167" s="43"/>
      <c r="J167" s="43">
        <f t="shared" si="58"/>
        <v>1248673</v>
      </c>
      <c r="K167" s="88">
        <f t="shared" si="58"/>
        <v>0</v>
      </c>
      <c r="L167" s="43">
        <f t="shared" si="58"/>
        <v>0</v>
      </c>
      <c r="M167" s="88">
        <f t="shared" si="58"/>
        <v>271190</v>
      </c>
      <c r="N167" s="88">
        <f t="shared" si="58"/>
        <v>33971503</v>
      </c>
      <c r="O167" s="88">
        <f t="shared" si="58"/>
        <v>10372937</v>
      </c>
      <c r="P167" s="43">
        <f t="shared" si="58"/>
        <v>8559438</v>
      </c>
      <c r="Q167" s="43">
        <f t="shared" si="58"/>
        <v>490739</v>
      </c>
      <c r="R167" s="43">
        <f t="shared" si="58"/>
        <v>0</v>
      </c>
      <c r="S167" s="88">
        <f t="shared" si="58"/>
        <v>20144479</v>
      </c>
      <c r="T167" s="88">
        <f t="shared" si="58"/>
        <v>104071201</v>
      </c>
      <c r="U167" s="43">
        <f t="shared" si="15"/>
        <v>83926722</v>
      </c>
    </row>
    <row r="168" spans="1:22" x14ac:dyDescent="0.25">
      <c r="A168" s="41">
        <v>44592</v>
      </c>
      <c r="B168" s="43">
        <f t="shared" ref="B168:S173" si="59">+B52+B108-B107</f>
        <v>25738243</v>
      </c>
      <c r="C168" s="43"/>
      <c r="D168" s="88">
        <f t="shared" si="59"/>
        <v>0</v>
      </c>
      <c r="E168" s="43">
        <f t="shared" si="59"/>
        <v>1704248</v>
      </c>
      <c r="F168" s="43">
        <f t="shared" si="59"/>
        <v>503777</v>
      </c>
      <c r="G168" s="88">
        <f t="shared" si="59"/>
        <v>12713</v>
      </c>
      <c r="H168" s="43">
        <f t="shared" si="59"/>
        <v>17429567</v>
      </c>
      <c r="I168" s="43"/>
      <c r="J168" s="43">
        <f t="shared" si="59"/>
        <v>1933704</v>
      </c>
      <c r="K168" s="88">
        <f t="shared" si="59"/>
        <v>0</v>
      </c>
      <c r="L168" s="43">
        <f t="shared" si="59"/>
        <v>0</v>
      </c>
      <c r="M168" s="88">
        <f t="shared" si="59"/>
        <v>257267</v>
      </c>
      <c r="N168" s="88">
        <f t="shared" si="59"/>
        <v>39152740</v>
      </c>
      <c r="O168" s="88">
        <f t="shared" si="59"/>
        <v>2783061</v>
      </c>
      <c r="P168" s="43">
        <f t="shared" si="59"/>
        <v>5418332</v>
      </c>
      <c r="Q168" s="43">
        <f t="shared" si="59"/>
        <v>479370</v>
      </c>
      <c r="R168" s="43">
        <f t="shared" si="59"/>
        <v>0</v>
      </c>
      <c r="S168" s="88">
        <f t="shared" si="59"/>
        <v>18225796</v>
      </c>
      <c r="T168" s="88">
        <f t="shared" si="58"/>
        <v>113638818</v>
      </c>
      <c r="U168" s="43">
        <f t="shared" si="15"/>
        <v>95413022</v>
      </c>
    </row>
    <row r="169" spans="1:22" x14ac:dyDescent="0.25">
      <c r="A169" s="41">
        <v>44620</v>
      </c>
      <c r="B169" s="43">
        <f t="shared" si="59"/>
        <v>19530273</v>
      </c>
      <c r="C169" s="43"/>
      <c r="D169" s="88">
        <f t="shared" si="58"/>
        <v>0</v>
      </c>
      <c r="E169" s="43">
        <f t="shared" si="58"/>
        <v>1365177</v>
      </c>
      <c r="F169" s="43">
        <f t="shared" si="58"/>
        <v>438477</v>
      </c>
      <c r="G169" s="88">
        <f t="shared" si="58"/>
        <v>6643</v>
      </c>
      <c r="H169" s="43">
        <f t="shared" si="58"/>
        <v>13856753</v>
      </c>
      <c r="I169" s="43"/>
      <c r="J169" s="43">
        <f t="shared" si="58"/>
        <v>1383449</v>
      </c>
      <c r="K169" s="88">
        <f t="shared" si="58"/>
        <v>0</v>
      </c>
      <c r="L169" s="43">
        <f t="shared" si="58"/>
        <v>0</v>
      </c>
      <c r="M169" s="88">
        <f t="shared" si="58"/>
        <v>227538</v>
      </c>
      <c r="N169" s="88">
        <f t="shared" si="58"/>
        <v>35167746</v>
      </c>
      <c r="O169" s="88">
        <f t="shared" si="58"/>
        <v>8980650</v>
      </c>
      <c r="P169" s="43">
        <f t="shared" si="58"/>
        <v>3610543</v>
      </c>
      <c r="Q169" s="43">
        <f t="shared" si="58"/>
        <v>449992</v>
      </c>
      <c r="R169" s="43">
        <f t="shared" si="58"/>
        <v>0</v>
      </c>
      <c r="S169" s="88">
        <f t="shared" si="58"/>
        <v>15710740</v>
      </c>
      <c r="T169" s="88">
        <f t="shared" si="58"/>
        <v>100727981</v>
      </c>
      <c r="U169" s="43">
        <f t="shared" si="15"/>
        <v>85017241</v>
      </c>
    </row>
    <row r="170" spans="1:22" x14ac:dyDescent="0.25">
      <c r="A170" s="41">
        <v>44651</v>
      </c>
      <c r="B170" s="43">
        <f t="shared" si="59"/>
        <v>18863108</v>
      </c>
      <c r="C170" s="43"/>
      <c r="D170" s="88">
        <f t="shared" si="58"/>
        <v>0</v>
      </c>
      <c r="E170" s="43">
        <f t="shared" si="58"/>
        <v>1544890</v>
      </c>
      <c r="F170" s="43">
        <f t="shared" si="58"/>
        <v>507616</v>
      </c>
      <c r="G170" s="88">
        <f t="shared" si="58"/>
        <v>5669</v>
      </c>
      <c r="H170" s="43">
        <f t="shared" si="58"/>
        <v>13353929</v>
      </c>
      <c r="I170" s="43"/>
      <c r="J170" s="43">
        <f t="shared" si="58"/>
        <v>1387408</v>
      </c>
      <c r="K170" s="88">
        <f t="shared" si="58"/>
        <v>0</v>
      </c>
      <c r="L170" s="43">
        <f t="shared" si="58"/>
        <v>0</v>
      </c>
      <c r="M170" s="88">
        <f t="shared" si="58"/>
        <v>220931</v>
      </c>
      <c r="N170" s="88">
        <f t="shared" si="58"/>
        <v>37545657</v>
      </c>
      <c r="O170" s="88">
        <f t="shared" si="58"/>
        <v>10732336</v>
      </c>
      <c r="P170" s="43">
        <f t="shared" si="58"/>
        <v>399625</v>
      </c>
      <c r="Q170" s="43">
        <f t="shared" si="58"/>
        <v>162178</v>
      </c>
      <c r="R170" s="43">
        <f t="shared" si="58"/>
        <v>0</v>
      </c>
      <c r="S170" s="88">
        <f t="shared" si="58"/>
        <v>14664130</v>
      </c>
      <c r="T170" s="88">
        <f t="shared" si="58"/>
        <v>99387477</v>
      </c>
      <c r="U170" s="43">
        <f t="shared" si="15"/>
        <v>84723347</v>
      </c>
    </row>
    <row r="171" spans="1:22" x14ac:dyDescent="0.25">
      <c r="A171" s="41">
        <v>44681</v>
      </c>
      <c r="B171" s="43">
        <f t="shared" si="59"/>
        <v>12434900</v>
      </c>
      <c r="C171" s="43"/>
      <c r="D171" s="88">
        <f t="shared" si="58"/>
        <v>0</v>
      </c>
      <c r="E171" s="43">
        <f t="shared" si="58"/>
        <v>1036159</v>
      </c>
      <c r="F171" s="43">
        <f t="shared" si="58"/>
        <v>377750</v>
      </c>
      <c r="G171" s="88">
        <f t="shared" si="58"/>
        <v>10961</v>
      </c>
      <c r="H171" s="43">
        <f t="shared" si="58"/>
        <v>8644689</v>
      </c>
      <c r="I171" s="43"/>
      <c r="J171" s="43">
        <f t="shared" si="58"/>
        <v>982514</v>
      </c>
      <c r="K171" s="88">
        <f t="shared" si="58"/>
        <v>0</v>
      </c>
      <c r="L171" s="43">
        <f t="shared" si="58"/>
        <v>0</v>
      </c>
      <c r="M171" s="88">
        <f t="shared" si="58"/>
        <v>211682</v>
      </c>
      <c r="N171" s="88">
        <f t="shared" si="58"/>
        <v>37240011</v>
      </c>
      <c r="O171" s="88">
        <f t="shared" si="58"/>
        <v>8681518</v>
      </c>
      <c r="P171" s="43">
        <f t="shared" si="58"/>
        <v>0</v>
      </c>
      <c r="Q171" s="43">
        <f t="shared" si="58"/>
        <v>4411828</v>
      </c>
      <c r="R171" s="43">
        <f t="shared" si="58"/>
        <v>0</v>
      </c>
      <c r="S171" s="88">
        <f t="shared" si="58"/>
        <v>13329886</v>
      </c>
      <c r="T171" s="88">
        <f t="shared" si="58"/>
        <v>87361898</v>
      </c>
      <c r="U171" s="43">
        <f t="shared" si="15"/>
        <v>74032012</v>
      </c>
    </row>
    <row r="172" spans="1:22" x14ac:dyDescent="0.25">
      <c r="A172" s="41">
        <v>44712</v>
      </c>
      <c r="B172" s="43">
        <f t="shared" si="59"/>
        <v>10496103</v>
      </c>
      <c r="C172" s="43"/>
      <c r="D172" s="88">
        <f t="shared" si="58"/>
        <v>0</v>
      </c>
      <c r="E172" s="43">
        <f t="shared" si="58"/>
        <v>1008957</v>
      </c>
      <c r="F172" s="43">
        <f t="shared" si="58"/>
        <v>328009</v>
      </c>
      <c r="G172" s="88">
        <f t="shared" si="58"/>
        <v>5884</v>
      </c>
      <c r="H172" s="43">
        <f t="shared" si="58"/>
        <v>7572813</v>
      </c>
      <c r="I172" s="43"/>
      <c r="J172" s="43">
        <f t="shared" si="58"/>
        <v>860586</v>
      </c>
      <c r="K172" s="88">
        <f t="shared" si="58"/>
        <v>0</v>
      </c>
      <c r="L172" s="43">
        <f t="shared" si="58"/>
        <v>0</v>
      </c>
      <c r="M172" s="88">
        <f t="shared" si="58"/>
        <v>179840</v>
      </c>
      <c r="N172" s="88">
        <f t="shared" si="58"/>
        <v>35254347</v>
      </c>
      <c r="O172" s="88">
        <f t="shared" si="58"/>
        <v>6981169</v>
      </c>
      <c r="P172" s="43">
        <f t="shared" si="58"/>
        <v>0</v>
      </c>
      <c r="Q172" s="43">
        <f t="shared" si="58"/>
        <v>782753</v>
      </c>
      <c r="R172" s="43">
        <f t="shared" si="58"/>
        <v>0</v>
      </c>
      <c r="S172" s="88">
        <f t="shared" si="58"/>
        <v>13734189</v>
      </c>
      <c r="T172" s="88">
        <f t="shared" si="58"/>
        <v>77204650</v>
      </c>
      <c r="U172" s="43">
        <f t="shared" si="15"/>
        <v>63470461</v>
      </c>
    </row>
    <row r="173" spans="1:22" x14ac:dyDescent="0.25">
      <c r="A173" s="41">
        <v>44742</v>
      </c>
      <c r="B173" s="43">
        <f t="shared" si="59"/>
        <v>6329476</v>
      </c>
      <c r="C173" s="43"/>
      <c r="D173" s="88">
        <f t="shared" si="58"/>
        <v>0</v>
      </c>
      <c r="E173" s="43">
        <f t="shared" si="58"/>
        <v>757107</v>
      </c>
      <c r="F173" s="43">
        <f t="shared" si="58"/>
        <v>387432</v>
      </c>
      <c r="G173" s="88">
        <f t="shared" si="58"/>
        <v>2608</v>
      </c>
      <c r="H173" s="43">
        <f t="shared" si="58"/>
        <v>4956571</v>
      </c>
      <c r="I173" s="43"/>
      <c r="J173" s="43">
        <f t="shared" si="58"/>
        <v>590255</v>
      </c>
      <c r="K173" s="88">
        <f t="shared" si="58"/>
        <v>0</v>
      </c>
      <c r="L173" s="43">
        <f t="shared" si="58"/>
        <v>0</v>
      </c>
      <c r="M173" s="88">
        <f t="shared" si="58"/>
        <v>115112</v>
      </c>
      <c r="N173" s="88">
        <f t="shared" si="58"/>
        <v>31295997</v>
      </c>
      <c r="O173" s="88">
        <f t="shared" si="58"/>
        <v>1361467</v>
      </c>
      <c r="P173" s="43">
        <f t="shared" si="58"/>
        <v>1217442</v>
      </c>
      <c r="Q173" s="43">
        <f t="shared" si="58"/>
        <v>621285</v>
      </c>
      <c r="R173" s="43">
        <f t="shared" si="58"/>
        <v>0</v>
      </c>
      <c r="S173" s="88">
        <f t="shared" si="58"/>
        <v>13232455</v>
      </c>
      <c r="T173" s="88">
        <f t="shared" si="58"/>
        <v>60867207</v>
      </c>
      <c r="U173" s="43">
        <f t="shared" si="15"/>
        <v>47634752</v>
      </c>
    </row>
    <row r="174" spans="1:22" x14ac:dyDescent="0.25">
      <c r="A174" s="41">
        <v>44773</v>
      </c>
      <c r="B174" s="159">
        <f>+B58+C58+B114-B113</f>
        <v>4725200</v>
      </c>
      <c r="C174" s="160"/>
      <c r="D174" s="88">
        <f t="shared" si="58"/>
        <v>0</v>
      </c>
      <c r="E174" s="43">
        <f t="shared" si="58"/>
        <v>510625</v>
      </c>
      <c r="F174" s="43">
        <f t="shared" si="58"/>
        <v>380485</v>
      </c>
      <c r="G174" s="88">
        <f t="shared" si="58"/>
        <v>1405</v>
      </c>
      <c r="H174" s="159">
        <f>+H58+I58+H114-H113</f>
        <v>4260295</v>
      </c>
      <c r="I174" s="160"/>
      <c r="J174" s="43">
        <f t="shared" si="58"/>
        <v>362939</v>
      </c>
      <c r="K174" s="88">
        <f t="shared" si="58"/>
        <v>0</v>
      </c>
      <c r="L174" s="43">
        <f t="shared" si="58"/>
        <v>0</v>
      </c>
      <c r="M174" s="88">
        <f t="shared" si="58"/>
        <v>88882</v>
      </c>
      <c r="N174" s="88">
        <f t="shared" si="58"/>
        <v>29720370</v>
      </c>
      <c r="O174" s="88">
        <f t="shared" si="58"/>
        <v>13174665</v>
      </c>
      <c r="P174" s="43">
        <f t="shared" si="58"/>
        <v>7356565</v>
      </c>
      <c r="Q174" s="43">
        <f t="shared" si="58"/>
        <v>0</v>
      </c>
      <c r="R174" s="43">
        <f t="shared" si="58"/>
        <v>0</v>
      </c>
      <c r="S174" s="88">
        <f t="shared" si="58"/>
        <v>16441241</v>
      </c>
      <c r="T174" s="88">
        <f t="shared" si="58"/>
        <v>74745701</v>
      </c>
      <c r="U174" s="43">
        <f t="shared" si="15"/>
        <v>60581431</v>
      </c>
    </row>
    <row r="175" spans="1:22" x14ac:dyDescent="0.25">
      <c r="A175" s="41">
        <v>44804</v>
      </c>
      <c r="B175" s="159">
        <f>+B59+C59-C58+B115-B114</f>
        <v>2930210</v>
      </c>
      <c r="C175" s="160"/>
      <c r="D175" s="88">
        <f t="shared" si="58"/>
        <v>0</v>
      </c>
      <c r="E175" s="43">
        <f t="shared" si="58"/>
        <v>477547</v>
      </c>
      <c r="F175" s="43">
        <f t="shared" si="58"/>
        <v>353311</v>
      </c>
      <c r="G175" s="88">
        <f t="shared" si="58"/>
        <v>1532</v>
      </c>
      <c r="H175" s="159">
        <f>+H59+I59-I58+H115-H114</f>
        <v>2963491</v>
      </c>
      <c r="I175" s="160"/>
      <c r="J175" s="43">
        <f t="shared" si="58"/>
        <v>333423</v>
      </c>
      <c r="K175" s="88">
        <f t="shared" si="58"/>
        <v>0</v>
      </c>
      <c r="L175" s="43">
        <f t="shared" si="58"/>
        <v>0</v>
      </c>
      <c r="M175" s="88">
        <f t="shared" si="58"/>
        <v>101586</v>
      </c>
      <c r="N175" s="88">
        <f t="shared" si="58"/>
        <v>33186006</v>
      </c>
      <c r="O175" s="88">
        <f t="shared" si="58"/>
        <v>18226302</v>
      </c>
      <c r="P175" s="43">
        <f t="shared" si="58"/>
        <v>10655816</v>
      </c>
      <c r="Q175" s="43">
        <f t="shared" si="58"/>
        <v>0</v>
      </c>
      <c r="R175" s="43">
        <f t="shared" si="58"/>
        <v>0</v>
      </c>
      <c r="S175" s="88">
        <f t="shared" si="58"/>
        <v>17886377</v>
      </c>
      <c r="T175" s="88">
        <f t="shared" si="58"/>
        <v>86761107</v>
      </c>
      <c r="U175" s="43">
        <f t="shared" si="15"/>
        <v>69229224</v>
      </c>
    </row>
    <row r="176" spans="1:22" x14ac:dyDescent="0.25">
      <c r="A176" s="41">
        <v>44834</v>
      </c>
      <c r="B176" s="159">
        <f t="shared" ref="B176:B177" si="60">+B60+C60-C59+B116-B115</f>
        <v>-1269341</v>
      </c>
      <c r="C176" s="160"/>
      <c r="D176" s="88">
        <f t="shared" si="58"/>
        <v>0</v>
      </c>
      <c r="E176" s="43">
        <f t="shared" si="58"/>
        <v>0</v>
      </c>
      <c r="F176" s="43">
        <f t="shared" si="58"/>
        <v>0</v>
      </c>
      <c r="G176" s="88">
        <f t="shared" si="58"/>
        <v>-1532</v>
      </c>
      <c r="H176" s="159">
        <f t="shared" ref="H176:H177" si="61">+H60+I60-I59+H116-H115</f>
        <v>-1362124</v>
      </c>
      <c r="I176" s="160"/>
      <c r="J176" s="43">
        <f t="shared" si="58"/>
        <v>-7349</v>
      </c>
      <c r="K176" s="88">
        <f t="shared" si="58"/>
        <v>0</v>
      </c>
      <c r="L176" s="43">
        <f t="shared" si="58"/>
        <v>0</v>
      </c>
      <c r="M176" s="88">
        <f t="shared" si="58"/>
        <v>-101586</v>
      </c>
      <c r="N176" s="88">
        <f t="shared" si="58"/>
        <v>-33186006</v>
      </c>
      <c r="O176" s="88">
        <f t="shared" si="58"/>
        <v>-18226302</v>
      </c>
      <c r="P176" s="43">
        <f t="shared" si="58"/>
        <v>-10655816</v>
      </c>
      <c r="Q176" s="43">
        <f t="shared" si="58"/>
        <v>0</v>
      </c>
      <c r="R176" s="43">
        <f t="shared" si="58"/>
        <v>0</v>
      </c>
      <c r="S176" s="88">
        <f t="shared" si="58"/>
        <v>-17886377</v>
      </c>
      <c r="T176" s="88">
        <f t="shared" si="58"/>
        <v>-80064968</v>
      </c>
      <c r="U176" s="43">
        <f t="shared" si="15"/>
        <v>-64810056</v>
      </c>
    </row>
    <row r="177" spans="1:21" x14ac:dyDescent="0.25">
      <c r="A177" s="41">
        <v>44865</v>
      </c>
      <c r="B177" s="159">
        <f t="shared" si="60"/>
        <v>0</v>
      </c>
      <c r="C177" s="160"/>
      <c r="D177" s="88">
        <f t="shared" si="58"/>
        <v>0</v>
      </c>
      <c r="E177" s="43">
        <f t="shared" si="58"/>
        <v>0</v>
      </c>
      <c r="F177" s="43">
        <f t="shared" si="58"/>
        <v>0</v>
      </c>
      <c r="G177" s="88">
        <f t="shared" si="58"/>
        <v>0</v>
      </c>
      <c r="H177" s="159">
        <f t="shared" si="61"/>
        <v>0</v>
      </c>
      <c r="I177" s="160"/>
      <c r="J177" s="43">
        <f t="shared" si="58"/>
        <v>0</v>
      </c>
      <c r="K177" s="88">
        <f t="shared" si="58"/>
        <v>0</v>
      </c>
      <c r="L177" s="43">
        <f t="shared" si="58"/>
        <v>0</v>
      </c>
      <c r="M177" s="88">
        <f t="shared" si="58"/>
        <v>0</v>
      </c>
      <c r="N177" s="88">
        <f t="shared" si="58"/>
        <v>0</v>
      </c>
      <c r="O177" s="88">
        <f t="shared" si="58"/>
        <v>0</v>
      </c>
      <c r="P177" s="43">
        <f t="shared" si="58"/>
        <v>0</v>
      </c>
      <c r="Q177" s="43">
        <f t="shared" si="58"/>
        <v>0</v>
      </c>
      <c r="R177" s="43">
        <f t="shared" si="58"/>
        <v>0</v>
      </c>
      <c r="S177" s="88">
        <f t="shared" si="58"/>
        <v>0</v>
      </c>
      <c r="T177" s="88">
        <f t="shared" si="58"/>
        <v>0</v>
      </c>
      <c r="U177" s="43">
        <f t="shared" si="15"/>
        <v>0</v>
      </c>
    </row>
    <row r="178" spans="1:21" x14ac:dyDescent="0.25">
      <c r="A178" s="41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</row>
    <row r="179" spans="1:21" x14ac:dyDescent="0.25">
      <c r="A179" s="41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</row>
    <row r="180" spans="1:21" x14ac:dyDescent="0.25">
      <c r="A180" s="41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</row>
    <row r="181" spans="1:21" x14ac:dyDescent="0.25">
      <c r="A181" s="41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</row>
    <row r="182" spans="1:21" x14ac:dyDescent="0.25">
      <c r="A182" s="41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</row>
    <row r="183" spans="1:21" x14ac:dyDescent="0.25">
      <c r="A183" s="41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</row>
    <row r="184" spans="1:21" x14ac:dyDescent="0.25">
      <c r="A184" s="41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</row>
    <row r="185" spans="1:21" x14ac:dyDescent="0.25">
      <c r="A185" s="41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</row>
    <row r="186" spans="1:21" x14ac:dyDescent="0.25">
      <c r="A186" s="41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</row>
    <row r="187" spans="1:21" x14ac:dyDescent="0.25">
      <c r="A187" s="41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</row>
    <row r="188" spans="1:21" x14ac:dyDescent="0.25">
      <c r="A188" s="41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</row>
    <row r="189" spans="1:21" x14ac:dyDescent="0.25">
      <c r="A189" s="41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</row>
    <row r="190" spans="1:21" x14ac:dyDescent="0.25">
      <c r="A190" s="41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</row>
    <row r="191" spans="1:21" x14ac:dyDescent="0.25">
      <c r="A191" s="41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</row>
    <row r="192" spans="1:21" x14ac:dyDescent="0.25">
      <c r="A192" s="41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</row>
    <row r="193" spans="1:21" x14ac:dyDescent="0.25">
      <c r="A193" s="41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</row>
    <row r="194" spans="1:21" x14ac:dyDescent="0.25">
      <c r="A194" s="41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</row>
    <row r="195" spans="1:21" x14ac:dyDescent="0.25">
      <c r="A195" s="41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</row>
    <row r="196" spans="1:21" ht="15" hidden="1" customHeight="1" x14ac:dyDescent="0.25">
      <c r="A196" s="41"/>
      <c r="B196" s="183" t="s">
        <v>59</v>
      </c>
      <c r="C196" s="183"/>
      <c r="D196" s="183"/>
      <c r="E196" s="183"/>
      <c r="F196" s="183"/>
      <c r="G196" s="183"/>
      <c r="H196" s="183"/>
      <c r="I196" s="158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</row>
    <row r="197" spans="1:21" ht="15" hidden="1" customHeight="1" x14ac:dyDescent="0.25">
      <c r="A197" s="41"/>
      <c r="B197" s="43"/>
      <c r="C197" s="43"/>
      <c r="D197" s="43"/>
      <c r="E197" s="119" t="s">
        <v>60</v>
      </c>
      <c r="F197" s="119" t="s">
        <v>61</v>
      </c>
      <c r="H197" s="119" t="s">
        <v>51</v>
      </c>
      <c r="I197" s="119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8"/>
    </row>
    <row r="198" spans="1:21" ht="15" hidden="1" customHeight="1" x14ac:dyDescent="0.25">
      <c r="E198" s="54" t="s">
        <v>62</v>
      </c>
      <c r="F198" s="54" t="s">
        <v>62</v>
      </c>
      <c r="H198" s="54" t="s">
        <v>62</v>
      </c>
      <c r="I198" s="50"/>
    </row>
    <row r="199" spans="1:21" ht="15" hidden="1" customHeight="1" x14ac:dyDescent="0.25">
      <c r="B199" s="85">
        <v>4800</v>
      </c>
      <c r="C199" s="85"/>
      <c r="D199" s="80">
        <v>503</v>
      </c>
      <c r="E199" s="43">
        <f>566+1717648</f>
        <v>1718214</v>
      </c>
      <c r="F199" s="79">
        <v>996895</v>
      </c>
      <c r="H199" s="43">
        <f t="shared" ref="H199:H205" si="62">+E199+F199</f>
        <v>2715109</v>
      </c>
      <c r="I199" s="43"/>
    </row>
    <row r="200" spans="1:21" ht="15" hidden="1" customHeight="1" x14ac:dyDescent="0.25">
      <c r="B200" s="85">
        <v>4809</v>
      </c>
      <c r="C200" s="85"/>
      <c r="D200" s="80">
        <v>505</v>
      </c>
      <c r="E200" s="43">
        <v>383509</v>
      </c>
      <c r="F200" s="79">
        <v>160070</v>
      </c>
      <c r="H200" s="43">
        <f t="shared" si="62"/>
        <v>543579</v>
      </c>
      <c r="I200" s="43"/>
      <c r="K200" s="84" t="s">
        <v>63</v>
      </c>
      <c r="L200" s="84"/>
      <c r="M200" s="84"/>
      <c r="N200" s="84"/>
      <c r="O200" s="84"/>
      <c r="P200" s="84"/>
    </row>
    <row r="201" spans="1:21" ht="15" hidden="1" customHeight="1" x14ac:dyDescent="0.25">
      <c r="B201" s="85">
        <v>4809</v>
      </c>
      <c r="C201" s="85"/>
      <c r="D201" s="80">
        <v>511</v>
      </c>
      <c r="E201" s="43">
        <v>168651</v>
      </c>
      <c r="F201" s="79">
        <v>88492</v>
      </c>
      <c r="H201" s="43">
        <f t="shared" si="62"/>
        <v>257143</v>
      </c>
      <c r="I201" s="43"/>
      <c r="K201" s="95" t="s">
        <v>64</v>
      </c>
      <c r="L201" s="95"/>
      <c r="M201" s="95"/>
      <c r="N201" s="95"/>
      <c r="O201" s="95"/>
      <c r="P201" s="95"/>
    </row>
    <row r="202" spans="1:21" ht="15" hidden="1" customHeight="1" x14ac:dyDescent="0.25">
      <c r="B202" s="85">
        <v>4810</v>
      </c>
      <c r="C202" s="85"/>
      <c r="D202" s="80">
        <v>504</v>
      </c>
      <c r="E202" s="43">
        <f>1815568-124</f>
        <v>1815444</v>
      </c>
      <c r="F202" s="79">
        <v>986030</v>
      </c>
      <c r="H202" s="43">
        <f t="shared" si="62"/>
        <v>2801474</v>
      </c>
      <c r="I202" s="43"/>
    </row>
    <row r="203" spans="1:21" ht="15" hidden="1" customHeight="1" x14ac:dyDescent="0.25">
      <c r="B203" s="85">
        <v>4810</v>
      </c>
      <c r="C203" s="85"/>
      <c r="D203" s="80">
        <v>511</v>
      </c>
      <c r="E203" s="43">
        <v>258610</v>
      </c>
      <c r="F203" s="79">
        <v>137321</v>
      </c>
      <c r="H203" s="43">
        <f t="shared" si="62"/>
        <v>395931</v>
      </c>
      <c r="I203" s="43"/>
    </row>
    <row r="204" spans="1:21" ht="15" hidden="1" customHeight="1" x14ac:dyDescent="0.25">
      <c r="B204" s="85">
        <v>4810</v>
      </c>
      <c r="C204" s="85"/>
      <c r="D204" s="50" t="s">
        <v>39</v>
      </c>
      <c r="E204" s="43">
        <v>124</v>
      </c>
      <c r="F204" s="79">
        <v>0</v>
      </c>
      <c r="H204" s="43">
        <f t="shared" si="62"/>
        <v>124</v>
      </c>
      <c r="I204" s="43"/>
    </row>
    <row r="205" spans="1:21" ht="15" hidden="1" customHeight="1" x14ac:dyDescent="0.25">
      <c r="B205" s="85">
        <v>4813</v>
      </c>
      <c r="C205" s="85"/>
      <c r="D205" s="80">
        <v>570</v>
      </c>
      <c r="E205" s="43">
        <v>8245</v>
      </c>
      <c r="F205" s="79">
        <v>111904</v>
      </c>
      <c r="H205" s="43">
        <f t="shared" si="62"/>
        <v>120149</v>
      </c>
      <c r="I205" s="43"/>
    </row>
  </sheetData>
  <sortState xmlns:xlrd2="http://schemas.microsoft.com/office/spreadsheetml/2017/richdata2" ref="B134:K140">
    <sortCondition ref="B134:B140"/>
    <sortCondition ref="D134:D140"/>
  </sortState>
  <mergeCells count="18">
    <mergeCell ref="B64:U64"/>
    <mergeCell ref="B120:U120"/>
    <mergeCell ref="D65:F65"/>
    <mergeCell ref="G65:J65"/>
    <mergeCell ref="K65:L65"/>
    <mergeCell ref="O65:Q65"/>
    <mergeCell ref="D121:F121"/>
    <mergeCell ref="G121:J121"/>
    <mergeCell ref="K121:L121"/>
    <mergeCell ref="O121:Q121"/>
    <mergeCell ref="B196:H196"/>
    <mergeCell ref="O5:Q5"/>
    <mergeCell ref="A1:F1"/>
    <mergeCell ref="A2:F2"/>
    <mergeCell ref="G5:J5"/>
    <mergeCell ref="D5:F5"/>
    <mergeCell ref="K5:L5"/>
    <mergeCell ref="B4:U4"/>
  </mergeCells>
  <printOptions horizontalCentered="1"/>
  <pageMargins left="0.25" right="0.25" top="0.75" bottom="0.75" header="0.3" footer="0.3"/>
  <pageSetup scale="60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 tint="-0.249977111117893"/>
  </sheetPr>
  <dimension ref="A1"/>
  <sheetViews>
    <sheetView zoomScale="75" workbookViewId="0">
      <selection activeCell="J20" sqref="J20"/>
    </sheetView>
  </sheetViews>
  <sheetFormatPr defaultRowHeight="15.75" x14ac:dyDescent="0.25"/>
  <sheetData>
    <row r="1" spans="1:1" x14ac:dyDescent="0.25">
      <c r="A1" s="1"/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"/>
  <sheetViews>
    <sheetView view="pageBreakPreview" zoomScale="115" zoomScaleNormal="75" zoomScaleSheetLayoutView="115" workbookViewId="0">
      <pane xSplit="1" ySplit="10" topLeftCell="B11" activePane="bottomRight" state="frozen"/>
      <selection pane="topRight" activeCell="J20" sqref="J20"/>
      <selection pane="bottomLeft" activeCell="J20" sqref="J20"/>
      <selection pane="bottomRight" activeCell="J20" sqref="J20"/>
    </sheetView>
  </sheetViews>
  <sheetFormatPr defaultColWidth="8.88671875" defaultRowHeight="12.75" x14ac:dyDescent="0.2"/>
  <cols>
    <col min="1" max="1" width="9.6640625" style="2" bestFit="1" customWidth="1"/>
    <col min="2" max="2" width="7.77734375" style="2" customWidth="1"/>
    <col min="3" max="3" width="10.77734375" style="2" customWidth="1"/>
    <col min="4" max="4" width="11.109375" style="2" customWidth="1"/>
    <col min="5" max="5" width="9.77734375" style="2" bestFit="1" customWidth="1"/>
    <col min="6" max="6" width="9.21875" style="2" customWidth="1"/>
    <col min="7" max="7" width="12.109375" style="2" customWidth="1"/>
    <col min="8" max="8" width="12.21875" style="2" customWidth="1"/>
    <col min="9" max="9" width="15.109375" style="2" bestFit="1" customWidth="1"/>
    <col min="10" max="10" width="16.21875" style="2" bestFit="1" customWidth="1"/>
    <col min="11" max="11" width="9" style="2" bestFit="1" customWidth="1"/>
    <col min="12" max="12" width="10.33203125" style="2" bestFit="1" customWidth="1"/>
    <col min="13" max="16384" width="8.88671875" style="2"/>
  </cols>
  <sheetData>
    <row r="1" spans="1:12" x14ac:dyDescent="0.2">
      <c r="A1" s="191" t="s">
        <v>65</v>
      </c>
      <c r="B1" s="192"/>
      <c r="C1" s="187" t="s">
        <v>66</v>
      </c>
      <c r="D1" s="187"/>
      <c r="E1" s="187"/>
      <c r="F1" s="187"/>
      <c r="G1" s="187"/>
      <c r="H1" s="188"/>
    </row>
    <row r="2" spans="1:12" x14ac:dyDescent="0.2">
      <c r="A2" s="185" t="s">
        <v>67</v>
      </c>
      <c r="B2" s="186"/>
      <c r="C2" s="189" t="s">
        <v>68</v>
      </c>
      <c r="D2" s="189"/>
      <c r="E2" s="189"/>
      <c r="F2" s="189"/>
      <c r="G2" s="189"/>
      <c r="H2" s="190"/>
    </row>
    <row r="3" spans="1:12" x14ac:dyDescent="0.2">
      <c r="A3" s="185" t="s">
        <v>69</v>
      </c>
      <c r="B3" s="186"/>
      <c r="C3" s="189" t="s">
        <v>70</v>
      </c>
      <c r="D3" s="189"/>
      <c r="E3" s="189"/>
      <c r="F3" s="189"/>
      <c r="G3" s="189"/>
      <c r="H3" s="190"/>
    </row>
    <row r="4" spans="1:12" x14ac:dyDescent="0.2">
      <c r="A4" s="185" t="s">
        <v>71</v>
      </c>
      <c r="B4" s="186"/>
      <c r="C4" s="189"/>
      <c r="D4" s="189"/>
      <c r="E4" s="189"/>
      <c r="F4" s="189"/>
      <c r="G4" s="189"/>
      <c r="H4" s="190"/>
    </row>
    <row r="5" spans="1:12" x14ac:dyDescent="0.2">
      <c r="A5" s="185" t="s">
        <v>72</v>
      </c>
      <c r="B5" s="186"/>
      <c r="C5" s="189" t="s">
        <v>73</v>
      </c>
      <c r="D5" s="189"/>
      <c r="E5" s="189"/>
      <c r="F5" s="189"/>
      <c r="G5" s="189"/>
      <c r="H5" s="190"/>
    </row>
    <row r="6" spans="1:12" x14ac:dyDescent="0.2">
      <c r="A6" s="185" t="s">
        <v>74</v>
      </c>
      <c r="B6" s="186"/>
      <c r="C6" s="189" t="s">
        <v>75</v>
      </c>
      <c r="D6" s="189"/>
      <c r="E6" s="189"/>
      <c r="F6" s="189"/>
      <c r="G6" s="189"/>
      <c r="H6" s="190"/>
    </row>
    <row r="7" spans="1:12" ht="29.25" customHeight="1" x14ac:dyDescent="0.2">
      <c r="A7" s="195" t="s">
        <v>76</v>
      </c>
      <c r="B7" s="196"/>
      <c r="C7" s="197" t="s">
        <v>77</v>
      </c>
      <c r="D7" s="197"/>
      <c r="E7" s="197"/>
      <c r="F7" s="197"/>
      <c r="G7" s="197"/>
      <c r="H7" s="198"/>
    </row>
    <row r="8" spans="1:12" x14ac:dyDescent="0.2">
      <c r="B8" s="9"/>
      <c r="G8" s="39"/>
    </row>
    <row r="9" spans="1:12" x14ac:dyDescent="0.2">
      <c r="A9" s="7"/>
      <c r="D9" s="194" t="s">
        <v>78</v>
      </c>
      <c r="E9" s="194"/>
      <c r="F9" s="194"/>
    </row>
    <row r="10" spans="1:12" s="8" customFormat="1" x14ac:dyDescent="0.2">
      <c r="A10" s="8" t="s">
        <v>24</v>
      </c>
      <c r="B10" s="8" t="s">
        <v>79</v>
      </c>
      <c r="C10" s="8" t="s">
        <v>62</v>
      </c>
      <c r="D10" s="8" t="s">
        <v>80</v>
      </c>
      <c r="E10" s="8" t="s">
        <v>58</v>
      </c>
      <c r="F10" s="8" t="s">
        <v>81</v>
      </c>
      <c r="G10" s="8" t="s">
        <v>82</v>
      </c>
      <c r="H10" s="8" t="s">
        <v>83</v>
      </c>
      <c r="I10" s="19" t="s">
        <v>84</v>
      </c>
      <c r="J10" s="19" t="s">
        <v>85</v>
      </c>
      <c r="K10" s="19" t="s">
        <v>86</v>
      </c>
      <c r="L10" s="19" t="s">
        <v>87</v>
      </c>
    </row>
    <row r="11" spans="1:12" hidden="1" x14ac:dyDescent="0.2">
      <c r="A11" s="199" t="s">
        <v>88</v>
      </c>
      <c r="B11" s="199"/>
      <c r="C11" s="199"/>
      <c r="D11" s="199"/>
      <c r="E11" s="199"/>
      <c r="F11" s="199"/>
      <c r="G11" s="199"/>
      <c r="H11" s="2">
        <v>-1120659.83</v>
      </c>
      <c r="K11" s="25"/>
      <c r="L11" s="26"/>
    </row>
    <row r="12" spans="1:12" hidden="1" x14ac:dyDescent="0.2">
      <c r="A12" s="23" t="e">
        <f>'TAX Interest Rates'!#REF!</f>
        <v>#REF!</v>
      </c>
      <c r="D12" s="2">
        <v>93596.04</v>
      </c>
      <c r="F12" s="2" t="e">
        <f>ROUND(H11*VLOOKUP(A12,FERCINT13,2)/365*VLOOKUP(A12,FERCINT13,3),2)</f>
        <v>#REF!</v>
      </c>
      <c r="H12" s="2" t="e">
        <f t="shared" ref="H12:H24" si="0">H11+SUM(D12:G12)</f>
        <v>#REF!</v>
      </c>
      <c r="I12" s="2">
        <v>-1030057.33</v>
      </c>
      <c r="J12" s="2" t="e">
        <f t="shared" ref="J12:J37" si="1">H12-I12</f>
        <v>#REF!</v>
      </c>
      <c r="K12" s="25" t="s">
        <v>89</v>
      </c>
      <c r="L12" s="26">
        <v>41614</v>
      </c>
    </row>
    <row r="13" spans="1:12" hidden="1" x14ac:dyDescent="0.2">
      <c r="A13" s="23" t="e">
        <f>'TAX Interest Rates'!#REF!</f>
        <v>#REF!</v>
      </c>
      <c r="D13" s="2">
        <v>-302560.25</v>
      </c>
      <c r="F13" s="2" t="e">
        <f t="shared" ref="F13" si="2">ROUND(H12*VLOOKUP(A13,FERCINT13,2)/365*VLOOKUP(A13,FERCINT13,3),2)</f>
        <v>#REF!</v>
      </c>
      <c r="H13" s="2" t="e">
        <f t="shared" si="0"/>
        <v>#REF!</v>
      </c>
      <c r="I13" s="2">
        <v>-1335460.82</v>
      </c>
      <c r="J13" s="2" t="e">
        <f t="shared" si="1"/>
        <v>#REF!</v>
      </c>
      <c r="K13" s="25" t="s">
        <v>89</v>
      </c>
      <c r="L13" s="26">
        <v>41647</v>
      </c>
    </row>
    <row r="14" spans="1:12" hidden="1" x14ac:dyDescent="0.2">
      <c r="A14" s="23" t="e">
        <f>'TAX Interest Rates'!#REF!</f>
        <v>#REF!</v>
      </c>
      <c r="D14" s="2">
        <v>192476.01</v>
      </c>
      <c r="F14" s="2" t="e">
        <f t="shared" ref="F14:F23" si="3">ROUND(H13*VLOOKUP(A14,FERCINT14,2)/365*VLOOKUP(A14,FERCINT14,3),2)</f>
        <v>#REF!</v>
      </c>
      <c r="H14" s="2" t="e">
        <f t="shared" si="0"/>
        <v>#REF!</v>
      </c>
      <c r="I14" s="2">
        <v>-1146671.05</v>
      </c>
      <c r="J14" s="2" t="e">
        <f t="shared" si="1"/>
        <v>#REF!</v>
      </c>
      <c r="K14" s="25" t="s">
        <v>89</v>
      </c>
      <c r="L14" s="26">
        <v>41677</v>
      </c>
    </row>
    <row r="15" spans="1:12" hidden="1" x14ac:dyDescent="0.2">
      <c r="A15" s="23" t="e">
        <f>'TAX Interest Rates'!#REF!</f>
        <v>#REF!</v>
      </c>
      <c r="D15" s="2">
        <v>1883159.68</v>
      </c>
      <c r="F15" s="2" t="e">
        <f t="shared" si="3"/>
        <v>#REF!</v>
      </c>
      <c r="H15" s="2" t="e">
        <f t="shared" si="0"/>
        <v>#REF!</v>
      </c>
      <c r="I15" s="2">
        <v>733629.81</v>
      </c>
      <c r="J15" s="2" t="e">
        <f t="shared" si="1"/>
        <v>#REF!</v>
      </c>
      <c r="K15" s="25" t="s">
        <v>89</v>
      </c>
      <c r="L15" s="26">
        <v>41705</v>
      </c>
    </row>
    <row r="16" spans="1:12" hidden="1" x14ac:dyDescent="0.2">
      <c r="A16" s="23" t="e">
        <f>'TAX Interest Rates'!#REF!</f>
        <v>#REF!</v>
      </c>
      <c r="D16" s="2">
        <v>1966862.04</v>
      </c>
      <c r="F16" s="2" t="e">
        <f t="shared" si="3"/>
        <v>#REF!</v>
      </c>
      <c r="H16" s="2" t="e">
        <f t="shared" si="0"/>
        <v>#REF!</v>
      </c>
      <c r="I16" s="2">
        <v>2702516.87</v>
      </c>
      <c r="J16" s="2" t="e">
        <f t="shared" si="1"/>
        <v>#REF!</v>
      </c>
      <c r="K16" s="25" t="s">
        <v>89</v>
      </c>
      <c r="L16" s="26">
        <v>41736</v>
      </c>
    </row>
    <row r="17" spans="1:12" hidden="1" x14ac:dyDescent="0.2">
      <c r="A17" s="23" t="e">
        <f>'TAX Interest Rates'!#REF!</f>
        <v>#REF!</v>
      </c>
      <c r="D17" s="2">
        <f>-274443.54-10556.4</f>
        <v>-284999.94</v>
      </c>
      <c r="F17" s="2" t="e">
        <f t="shared" si="3"/>
        <v>#REF!</v>
      </c>
      <c r="H17" s="2" t="e">
        <f t="shared" si="0"/>
        <v>#REF!</v>
      </c>
      <c r="I17" s="2">
        <v>2424735.98</v>
      </c>
      <c r="J17" s="2" t="e">
        <f t="shared" si="1"/>
        <v>#REF!</v>
      </c>
      <c r="K17" s="25" t="s">
        <v>89</v>
      </c>
      <c r="L17" s="26">
        <v>41766</v>
      </c>
    </row>
    <row r="18" spans="1:12" hidden="1" x14ac:dyDescent="0.2">
      <c r="A18" s="23" t="e">
        <f>'TAX Interest Rates'!#REF!</f>
        <v>#REF!</v>
      </c>
      <c r="D18" s="2">
        <v>1506.11</v>
      </c>
      <c r="F18" s="2" t="e">
        <f t="shared" si="3"/>
        <v>#REF!</v>
      </c>
      <c r="H18" s="2" t="e">
        <f t="shared" si="0"/>
        <v>#REF!</v>
      </c>
      <c r="I18" s="2">
        <v>2432935.0299999998</v>
      </c>
      <c r="J18" s="2" t="e">
        <f t="shared" si="1"/>
        <v>#REF!</v>
      </c>
      <c r="K18" s="25" t="s">
        <v>89</v>
      </c>
      <c r="L18" s="26">
        <v>41796</v>
      </c>
    </row>
    <row r="19" spans="1:12" hidden="1" x14ac:dyDescent="0.2">
      <c r="A19" s="23" t="e">
        <f>'TAX Interest Rates'!#REF!</f>
        <v>#REF!</v>
      </c>
      <c r="D19" s="2">
        <v>152709.69</v>
      </c>
      <c r="F19" s="2" t="e">
        <f t="shared" si="3"/>
        <v>#REF!</v>
      </c>
      <c r="H19" s="2" t="e">
        <f t="shared" si="0"/>
        <v>#REF!</v>
      </c>
      <c r="I19" s="2">
        <v>2592143.66</v>
      </c>
      <c r="J19" s="2" t="e">
        <f t="shared" si="1"/>
        <v>#REF!</v>
      </c>
      <c r="K19" s="25" t="s">
        <v>89</v>
      </c>
      <c r="L19" s="26">
        <v>41828</v>
      </c>
    </row>
    <row r="20" spans="1:12" hidden="1" x14ac:dyDescent="0.2">
      <c r="A20" s="23" t="e">
        <f>'TAX Interest Rates'!#REF!</f>
        <v>#REF!</v>
      </c>
      <c r="D20" s="2">
        <v>167726.51</v>
      </c>
      <c r="F20" s="2" t="e">
        <f t="shared" si="3"/>
        <v>#REF!</v>
      </c>
      <c r="H20" s="2" t="e">
        <f t="shared" si="0"/>
        <v>#REF!</v>
      </c>
      <c r="I20" s="2">
        <v>2767025.2</v>
      </c>
      <c r="J20" s="2" t="e">
        <f t="shared" si="1"/>
        <v>#REF!</v>
      </c>
      <c r="K20" s="25" t="s">
        <v>89</v>
      </c>
      <c r="L20" s="26">
        <v>41858</v>
      </c>
    </row>
    <row r="21" spans="1:12" hidden="1" x14ac:dyDescent="0.2">
      <c r="A21" s="23" t="e">
        <f>'TAX Interest Rates'!#REF!</f>
        <v>#REF!</v>
      </c>
      <c r="D21" s="2">
        <v>-467001.19</v>
      </c>
      <c r="F21" s="2" t="e">
        <f t="shared" si="3"/>
        <v>#REF!</v>
      </c>
      <c r="H21" s="2" t="e">
        <f t="shared" si="0"/>
        <v>#REF!</v>
      </c>
      <c r="I21" s="2">
        <v>2307661.7599999998</v>
      </c>
      <c r="J21" s="2" t="e">
        <f t="shared" si="1"/>
        <v>#REF!</v>
      </c>
      <c r="K21" s="25" t="s">
        <v>89</v>
      </c>
      <c r="L21" s="26">
        <v>41890</v>
      </c>
    </row>
    <row r="22" spans="1:12" hidden="1" x14ac:dyDescent="0.2">
      <c r="A22" s="23" t="e">
        <f>'TAX Interest Rates'!#REF!</f>
        <v>#REF!</v>
      </c>
      <c r="D22" s="2">
        <v>-76065.69</v>
      </c>
      <c r="F22" s="2" t="e">
        <f t="shared" si="3"/>
        <v>#REF!</v>
      </c>
      <c r="H22" s="2" t="e">
        <f t="shared" si="0"/>
        <v>#REF!</v>
      </c>
      <c r="I22" s="2">
        <v>2237760.37</v>
      </c>
      <c r="J22" s="2" t="e">
        <f t="shared" si="1"/>
        <v>#REF!</v>
      </c>
      <c r="K22" s="25" t="s">
        <v>89</v>
      </c>
      <c r="L22" s="26">
        <v>41919</v>
      </c>
    </row>
    <row r="23" spans="1:12" hidden="1" x14ac:dyDescent="0.2">
      <c r="A23" s="23" t="e">
        <f>'TAX Interest Rates'!#REF!</f>
        <v>#REF!</v>
      </c>
      <c r="D23" s="2">
        <v>-41866.550000000003</v>
      </c>
      <c r="F23" s="2" t="e">
        <f t="shared" si="3"/>
        <v>#REF!</v>
      </c>
      <c r="H23" s="24" t="e">
        <f t="shared" si="0"/>
        <v>#REF!</v>
      </c>
      <c r="I23" s="2">
        <v>2202070.65</v>
      </c>
      <c r="J23" s="2" t="e">
        <f t="shared" si="1"/>
        <v>#REF!</v>
      </c>
      <c r="K23" s="25" t="s">
        <v>89</v>
      </c>
      <c r="L23" s="26">
        <v>41950</v>
      </c>
    </row>
    <row r="24" spans="1:12" hidden="1" x14ac:dyDescent="0.2">
      <c r="A24" s="193" t="s">
        <v>90</v>
      </c>
      <c r="B24" s="193"/>
      <c r="C24" s="193"/>
      <c r="D24" s="193"/>
      <c r="E24" s="193"/>
      <c r="F24" s="193"/>
      <c r="G24" s="2">
        <v>-2789754.01</v>
      </c>
      <c r="H24" s="24" t="e">
        <f t="shared" si="0"/>
        <v>#REF!</v>
      </c>
    </row>
    <row r="25" spans="1:12" hidden="1" x14ac:dyDescent="0.2">
      <c r="A25" s="23" t="e">
        <f>'TAX Interest Rates'!#REF!</f>
        <v>#REF!</v>
      </c>
      <c r="D25" s="2">
        <v>-388093.17</v>
      </c>
      <c r="F25" s="2" t="e">
        <f t="shared" ref="F25" si="4">ROUND(H24*VLOOKUP(A25,FERCINT14,2)/365*VLOOKUP(A25,FERCINT14,3),2)</f>
        <v>#REF!</v>
      </c>
      <c r="H25" s="24" t="e">
        <f t="shared" ref="H25" si="5">H24+SUM(D25:G25)</f>
        <v>#REF!</v>
      </c>
      <c r="I25" s="2">
        <v>-977346.37</v>
      </c>
      <c r="J25" s="2" t="e">
        <f t="shared" si="1"/>
        <v>#REF!</v>
      </c>
      <c r="K25" s="25" t="s">
        <v>89</v>
      </c>
      <c r="L25" s="26">
        <v>41981</v>
      </c>
    </row>
    <row r="26" spans="1:12" hidden="1" x14ac:dyDescent="0.2">
      <c r="A26" s="23" t="e">
        <f>'TAX Interest Rates'!#REF!</f>
        <v>#REF!</v>
      </c>
      <c r="D26" s="2">
        <v>50810.48</v>
      </c>
      <c r="F26" s="2" t="e">
        <f t="shared" ref="F26" si="6">ROUND(H25*VLOOKUP(A26,FERCINT14,2)/365*VLOOKUP(A26,FERCINT14,3),2)</f>
        <v>#REF!</v>
      </c>
      <c r="H26" s="24" t="e">
        <f t="shared" ref="H26:H42" si="7">H25+SUM(D26:G26)</f>
        <v>#REF!</v>
      </c>
      <c r="I26" s="2">
        <v>-929233.63</v>
      </c>
      <c r="J26" s="2" t="e">
        <f t="shared" si="1"/>
        <v>#REF!</v>
      </c>
      <c r="K26" s="25" t="s">
        <v>89</v>
      </c>
      <c r="L26" s="26">
        <v>42012</v>
      </c>
    </row>
    <row r="27" spans="1:12" hidden="1" x14ac:dyDescent="0.2">
      <c r="A27" s="23" t="e">
        <f>'TAX Interest Rates'!#REF!</f>
        <v>#REF!</v>
      </c>
      <c r="D27" s="2">
        <v>-1925336.63</v>
      </c>
      <c r="F27" s="2" t="e">
        <f t="shared" ref="F27:F34" si="8">ROUND(H26*VLOOKUP(A27,FERCINT15,2)/365*VLOOKUP(A27,FERCINT15,3),2)</f>
        <v>#REF!</v>
      </c>
      <c r="H27" s="24" t="e">
        <f t="shared" si="7"/>
        <v>#REF!</v>
      </c>
      <c r="I27" s="2">
        <v>-2857135.2</v>
      </c>
      <c r="J27" s="2" t="e">
        <f t="shared" si="1"/>
        <v>#REF!</v>
      </c>
      <c r="K27" s="25" t="s">
        <v>89</v>
      </c>
      <c r="L27" s="26">
        <v>42041</v>
      </c>
    </row>
    <row r="28" spans="1:12" hidden="1" x14ac:dyDescent="0.2">
      <c r="A28" s="23" t="e">
        <f>'TAX Interest Rates'!#REF!</f>
        <v>#REF!</v>
      </c>
      <c r="D28" s="2">
        <v>-1353526.41</v>
      </c>
      <c r="F28" s="2" t="e">
        <f t="shared" si="8"/>
        <v>#REF!</v>
      </c>
      <c r="H28" s="24" t="e">
        <f t="shared" si="7"/>
        <v>#REF!</v>
      </c>
      <c r="I28" s="2">
        <v>-4217784.88</v>
      </c>
      <c r="J28" s="2" t="e">
        <f t="shared" si="1"/>
        <v>#REF!</v>
      </c>
      <c r="K28" s="25" t="s">
        <v>89</v>
      </c>
      <c r="L28" s="26">
        <v>42069</v>
      </c>
    </row>
    <row r="29" spans="1:12" hidden="1" x14ac:dyDescent="0.2">
      <c r="A29" s="23" t="e">
        <f>'TAX Interest Rates'!#REF!</f>
        <v>#REF!</v>
      </c>
      <c r="D29" s="2">
        <v>-1683298.68</v>
      </c>
      <c r="F29" s="2" t="e">
        <f t="shared" si="8"/>
        <v>#REF!</v>
      </c>
      <c r="H29" s="24" t="e">
        <f t="shared" si="7"/>
        <v>#REF!</v>
      </c>
      <c r="I29" s="2">
        <v>-5912725.7999999998</v>
      </c>
      <c r="J29" s="2" t="e">
        <f t="shared" si="1"/>
        <v>#REF!</v>
      </c>
      <c r="K29" s="25" t="s">
        <v>89</v>
      </c>
      <c r="L29" s="26">
        <v>42101</v>
      </c>
    </row>
    <row r="30" spans="1:12" hidden="1" x14ac:dyDescent="0.2">
      <c r="A30" s="23" t="e">
        <f>'TAX Interest Rates'!#REF!</f>
        <v>#REF!</v>
      </c>
      <c r="D30" s="2">
        <v>-1792191.55</v>
      </c>
      <c r="F30" s="2" t="e">
        <f t="shared" si="8"/>
        <v>#REF!</v>
      </c>
      <c r="H30" s="24" t="e">
        <f t="shared" si="7"/>
        <v>#REF!</v>
      </c>
      <c r="I30" s="2">
        <v>-7720711.6200000001</v>
      </c>
      <c r="J30" s="2" t="e">
        <f t="shared" si="1"/>
        <v>#REF!</v>
      </c>
      <c r="K30" s="25" t="s">
        <v>89</v>
      </c>
      <c r="L30" s="26">
        <v>42131</v>
      </c>
    </row>
    <row r="31" spans="1:12" hidden="1" x14ac:dyDescent="0.2">
      <c r="A31" s="23" t="e">
        <f>'TAX Interest Rates'!#REF!</f>
        <v>#REF!</v>
      </c>
      <c r="D31" s="2">
        <v>-1388193.03</v>
      </c>
      <c r="F31" s="2" t="e">
        <f t="shared" si="8"/>
        <v>#REF!</v>
      </c>
      <c r="H31" s="24" t="e">
        <f t="shared" si="7"/>
        <v>#REF!</v>
      </c>
      <c r="I31" s="2">
        <v>-9130215.9299999997</v>
      </c>
      <c r="J31" s="2" t="e">
        <f t="shared" si="1"/>
        <v>#REF!</v>
      </c>
      <c r="K31" s="25" t="s">
        <v>89</v>
      </c>
      <c r="L31" s="26">
        <v>42160</v>
      </c>
    </row>
    <row r="32" spans="1:12" hidden="1" x14ac:dyDescent="0.2">
      <c r="A32" s="23" t="e">
        <f>'TAX Interest Rates'!#REF!</f>
        <v>#REF!</v>
      </c>
      <c r="D32" s="2">
        <v>26234.13</v>
      </c>
      <c r="F32" s="2" t="e">
        <f t="shared" si="8"/>
        <v>#REF!</v>
      </c>
      <c r="H32" s="24" t="e">
        <f t="shared" si="7"/>
        <v>#REF!</v>
      </c>
      <c r="I32" s="2">
        <v>-9128370.7300000004</v>
      </c>
      <c r="J32" s="2" t="e">
        <f t="shared" si="1"/>
        <v>#REF!</v>
      </c>
      <c r="K32" s="25" t="s">
        <v>89</v>
      </c>
      <c r="L32" s="26">
        <v>42193</v>
      </c>
    </row>
    <row r="33" spans="1:12" hidden="1" x14ac:dyDescent="0.2">
      <c r="A33" s="23" t="e">
        <f>'TAX Interest Rates'!#REF!</f>
        <v>#REF!</v>
      </c>
      <c r="D33" s="2">
        <v>-864942.07999999996</v>
      </c>
      <c r="F33" s="2" t="e">
        <f t="shared" si="8"/>
        <v>#REF!</v>
      </c>
      <c r="H33" s="24" t="e">
        <f t="shared" si="7"/>
        <v>#REF!</v>
      </c>
      <c r="I33" s="2">
        <v>-10018509.609999999</v>
      </c>
      <c r="J33" s="2" t="e">
        <f t="shared" si="1"/>
        <v>#REF!</v>
      </c>
      <c r="K33" s="25" t="s">
        <v>89</v>
      </c>
      <c r="L33" s="26">
        <v>42223</v>
      </c>
    </row>
    <row r="34" spans="1:12" hidden="1" x14ac:dyDescent="0.2">
      <c r="A34" s="23" t="e">
        <f>'TAX Interest Rates'!#REF!</f>
        <v>#REF!</v>
      </c>
      <c r="D34" s="2">
        <v>-127139.21</v>
      </c>
      <c r="F34" s="2" t="e">
        <f t="shared" si="8"/>
        <v>#REF!</v>
      </c>
      <c r="H34" s="24" t="e">
        <f t="shared" si="7"/>
        <v>#REF!</v>
      </c>
      <c r="I34" s="2">
        <v>-10173302.65</v>
      </c>
      <c r="J34" s="2" t="e">
        <f t="shared" si="1"/>
        <v>#REF!</v>
      </c>
      <c r="K34" s="25" t="s">
        <v>89</v>
      </c>
      <c r="L34" s="26">
        <v>42255</v>
      </c>
    </row>
    <row r="35" spans="1:12" x14ac:dyDescent="0.2">
      <c r="A35" s="193" t="s">
        <v>91</v>
      </c>
      <c r="B35" s="193"/>
      <c r="C35" s="193"/>
      <c r="D35" s="193"/>
      <c r="E35" s="193"/>
      <c r="F35" s="193"/>
      <c r="G35" s="2">
        <v>0</v>
      </c>
      <c r="H35" s="24">
        <v>0</v>
      </c>
      <c r="K35" s="25"/>
      <c r="L35" s="26"/>
    </row>
    <row r="36" spans="1:12" x14ac:dyDescent="0.2">
      <c r="A36" s="23">
        <f>+'TAX Interest Rates'!A11</f>
        <v>43159</v>
      </c>
      <c r="F36" s="2">
        <f>ROUND(H35*VLOOKUP(A36,TAXINT18,2)/365*VLOOKUP(A36,TAXINT18,3),2)</f>
        <v>0</v>
      </c>
      <c r="H36" s="24">
        <f>H35+SUM(D36:G36)</f>
        <v>0</v>
      </c>
      <c r="J36" s="2">
        <f t="shared" si="1"/>
        <v>0</v>
      </c>
      <c r="K36" s="25"/>
      <c r="L36" s="26"/>
    </row>
    <row r="37" spans="1:12" x14ac:dyDescent="0.2">
      <c r="A37" s="23">
        <f>+'TAX Interest Rates'!A12</f>
        <v>43190</v>
      </c>
      <c r="F37" s="2">
        <f t="shared" ref="F37:F42" si="9">ROUND(H36*VLOOKUP(A37,TAXINT18,2)/365*VLOOKUP(A37,TAXINT18,3),2)</f>
        <v>0</v>
      </c>
      <c r="H37" s="24">
        <f>H36+SUM(D37:G37)</f>
        <v>0</v>
      </c>
      <c r="J37" s="2">
        <f t="shared" si="1"/>
        <v>0</v>
      </c>
      <c r="K37" s="25"/>
      <c r="L37" s="26"/>
    </row>
    <row r="38" spans="1:12" x14ac:dyDescent="0.2">
      <c r="A38" s="23">
        <f>+'TAX Interest Rates'!A13</f>
        <v>43220</v>
      </c>
      <c r="F38" s="2">
        <f t="shared" si="9"/>
        <v>0</v>
      </c>
      <c r="H38" s="24">
        <f>H37+SUM(D38:G38)</f>
        <v>0</v>
      </c>
      <c r="J38" s="2">
        <f t="shared" ref="J38:J49" si="10">H38-I38</f>
        <v>0</v>
      </c>
      <c r="K38" s="25"/>
      <c r="L38" s="26"/>
    </row>
    <row r="39" spans="1:12" x14ac:dyDescent="0.2">
      <c r="A39" s="23">
        <f>+'TAX Interest Rates'!A14</f>
        <v>43251</v>
      </c>
      <c r="F39" s="2">
        <f t="shared" si="9"/>
        <v>0</v>
      </c>
      <c r="H39" s="24">
        <f>H38+SUM(D39:G39)</f>
        <v>0</v>
      </c>
      <c r="J39" s="2">
        <f t="shared" si="10"/>
        <v>0</v>
      </c>
      <c r="K39" s="25"/>
      <c r="L39" s="26"/>
    </row>
    <row r="40" spans="1:12" x14ac:dyDescent="0.2">
      <c r="A40" s="23">
        <f>+'TAX Interest Rates'!A15</f>
        <v>43281</v>
      </c>
      <c r="D40" s="2">
        <v>-1024987.67</v>
      </c>
      <c r="F40" s="2">
        <f t="shared" si="9"/>
        <v>0</v>
      </c>
      <c r="H40" s="24">
        <f t="shared" si="7"/>
        <v>-1024987.67</v>
      </c>
      <c r="J40" s="2">
        <f t="shared" si="10"/>
        <v>-1024987.67</v>
      </c>
      <c r="K40" s="25"/>
      <c r="L40" s="26"/>
    </row>
    <row r="41" spans="1:12" x14ac:dyDescent="0.2">
      <c r="A41" s="23">
        <f>+'TAX Interest Rates'!A16</f>
        <v>43312</v>
      </c>
      <c r="D41" s="2">
        <f>-1276485.91-260971.77</f>
        <v>-1537457.68</v>
      </c>
      <c r="F41" s="2">
        <f t="shared" si="9"/>
        <v>0</v>
      </c>
      <c r="H41" s="24">
        <f t="shared" si="7"/>
        <v>-2562445.35</v>
      </c>
      <c r="J41" s="2">
        <f t="shared" si="10"/>
        <v>-2562445.35</v>
      </c>
      <c r="K41" s="25"/>
      <c r="L41" s="26"/>
    </row>
    <row r="42" spans="1:12" x14ac:dyDescent="0.2">
      <c r="A42" s="23">
        <f>+'TAX Interest Rates'!A17</f>
        <v>43343</v>
      </c>
      <c r="D42" s="2">
        <v>-260971.77</v>
      </c>
      <c r="F42" s="2">
        <f t="shared" si="9"/>
        <v>0</v>
      </c>
      <c r="H42" s="24">
        <f t="shared" si="7"/>
        <v>-2823417.12</v>
      </c>
      <c r="J42" s="2">
        <f t="shared" si="10"/>
        <v>-2823417.12</v>
      </c>
      <c r="K42" s="25"/>
      <c r="L42" s="26"/>
    </row>
    <row r="43" spans="1:12" x14ac:dyDescent="0.2">
      <c r="A43" s="23"/>
      <c r="F43" s="11" t="s">
        <v>92</v>
      </c>
      <c r="G43" s="2">
        <v>801265.87</v>
      </c>
      <c r="H43" s="24"/>
      <c r="K43" s="25"/>
      <c r="L43" s="26"/>
    </row>
    <row r="44" spans="1:12" x14ac:dyDescent="0.2">
      <c r="A44" s="23"/>
      <c r="F44" s="11" t="s">
        <v>93</v>
      </c>
      <c r="G44" s="2">
        <v>231637.15</v>
      </c>
      <c r="H44" s="24"/>
      <c r="K44" s="25"/>
      <c r="L44" s="26"/>
    </row>
    <row r="45" spans="1:12" x14ac:dyDescent="0.2">
      <c r="A45" s="23"/>
      <c r="F45" s="11" t="s">
        <v>94</v>
      </c>
      <c r="G45" s="2">
        <v>398753.06</v>
      </c>
      <c r="H45" s="24"/>
      <c r="K45" s="25"/>
      <c r="L45" s="26"/>
    </row>
    <row r="46" spans="1:12" x14ac:dyDescent="0.2">
      <c r="A46" s="23"/>
      <c r="F46" s="11" t="s">
        <v>95</v>
      </c>
      <c r="G46" s="2">
        <v>115275.12</v>
      </c>
      <c r="H46" s="24"/>
      <c r="K46" s="25"/>
      <c r="L46" s="26"/>
    </row>
    <row r="47" spans="1:12" x14ac:dyDescent="0.2">
      <c r="A47" s="23"/>
      <c r="F47" s="11" t="s">
        <v>96</v>
      </c>
      <c r="G47" s="2">
        <v>990223.26</v>
      </c>
      <c r="H47" s="24"/>
      <c r="K47" s="25"/>
      <c r="L47" s="26"/>
    </row>
    <row r="48" spans="1:12" x14ac:dyDescent="0.2">
      <c r="A48" s="23"/>
      <c r="F48" s="11" t="s">
        <v>97</v>
      </c>
      <c r="G48" s="2">
        <v>286262.65999999997</v>
      </c>
      <c r="H48" s="24"/>
      <c r="K48" s="25"/>
      <c r="L48" s="26"/>
    </row>
    <row r="49" spans="1:12" x14ac:dyDescent="0.2">
      <c r="A49" s="23"/>
      <c r="H49" s="24">
        <f>+H42+G43+G44+G45+G46+G47+G48</f>
        <v>0</v>
      </c>
      <c r="I49" s="2">
        <v>0</v>
      </c>
      <c r="J49" s="2">
        <f t="shared" si="10"/>
        <v>0</v>
      </c>
      <c r="K49" s="25" t="s">
        <v>98</v>
      </c>
      <c r="L49" s="26">
        <v>43364</v>
      </c>
    </row>
    <row r="50" spans="1:12" x14ac:dyDescent="0.2">
      <c r="K50" s="25"/>
    </row>
  </sheetData>
  <mergeCells count="18">
    <mergeCell ref="A35:F35"/>
    <mergeCell ref="D9:F9"/>
    <mergeCell ref="A7:B7"/>
    <mergeCell ref="C7:H7"/>
    <mergeCell ref="A11:G11"/>
    <mergeCell ref="A24:F24"/>
    <mergeCell ref="A6:B6"/>
    <mergeCell ref="C1:H1"/>
    <mergeCell ref="C2:H2"/>
    <mergeCell ref="C3:H3"/>
    <mergeCell ref="C4:H4"/>
    <mergeCell ref="C5:H5"/>
    <mergeCell ref="C6:H6"/>
    <mergeCell ref="A1:B1"/>
    <mergeCell ref="A2:B2"/>
    <mergeCell ref="A3:B3"/>
    <mergeCell ref="A4:B4"/>
    <mergeCell ref="A5:B5"/>
  </mergeCells>
  <phoneticPr fontId="0" type="noConversion"/>
  <pageMargins left="0.5" right="0.25" top="0.5" bottom="0.25" header="0.5" footer="0.5"/>
  <pageSetup scale="99" orientation="portrait" r:id="rId1"/>
  <headerFooter alignWithMargins="0">
    <oddFooter>&amp;LWA Tax Amortization&amp;C&amp;A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6">
    <tabColor theme="5" tint="-0.249977111117893"/>
  </sheetPr>
  <dimension ref="A1"/>
  <sheetViews>
    <sheetView topLeftCell="B4" zoomScale="75" workbookViewId="0">
      <selection activeCell="J20" sqref="J20"/>
    </sheetView>
  </sheetViews>
  <sheetFormatPr defaultRowHeight="15.75" x14ac:dyDescent="0.2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64"/>
  <sheetViews>
    <sheetView tabSelected="1" view="pageBreakPreview" topLeftCell="A5" zoomScaleNormal="100" zoomScaleSheetLayoutView="100" workbookViewId="0">
      <selection activeCell="D50" sqref="D50"/>
    </sheetView>
  </sheetViews>
  <sheetFormatPr defaultColWidth="8.88671875" defaultRowHeight="12.75" x14ac:dyDescent="0.2"/>
  <cols>
    <col min="1" max="2" width="8.88671875" style="2"/>
    <col min="3" max="3" width="10.109375" style="2" customWidth="1"/>
    <col min="4" max="4" width="8.88671875" style="2"/>
    <col min="5" max="5" width="10.21875" style="2" customWidth="1"/>
    <col min="6" max="6" width="8.88671875" style="2"/>
    <col min="7" max="7" width="13.109375" style="2" customWidth="1"/>
    <col min="8" max="8" width="11.6640625" style="2" customWidth="1"/>
    <col min="9" max="9" width="1.21875" style="2" customWidth="1"/>
    <col min="10" max="10" width="11" style="2" customWidth="1"/>
    <col min="11" max="11" width="10.21875" style="2" customWidth="1"/>
    <col min="12" max="12" width="9" style="25" bestFit="1" customWidth="1"/>
    <col min="13" max="13" width="10.33203125" style="25" bestFit="1" customWidth="1"/>
    <col min="14" max="16384" width="8.88671875" style="2"/>
  </cols>
  <sheetData>
    <row r="1" spans="1:13" x14ac:dyDescent="0.2">
      <c r="A1" s="209" t="s">
        <v>65</v>
      </c>
      <c r="B1" s="210"/>
      <c r="C1" s="211" t="s">
        <v>66</v>
      </c>
      <c r="D1" s="211"/>
      <c r="E1" s="211"/>
      <c r="F1" s="211"/>
      <c r="G1" s="211"/>
      <c r="H1" s="212"/>
      <c r="I1" s="131"/>
      <c r="J1" s="27"/>
    </row>
    <row r="2" spans="1:13" x14ac:dyDescent="0.2">
      <c r="A2" s="206" t="s">
        <v>67</v>
      </c>
      <c r="B2" s="186"/>
      <c r="C2" s="207" t="s">
        <v>99</v>
      </c>
      <c r="D2" s="207"/>
      <c r="E2" s="207"/>
      <c r="F2" s="207"/>
      <c r="G2" s="207"/>
      <c r="H2" s="208"/>
      <c r="I2" s="131"/>
      <c r="J2" s="27"/>
    </row>
    <row r="3" spans="1:13" x14ac:dyDescent="0.2">
      <c r="A3" s="206" t="s">
        <v>69</v>
      </c>
      <c r="B3" s="186"/>
      <c r="C3" s="207" t="s">
        <v>6</v>
      </c>
      <c r="D3" s="207"/>
      <c r="E3" s="207"/>
      <c r="F3" s="207"/>
      <c r="G3" s="207"/>
      <c r="H3" s="208"/>
      <c r="I3" s="131"/>
      <c r="J3" s="27"/>
    </row>
    <row r="4" spans="1:13" x14ac:dyDescent="0.2">
      <c r="A4" s="206" t="s">
        <v>71</v>
      </c>
      <c r="B4" s="186"/>
      <c r="C4" s="207"/>
      <c r="D4" s="207"/>
      <c r="E4" s="207"/>
      <c r="F4" s="207"/>
      <c r="G4" s="207"/>
      <c r="H4" s="208"/>
      <c r="I4" s="131"/>
      <c r="J4" s="200"/>
      <c r="K4" s="200"/>
      <c r="L4" s="200"/>
      <c r="M4" s="200"/>
    </row>
    <row r="5" spans="1:13" x14ac:dyDescent="0.2">
      <c r="A5" s="206" t="s">
        <v>72</v>
      </c>
      <c r="B5" s="186"/>
      <c r="C5" s="207" t="s">
        <v>75</v>
      </c>
      <c r="D5" s="207"/>
      <c r="E5" s="207"/>
      <c r="F5" s="207"/>
      <c r="G5" s="207"/>
      <c r="H5" s="208"/>
      <c r="I5" s="131"/>
      <c r="J5" s="200"/>
      <c r="K5" s="200"/>
      <c r="L5" s="200"/>
      <c r="M5" s="200"/>
    </row>
    <row r="6" spans="1:13" x14ac:dyDescent="0.2">
      <c r="A6" s="206" t="s">
        <v>74</v>
      </c>
      <c r="B6" s="186"/>
      <c r="C6" s="207" t="s">
        <v>100</v>
      </c>
      <c r="D6" s="207"/>
      <c r="E6" s="207"/>
      <c r="F6" s="207"/>
      <c r="G6" s="207"/>
      <c r="H6" s="208"/>
      <c r="I6" s="131"/>
      <c r="J6" s="200"/>
      <c r="K6" s="200"/>
      <c r="L6" s="200"/>
      <c r="M6" s="200"/>
    </row>
    <row r="7" spans="1:13" ht="13.5" thickBot="1" x14ac:dyDescent="0.25">
      <c r="A7" s="201" t="s">
        <v>76</v>
      </c>
      <c r="B7" s="202"/>
      <c r="C7" s="203" t="s">
        <v>101</v>
      </c>
      <c r="D7" s="203"/>
      <c r="E7" s="203"/>
      <c r="F7" s="203"/>
      <c r="G7" s="203"/>
      <c r="H7" s="204"/>
      <c r="I7" s="132"/>
      <c r="J7" s="30"/>
    </row>
    <row r="8" spans="1:13" x14ac:dyDescent="0.2">
      <c r="A8" s="34"/>
      <c r="B8" s="34"/>
      <c r="C8" s="35"/>
      <c r="D8" s="35"/>
      <c r="E8" s="35"/>
      <c r="F8" s="35"/>
      <c r="G8" s="35"/>
      <c r="H8" s="35"/>
      <c r="I8" s="35"/>
      <c r="K8" s="36"/>
    </row>
    <row r="9" spans="1:13" x14ac:dyDescent="0.2">
      <c r="A9" s="7"/>
      <c r="D9" s="194" t="s">
        <v>78</v>
      </c>
      <c r="E9" s="194"/>
      <c r="F9" s="194"/>
    </row>
    <row r="10" spans="1:13" s="99" customFormat="1" ht="26.25" customHeight="1" x14ac:dyDescent="0.2">
      <c r="A10" s="8" t="s">
        <v>24</v>
      </c>
      <c r="B10" s="8" t="s">
        <v>79</v>
      </c>
      <c r="C10" s="8" t="s">
        <v>62</v>
      </c>
      <c r="D10" s="8" t="s">
        <v>80</v>
      </c>
      <c r="E10" s="8" t="s">
        <v>58</v>
      </c>
      <c r="F10" s="8" t="s">
        <v>81</v>
      </c>
      <c r="G10" s="8" t="s">
        <v>82</v>
      </c>
      <c r="H10" s="8" t="s">
        <v>83</v>
      </c>
      <c r="I10" s="133"/>
      <c r="J10" s="8" t="s">
        <v>84</v>
      </c>
      <c r="K10" s="8" t="s">
        <v>85</v>
      </c>
      <c r="L10" s="19" t="s">
        <v>86</v>
      </c>
      <c r="M10" s="19" t="s">
        <v>87</v>
      </c>
    </row>
    <row r="11" spans="1:13" x14ac:dyDescent="0.2">
      <c r="A11" s="31"/>
      <c r="B11" s="31"/>
      <c r="C11" s="31"/>
      <c r="D11" s="31"/>
      <c r="E11" s="31"/>
      <c r="F11" s="31"/>
      <c r="G11" s="31"/>
      <c r="H11" s="29"/>
      <c r="I11" s="134"/>
      <c r="J11" s="30"/>
    </row>
    <row r="12" spans="1:13" hidden="1" x14ac:dyDescent="0.2">
      <c r="A12" s="205" t="s">
        <v>102</v>
      </c>
      <c r="B12" s="205"/>
      <c r="C12" s="205"/>
      <c r="D12" s="205"/>
      <c r="E12" s="205"/>
      <c r="F12" s="205"/>
      <c r="G12" s="29">
        <v>-801265.87</v>
      </c>
      <c r="H12" s="29"/>
      <c r="I12" s="134"/>
      <c r="J12" s="37"/>
      <c r="K12" s="24"/>
    </row>
    <row r="13" spans="1:13" hidden="1" x14ac:dyDescent="0.2">
      <c r="A13" s="205"/>
      <c r="B13" s="205"/>
      <c r="C13" s="205"/>
      <c r="D13" s="205"/>
      <c r="E13" s="205"/>
      <c r="F13" s="205"/>
      <c r="G13" s="29"/>
      <c r="H13" s="29">
        <f>SUM(G12:G12)</f>
        <v>-801265.87</v>
      </c>
      <c r="I13" s="134"/>
      <c r="J13" s="30"/>
    </row>
    <row r="14" spans="1:13" hidden="1" x14ac:dyDescent="0.2">
      <c r="A14" s="28">
        <f>'TAX Interest Rates'!A17</f>
        <v>43343</v>
      </c>
      <c r="B14" s="47" t="s">
        <v>103</v>
      </c>
      <c r="C14" s="46">
        <f>+'Protected EDIT Base'!R4</f>
        <v>61836631</v>
      </c>
      <c r="D14" s="24">
        <f>19635.9-111661.42</f>
        <v>-92025.51999999999</v>
      </c>
      <c r="E14" s="29">
        <f>+'Protected EDIT Base'!R116</f>
        <v>34981.630000000005</v>
      </c>
      <c r="F14" s="29">
        <f t="shared" ref="F14:F18" si="0">ROUND(H13*VLOOKUP(A14,TAXINT18,2)/365*VLOOKUP(A14,TAXINT18,3),2)</f>
        <v>0</v>
      </c>
      <c r="G14" s="29"/>
      <c r="H14" s="29">
        <f>SUM(D14:G14)+H13</f>
        <v>-858309.76</v>
      </c>
      <c r="I14" s="134"/>
      <c r="J14" s="37">
        <v>-858309.76</v>
      </c>
      <c r="K14" s="2">
        <f>J14-H14</f>
        <v>0</v>
      </c>
      <c r="L14" s="25" t="s">
        <v>98</v>
      </c>
      <c r="M14" s="128">
        <v>43364</v>
      </c>
    </row>
    <row r="15" spans="1:13" hidden="1" x14ac:dyDescent="0.2">
      <c r="A15" s="28">
        <f>'TAX Interest Rates'!A18</f>
        <v>43373</v>
      </c>
      <c r="B15" s="47" t="s">
        <v>103</v>
      </c>
      <c r="C15" s="46">
        <f>+'Protected EDIT Base'!R5</f>
        <v>69221884</v>
      </c>
      <c r="D15" s="24">
        <v>-111661.43</v>
      </c>
      <c r="E15" s="29">
        <f>+'Protected EDIT Base'!R117</f>
        <v>53753.709999999992</v>
      </c>
      <c r="F15" s="29">
        <f t="shared" si="0"/>
        <v>0</v>
      </c>
      <c r="G15" s="29"/>
      <c r="H15" s="29">
        <f t="shared" ref="H15:H26" si="1">SUM(D15:G15)+H14</f>
        <v>-916217.48</v>
      </c>
      <c r="I15" s="134"/>
      <c r="J15" s="37">
        <v>-916217.48</v>
      </c>
      <c r="K15" s="24">
        <f>J15-H15</f>
        <v>0</v>
      </c>
      <c r="L15" s="25" t="s">
        <v>98</v>
      </c>
      <c r="M15" s="128">
        <v>43381</v>
      </c>
    </row>
    <row r="16" spans="1:13" hidden="1" x14ac:dyDescent="0.2">
      <c r="A16" s="28">
        <f>'TAX Interest Rates'!A19</f>
        <v>43404</v>
      </c>
      <c r="B16" s="47" t="s">
        <v>103</v>
      </c>
      <c r="C16" s="46">
        <f>+'Protected EDIT Base'!R6</f>
        <v>58118580</v>
      </c>
      <c r="D16" s="37">
        <v>-111661.42</v>
      </c>
      <c r="E16" s="29">
        <f>+'Protected EDIT Base'!R118</f>
        <v>66520.710000000006</v>
      </c>
      <c r="F16" s="29">
        <f t="shared" si="0"/>
        <v>0</v>
      </c>
      <c r="G16" s="30"/>
      <c r="H16" s="32">
        <f t="shared" si="1"/>
        <v>-961358.19</v>
      </c>
      <c r="I16" s="135"/>
      <c r="J16" s="37">
        <v>-961358.19</v>
      </c>
      <c r="K16" s="24">
        <f t="shared" ref="K16:K26" si="2">J16-H16</f>
        <v>0</v>
      </c>
      <c r="L16" s="25" t="s">
        <v>98</v>
      </c>
      <c r="M16" s="128">
        <v>43411</v>
      </c>
    </row>
    <row r="17" spans="1:13" hidden="1" x14ac:dyDescent="0.2">
      <c r="A17" s="28">
        <f>'TAX Interest Rates'!A20</f>
        <v>43434</v>
      </c>
      <c r="B17" s="47" t="s">
        <v>104</v>
      </c>
      <c r="C17" s="46">
        <f>+'Protected EDIT Base'!R8+'Protected EDIT Base'!R7</f>
        <v>43389765</v>
      </c>
      <c r="D17" s="37">
        <v>-111661.43</v>
      </c>
      <c r="E17" s="29">
        <f>+'Protected EDIT Base'!R120+'Protected EDIT Base'!R119</f>
        <v>86514.12</v>
      </c>
      <c r="F17" s="29">
        <f t="shared" si="0"/>
        <v>0</v>
      </c>
      <c r="G17" s="30"/>
      <c r="H17" s="32">
        <f t="shared" si="1"/>
        <v>-986505.5</v>
      </c>
      <c r="I17" s="135"/>
      <c r="J17" s="2">
        <v>-986505.5</v>
      </c>
      <c r="K17" s="24">
        <f t="shared" si="2"/>
        <v>0</v>
      </c>
      <c r="L17" s="25" t="s">
        <v>98</v>
      </c>
      <c r="M17" s="128">
        <v>43444</v>
      </c>
    </row>
    <row r="18" spans="1:13" hidden="1" x14ac:dyDescent="0.2">
      <c r="A18" s="28">
        <f>'TAX Interest Rates'!A21</f>
        <v>43465</v>
      </c>
      <c r="B18" s="47" t="s">
        <v>103</v>
      </c>
      <c r="C18" s="46">
        <f>+'Protected EDIT Base'!R9</f>
        <v>80158637</v>
      </c>
      <c r="D18" s="37">
        <v>-184967.18</v>
      </c>
      <c r="E18" s="29">
        <f>+'Protected EDIT Base'!R121</f>
        <v>170724.37999999998</v>
      </c>
      <c r="F18" s="29">
        <f t="shared" si="0"/>
        <v>0</v>
      </c>
      <c r="G18" s="30"/>
      <c r="H18" s="32">
        <f t="shared" si="1"/>
        <v>-1000748.3</v>
      </c>
      <c r="I18" s="135"/>
      <c r="J18" s="2">
        <v>-1000748.3</v>
      </c>
      <c r="K18" s="24">
        <f t="shared" si="2"/>
        <v>0</v>
      </c>
      <c r="L18" s="25" t="s">
        <v>98</v>
      </c>
      <c r="M18" s="128">
        <v>43482</v>
      </c>
    </row>
    <row r="19" spans="1:13" hidden="1" x14ac:dyDescent="0.2">
      <c r="A19" s="28">
        <f>'TAX Interest Rates'!A22</f>
        <v>43496</v>
      </c>
      <c r="B19" s="47" t="s">
        <v>103</v>
      </c>
      <c r="C19" s="46">
        <f>+'Protected EDIT Base'!R10</f>
        <v>86264908</v>
      </c>
      <c r="D19" s="37">
        <v>-126096.29</v>
      </c>
      <c r="E19" s="29">
        <f>+'Protected EDIT Base'!R122</f>
        <v>191670.15</v>
      </c>
      <c r="F19" s="29">
        <f t="shared" ref="F19:F26" si="3">ROUND(H18*VLOOKUP(A19,TAXINT19,2)/365*VLOOKUP(A19,TAXINT19,3),2)</f>
        <v>0</v>
      </c>
      <c r="G19" s="30"/>
      <c r="H19" s="32">
        <f t="shared" si="1"/>
        <v>-935174.44000000006</v>
      </c>
      <c r="I19" s="135"/>
      <c r="J19" s="2">
        <v>-935174.44</v>
      </c>
      <c r="K19" s="24">
        <f t="shared" si="2"/>
        <v>0</v>
      </c>
      <c r="L19" s="25" t="s">
        <v>98</v>
      </c>
      <c r="M19" s="128">
        <v>43531</v>
      </c>
    </row>
    <row r="20" spans="1:13" hidden="1" x14ac:dyDescent="0.2">
      <c r="A20" s="28">
        <f>'TAX Interest Rates'!A23</f>
        <v>43524</v>
      </c>
      <c r="B20" s="47" t="s">
        <v>103</v>
      </c>
      <c r="C20" s="46">
        <f>+'Protected EDIT Base'!R11</f>
        <v>82269503</v>
      </c>
      <c r="D20" s="37">
        <v>-126096.29</v>
      </c>
      <c r="E20" s="29">
        <f>+'Protected EDIT Base'!R123</f>
        <v>200335.82</v>
      </c>
      <c r="F20" s="29">
        <f t="shared" si="3"/>
        <v>0</v>
      </c>
      <c r="G20" s="30"/>
      <c r="H20" s="32">
        <f t="shared" si="1"/>
        <v>-860934.91</v>
      </c>
      <c r="I20" s="135"/>
      <c r="J20" s="2">
        <v>-860934.91</v>
      </c>
      <c r="K20" s="24">
        <f t="shared" si="2"/>
        <v>0</v>
      </c>
      <c r="L20" s="25" t="s">
        <v>98</v>
      </c>
      <c r="M20" s="128">
        <v>43531</v>
      </c>
    </row>
    <row r="21" spans="1:13" hidden="1" x14ac:dyDescent="0.2">
      <c r="A21" s="28">
        <f>'TAX Interest Rates'!A24</f>
        <v>43555</v>
      </c>
      <c r="B21" s="47" t="s">
        <v>103</v>
      </c>
      <c r="C21" s="46">
        <f>+'Protected EDIT Base'!R12</f>
        <v>84736435</v>
      </c>
      <c r="D21" s="37">
        <v>-126096.29</v>
      </c>
      <c r="E21" s="29">
        <f>+'Protected EDIT Base'!R124</f>
        <v>217106.23</v>
      </c>
      <c r="F21" s="29">
        <f t="shared" si="3"/>
        <v>0</v>
      </c>
      <c r="G21" s="30"/>
      <c r="H21" s="32">
        <f t="shared" si="1"/>
        <v>-769924.97</v>
      </c>
      <c r="I21" s="135"/>
      <c r="J21" s="2">
        <v>-769924.97</v>
      </c>
      <c r="K21" s="24">
        <f t="shared" si="2"/>
        <v>0</v>
      </c>
      <c r="L21" s="25" t="s">
        <v>98</v>
      </c>
      <c r="M21" s="128">
        <v>43560</v>
      </c>
    </row>
    <row r="22" spans="1:13" hidden="1" x14ac:dyDescent="0.2">
      <c r="A22" s="28">
        <f>'TAX Interest Rates'!A25</f>
        <v>43585</v>
      </c>
      <c r="B22" s="47" t="s">
        <v>103</v>
      </c>
      <c r="C22" s="46">
        <f>+'Protected EDIT Base'!R13</f>
        <v>62230455</v>
      </c>
      <c r="D22" s="24">
        <v>-126096.29</v>
      </c>
      <c r="E22" s="29">
        <f>+'Protected EDIT Base'!R125</f>
        <v>129029.56999999999</v>
      </c>
      <c r="F22" s="29">
        <f t="shared" si="3"/>
        <v>0</v>
      </c>
      <c r="H22" s="32">
        <f t="shared" si="1"/>
        <v>-766991.69</v>
      </c>
      <c r="I22" s="135"/>
      <c r="J22" s="2">
        <v>-766991.69</v>
      </c>
      <c r="K22" s="24">
        <f t="shared" si="2"/>
        <v>0</v>
      </c>
      <c r="L22" s="25" t="s">
        <v>98</v>
      </c>
      <c r="M22" s="128">
        <v>43593</v>
      </c>
    </row>
    <row r="23" spans="1:13" hidden="1" x14ac:dyDescent="0.2">
      <c r="A23" s="28">
        <f>'TAX Interest Rates'!A26</f>
        <v>43616</v>
      </c>
      <c r="B23" s="47" t="s">
        <v>103</v>
      </c>
      <c r="C23" s="46">
        <f>+'Protected EDIT Base'!R14</f>
        <v>50477479</v>
      </c>
      <c r="D23" s="24">
        <v>-126096.29</v>
      </c>
      <c r="E23" s="29">
        <f>+'Protected EDIT Base'!R126</f>
        <v>83880.939999999988</v>
      </c>
      <c r="F23" s="29">
        <f t="shared" si="3"/>
        <v>0</v>
      </c>
      <c r="H23" s="32">
        <f t="shared" si="1"/>
        <v>-809207.03999999992</v>
      </c>
      <c r="I23" s="135"/>
      <c r="J23" s="2">
        <v>-809207.04</v>
      </c>
      <c r="K23" s="24">
        <f t="shared" si="2"/>
        <v>0</v>
      </c>
      <c r="L23" s="25" t="s">
        <v>98</v>
      </c>
      <c r="M23" s="128">
        <v>43623</v>
      </c>
    </row>
    <row r="24" spans="1:13" hidden="1" x14ac:dyDescent="0.2">
      <c r="A24" s="28">
        <f>'TAX Interest Rates'!A27</f>
        <v>43646</v>
      </c>
      <c r="B24" s="47" t="s">
        <v>103</v>
      </c>
      <c r="C24" s="46">
        <f>+'Protected EDIT Base'!R15</f>
        <v>51732018</v>
      </c>
      <c r="D24" s="24">
        <v>-126096.29</v>
      </c>
      <c r="E24" s="29">
        <f>+'Protected EDIT Base'!R127</f>
        <v>60084.77</v>
      </c>
      <c r="F24" s="29">
        <f t="shared" si="3"/>
        <v>0</v>
      </c>
      <c r="H24" s="32">
        <f t="shared" si="1"/>
        <v>-875218.55999999994</v>
      </c>
      <c r="I24" s="135"/>
      <c r="J24" s="2">
        <v>-875218.56</v>
      </c>
      <c r="K24" s="24">
        <f t="shared" si="2"/>
        <v>0</v>
      </c>
      <c r="L24" s="25" t="s">
        <v>98</v>
      </c>
      <c r="M24" s="128">
        <v>43654</v>
      </c>
    </row>
    <row r="25" spans="1:13" hidden="1" x14ac:dyDescent="0.2">
      <c r="A25" s="28">
        <f>'TAX Interest Rates'!A28</f>
        <v>43677</v>
      </c>
      <c r="B25" s="47" t="s">
        <v>103</v>
      </c>
      <c r="C25" s="46">
        <f>+'Protected EDIT Base'!R16</f>
        <v>67400695</v>
      </c>
      <c r="D25" s="24">
        <v>-126096.29</v>
      </c>
      <c r="E25" s="29">
        <f>+'Protected EDIT Base'!R128</f>
        <v>61861.409999999996</v>
      </c>
      <c r="F25" s="29">
        <f t="shared" si="3"/>
        <v>0</v>
      </c>
      <c r="H25" s="32">
        <f t="shared" si="1"/>
        <v>-939453.43999999994</v>
      </c>
      <c r="I25" s="135"/>
      <c r="J25" s="2">
        <v>-939453.43999999994</v>
      </c>
      <c r="K25" s="24">
        <f t="shared" si="2"/>
        <v>0</v>
      </c>
      <c r="L25" s="25" t="s">
        <v>98</v>
      </c>
      <c r="M25" s="128">
        <v>43685</v>
      </c>
    </row>
    <row r="26" spans="1:13" hidden="1" x14ac:dyDescent="0.2">
      <c r="A26" s="28">
        <f>'TAX Interest Rates'!A29</f>
        <v>43708</v>
      </c>
      <c r="B26" s="47" t="s">
        <v>103</v>
      </c>
      <c r="C26" s="46">
        <f>+'Protected EDIT Base'!R17</f>
        <v>76438837</v>
      </c>
      <c r="D26" s="24">
        <v>-126096.29</v>
      </c>
      <c r="E26" s="29">
        <f>+'Protected EDIT Base'!R129</f>
        <v>63152.43</v>
      </c>
      <c r="F26" s="29">
        <f t="shared" si="3"/>
        <v>0</v>
      </c>
      <c r="H26" s="32">
        <f t="shared" si="1"/>
        <v>-1002397.2999999999</v>
      </c>
      <c r="I26" s="135"/>
      <c r="J26" s="2">
        <v>-1002397.3</v>
      </c>
      <c r="K26" s="24">
        <f t="shared" si="2"/>
        <v>0</v>
      </c>
      <c r="L26" s="25" t="s">
        <v>98</v>
      </c>
      <c r="M26" s="128">
        <v>43717</v>
      </c>
    </row>
    <row r="27" spans="1:13" hidden="1" x14ac:dyDescent="0.2">
      <c r="A27" s="28">
        <f>'TAX Interest Rates'!A30</f>
        <v>43738</v>
      </c>
      <c r="B27" s="47" t="s">
        <v>103</v>
      </c>
      <c r="C27" s="46">
        <f>+'Protected EDIT Base'!R18</f>
        <v>73218474</v>
      </c>
      <c r="D27" s="24">
        <v>-126096.29</v>
      </c>
      <c r="E27" s="29">
        <f>+'Protected EDIT Base'!R130</f>
        <v>60796.270000000011</v>
      </c>
      <c r="F27" s="29">
        <f t="shared" ref="F27:F30" si="4">ROUND(H26*VLOOKUP(A27,TAXINT19,2)/365*VLOOKUP(A27,TAXINT19,3),2)</f>
        <v>0</v>
      </c>
      <c r="H27" s="32">
        <f t="shared" ref="H27:H30" si="5">SUM(D27:G27)+H26</f>
        <v>-1067697.3199999998</v>
      </c>
      <c r="I27" s="135"/>
      <c r="J27" s="2">
        <v>-1067697.32</v>
      </c>
      <c r="K27" s="24">
        <f t="shared" ref="K27:K30" si="6">J27-H27</f>
        <v>0</v>
      </c>
      <c r="L27" s="25" t="s">
        <v>98</v>
      </c>
      <c r="M27" s="128">
        <v>43745</v>
      </c>
    </row>
    <row r="28" spans="1:13" hidden="1" x14ac:dyDescent="0.2">
      <c r="A28" s="28">
        <f>'TAX Interest Rates'!A31</f>
        <v>43769</v>
      </c>
      <c r="B28" s="47" t="s">
        <v>103</v>
      </c>
      <c r="C28" s="46">
        <f>+'Protected EDIT Base'!R19</f>
        <v>62211815</v>
      </c>
      <c r="D28" s="24">
        <v>-126096.29</v>
      </c>
      <c r="E28" s="29">
        <f>+'Protected EDIT Base'!R131</f>
        <v>86035.85</v>
      </c>
      <c r="F28" s="29">
        <f t="shared" si="4"/>
        <v>0</v>
      </c>
      <c r="H28" s="32">
        <f t="shared" si="5"/>
        <v>-1107757.7599999998</v>
      </c>
      <c r="I28" s="135"/>
      <c r="J28" s="2">
        <v>-1107757.76</v>
      </c>
      <c r="K28" s="24">
        <f t="shared" si="6"/>
        <v>0</v>
      </c>
      <c r="L28" s="25" t="s">
        <v>98</v>
      </c>
      <c r="M28" s="128">
        <v>43776</v>
      </c>
    </row>
    <row r="29" spans="1:13" hidden="1" x14ac:dyDescent="0.2">
      <c r="A29" s="28">
        <f>'TAX Interest Rates'!A32</f>
        <v>43799</v>
      </c>
      <c r="B29" s="47" t="s">
        <v>104</v>
      </c>
      <c r="C29" s="46">
        <f>+'Protected EDIT Base'!R20+'Protected EDIT Base'!R21</f>
        <v>72608604</v>
      </c>
      <c r="D29" s="24">
        <v>-126096.29</v>
      </c>
      <c r="E29" s="29">
        <f>+'Protected EDIT Base'!R132+'Protected EDIT Base'!R133</f>
        <v>136594.44</v>
      </c>
      <c r="F29" s="29">
        <f t="shared" si="4"/>
        <v>0</v>
      </c>
      <c r="H29" s="32">
        <f t="shared" si="5"/>
        <v>-1097259.6099999999</v>
      </c>
      <c r="I29" s="135"/>
      <c r="J29" s="2">
        <v>-1097259.6100000001</v>
      </c>
      <c r="K29" s="24">
        <f t="shared" si="6"/>
        <v>0</v>
      </c>
      <c r="L29" s="25" t="s">
        <v>98</v>
      </c>
      <c r="M29" s="128">
        <v>43808</v>
      </c>
    </row>
    <row r="30" spans="1:13" hidden="1" x14ac:dyDescent="0.2">
      <c r="A30" s="28">
        <f>'TAX Interest Rates'!A33</f>
        <v>43830</v>
      </c>
      <c r="B30" s="47" t="s">
        <v>103</v>
      </c>
      <c r="C30" s="46">
        <f>+'Protected EDIT Base'!R22</f>
        <v>95612394</v>
      </c>
      <c r="D30" s="24">
        <v>-126096.29</v>
      </c>
      <c r="E30" s="29">
        <f>+'Protected EDIT Base'!R134</f>
        <v>208864.79999999996</v>
      </c>
      <c r="F30" s="29">
        <f t="shared" si="4"/>
        <v>0</v>
      </c>
      <c r="H30" s="32">
        <f t="shared" si="5"/>
        <v>-1014491.0999999999</v>
      </c>
      <c r="I30" s="135"/>
      <c r="J30" s="2">
        <v>-1014491.1</v>
      </c>
      <c r="K30" s="24">
        <f t="shared" si="6"/>
        <v>0</v>
      </c>
      <c r="L30" s="25" t="s">
        <v>98</v>
      </c>
      <c r="M30" s="128">
        <v>43838</v>
      </c>
    </row>
    <row r="31" spans="1:13" x14ac:dyDescent="0.2">
      <c r="A31" s="28">
        <f>'TAX Interest Rates'!A34</f>
        <v>43861</v>
      </c>
      <c r="B31" s="47" t="s">
        <v>103</v>
      </c>
      <c r="C31" s="46">
        <f>+'Protected EDIT Base'!R23</f>
        <v>96190788</v>
      </c>
      <c r="D31" s="24">
        <v>-111949.58</v>
      </c>
      <c r="E31" s="29">
        <f>+'Protected EDIT Base'!R135</f>
        <v>241582.44</v>
      </c>
      <c r="F31" s="29">
        <f t="shared" ref="F31:F42" si="7">ROUND(H30*VLOOKUP(A31,TAXINT20,2)/365*VLOOKUP(A31,TAXINT20,3),2)</f>
        <v>0</v>
      </c>
      <c r="H31" s="32">
        <f t="shared" ref="H31:H42" si="8">SUM(D31:G31)+H30</f>
        <v>-884858.23999999987</v>
      </c>
      <c r="I31" s="135"/>
      <c r="J31" s="2">
        <v>-884858.24</v>
      </c>
      <c r="K31" s="24">
        <f t="shared" ref="K31:K42" si="9">J31-H31</f>
        <v>0</v>
      </c>
      <c r="L31" s="25" t="s">
        <v>98</v>
      </c>
      <c r="M31" s="128">
        <v>43871</v>
      </c>
    </row>
    <row r="32" spans="1:13" x14ac:dyDescent="0.2">
      <c r="A32" s="28">
        <f>'TAX Interest Rates'!A35</f>
        <v>43890</v>
      </c>
      <c r="B32" s="47" t="s">
        <v>103</v>
      </c>
      <c r="C32" s="46">
        <f>+'Protected EDIT Base'!R24</f>
        <v>84770508</v>
      </c>
      <c r="D32" s="24">
        <v>-111949.58</v>
      </c>
      <c r="E32" s="29">
        <f>+'Protected EDIT Base'!R136</f>
        <v>201853.16000000003</v>
      </c>
      <c r="F32" s="29">
        <f t="shared" si="7"/>
        <v>0</v>
      </c>
      <c r="H32" s="32">
        <f t="shared" si="8"/>
        <v>-794954.6599999998</v>
      </c>
      <c r="I32" s="135"/>
      <c r="J32" s="2">
        <v>-794954.66</v>
      </c>
      <c r="K32" s="24">
        <f t="shared" si="9"/>
        <v>0</v>
      </c>
      <c r="L32" s="25" t="s">
        <v>98</v>
      </c>
      <c r="M32" s="128">
        <v>43899</v>
      </c>
    </row>
    <row r="33" spans="1:13" x14ac:dyDescent="0.2">
      <c r="A33" s="28">
        <f>'TAX Interest Rates'!A36</f>
        <v>43921</v>
      </c>
      <c r="B33" s="47" t="s">
        <v>103</v>
      </c>
      <c r="C33" s="46">
        <f>+'Protected EDIT Base'!R25</f>
        <v>99882117</v>
      </c>
      <c r="D33" s="24">
        <v>-111949.58</v>
      </c>
      <c r="E33" s="29">
        <f>+'Protected EDIT Base'!R137</f>
        <v>210250.82</v>
      </c>
      <c r="F33" s="29">
        <f t="shared" si="7"/>
        <v>0</v>
      </c>
      <c r="H33" s="32">
        <f t="shared" si="8"/>
        <v>-696653.41999999981</v>
      </c>
      <c r="I33" s="135"/>
      <c r="J33" s="2">
        <v>-696653.42</v>
      </c>
      <c r="K33" s="24">
        <f t="shared" si="9"/>
        <v>0</v>
      </c>
      <c r="L33" s="25" t="s">
        <v>98</v>
      </c>
      <c r="M33" s="128">
        <v>43929</v>
      </c>
    </row>
    <row r="34" spans="1:13" x14ac:dyDescent="0.2">
      <c r="A34" s="28">
        <f>'TAX Interest Rates'!A37</f>
        <v>43951</v>
      </c>
      <c r="B34" s="47" t="s">
        <v>103</v>
      </c>
      <c r="C34" s="46">
        <f>+'Protected EDIT Base'!R26</f>
        <v>81878770</v>
      </c>
      <c r="D34" s="24">
        <v>-111949.58</v>
      </c>
      <c r="E34" s="29">
        <f>+'Protected EDIT Base'!R138</f>
        <v>165155.15000000002</v>
      </c>
      <c r="F34" s="29">
        <f t="shared" si="7"/>
        <v>0</v>
      </c>
      <c r="H34" s="32">
        <f t="shared" si="8"/>
        <v>-643447.84999999974</v>
      </c>
      <c r="I34" s="135"/>
      <c r="J34" s="2">
        <v>-643447.85</v>
      </c>
      <c r="K34" s="24">
        <f t="shared" si="9"/>
        <v>0</v>
      </c>
      <c r="L34" s="25" t="s">
        <v>98</v>
      </c>
      <c r="M34" s="128">
        <v>43959</v>
      </c>
    </row>
    <row r="35" spans="1:13" x14ac:dyDescent="0.2">
      <c r="A35" s="28">
        <f>'TAX Interest Rates'!A38</f>
        <v>43982</v>
      </c>
      <c r="B35" s="47" t="s">
        <v>103</v>
      </c>
      <c r="C35" s="46">
        <f>+'Protected EDIT Base'!R27</f>
        <v>46164069</v>
      </c>
      <c r="D35" s="24">
        <v>-111949.58</v>
      </c>
      <c r="E35" s="29">
        <f>+'Protected EDIT Base'!R139</f>
        <v>84774.720000000001</v>
      </c>
      <c r="F35" s="29">
        <f t="shared" si="7"/>
        <v>0</v>
      </c>
      <c r="H35" s="32">
        <f t="shared" si="8"/>
        <v>-670622.70999999973</v>
      </c>
      <c r="I35" s="135"/>
      <c r="J35" s="2">
        <v>-670622.71</v>
      </c>
      <c r="K35" s="24">
        <f t="shared" si="9"/>
        <v>0</v>
      </c>
      <c r="L35" s="25" t="s">
        <v>98</v>
      </c>
      <c r="M35" s="128">
        <v>43990</v>
      </c>
    </row>
    <row r="36" spans="1:13" x14ac:dyDescent="0.2">
      <c r="A36" s="28">
        <f>'TAX Interest Rates'!A39</f>
        <v>44012</v>
      </c>
      <c r="B36" s="47" t="s">
        <v>103</v>
      </c>
      <c r="C36" s="46">
        <f>+'Protected EDIT Base'!R28</f>
        <v>43284213</v>
      </c>
      <c r="D36" s="24">
        <v>-111949.58</v>
      </c>
      <c r="E36" s="29">
        <f>+'Protected EDIT Base'!R140</f>
        <v>68891.88</v>
      </c>
      <c r="F36" s="29">
        <f t="shared" si="7"/>
        <v>0</v>
      </c>
      <c r="H36" s="32">
        <f t="shared" si="8"/>
        <v>-713680.40999999968</v>
      </c>
      <c r="I36" s="135"/>
      <c r="J36" s="2">
        <v>-713680.41</v>
      </c>
      <c r="K36" s="24">
        <f t="shared" si="9"/>
        <v>0</v>
      </c>
      <c r="L36" s="25" t="s">
        <v>98</v>
      </c>
      <c r="M36" s="128">
        <v>44019</v>
      </c>
    </row>
    <row r="37" spans="1:13" x14ac:dyDescent="0.2">
      <c r="A37" s="28">
        <f>'TAX Interest Rates'!A40</f>
        <v>44043</v>
      </c>
      <c r="B37" s="47" t="s">
        <v>103</v>
      </c>
      <c r="C37" s="46">
        <f>+'Protected EDIT Base'!R29</f>
        <v>55089338</v>
      </c>
      <c r="D37" s="24">
        <v>-111949.58</v>
      </c>
      <c r="E37" s="29">
        <f>+'Protected EDIT Base'!R141</f>
        <v>68123.239999999991</v>
      </c>
      <c r="F37" s="29">
        <f t="shared" si="7"/>
        <v>0</v>
      </c>
      <c r="H37" s="32">
        <f t="shared" si="8"/>
        <v>-757506.74999999965</v>
      </c>
      <c r="I37" s="135"/>
      <c r="J37" s="2">
        <v>-757506.75</v>
      </c>
      <c r="K37" s="24">
        <f t="shared" si="9"/>
        <v>0</v>
      </c>
      <c r="L37" s="25" t="s">
        <v>98</v>
      </c>
      <c r="M37" s="128">
        <v>44053</v>
      </c>
    </row>
    <row r="38" spans="1:13" x14ac:dyDescent="0.2">
      <c r="A38" s="28">
        <f>'TAX Interest Rates'!A41</f>
        <v>44074</v>
      </c>
      <c r="B38" s="47" t="s">
        <v>103</v>
      </c>
      <c r="C38" s="46">
        <f>+'Protected EDIT Base'!R30</f>
        <v>66863465</v>
      </c>
      <c r="D38" s="24">
        <v>-111949.58</v>
      </c>
      <c r="E38" s="29">
        <f>+'Protected EDIT Base'!R142</f>
        <v>63819.41</v>
      </c>
      <c r="F38" s="29">
        <f t="shared" si="7"/>
        <v>0</v>
      </c>
      <c r="H38" s="32">
        <f t="shared" si="8"/>
        <v>-805636.91999999969</v>
      </c>
      <c r="I38" s="135"/>
      <c r="J38" s="2">
        <v>-805636.92</v>
      </c>
      <c r="K38" s="24">
        <f t="shared" si="9"/>
        <v>0</v>
      </c>
      <c r="L38" s="25" t="s">
        <v>98</v>
      </c>
      <c r="M38" s="128">
        <v>44084</v>
      </c>
    </row>
    <row r="39" spans="1:13" x14ac:dyDescent="0.2">
      <c r="A39" s="28">
        <f>'TAX Interest Rates'!A42</f>
        <v>44104</v>
      </c>
      <c r="B39" s="47" t="s">
        <v>103</v>
      </c>
      <c r="C39" s="46">
        <f>+'Protected EDIT Base'!R31</f>
        <v>73703550</v>
      </c>
      <c r="D39" s="24">
        <v>-111949.58</v>
      </c>
      <c r="E39" s="29">
        <f>+'Protected EDIT Base'!R143</f>
        <v>70220.72</v>
      </c>
      <c r="F39" s="29">
        <f t="shared" si="7"/>
        <v>0</v>
      </c>
      <c r="H39" s="32">
        <f t="shared" si="8"/>
        <v>-847365.77999999968</v>
      </c>
      <c r="I39" s="135"/>
      <c r="J39" s="2">
        <v>-847365.78</v>
      </c>
      <c r="K39" s="24">
        <f t="shared" si="9"/>
        <v>0</v>
      </c>
      <c r="L39" s="25" t="s">
        <v>98</v>
      </c>
      <c r="M39" s="128">
        <v>44111</v>
      </c>
    </row>
    <row r="40" spans="1:13" x14ac:dyDescent="0.2">
      <c r="A40" s="28">
        <f>'TAX Interest Rates'!A43</f>
        <v>44135</v>
      </c>
      <c r="B40" s="47" t="s">
        <v>103</v>
      </c>
      <c r="C40" s="46">
        <f>+'Protected EDIT Base'!R32</f>
        <v>65687484</v>
      </c>
      <c r="D40" s="24">
        <v>-111949.58</v>
      </c>
      <c r="E40" s="29">
        <f>+'Protected EDIT Base'!R144</f>
        <v>76264.689999999988</v>
      </c>
      <c r="F40" s="29">
        <f t="shared" si="7"/>
        <v>0</v>
      </c>
      <c r="H40" s="32">
        <f t="shared" si="8"/>
        <v>-883050.66999999969</v>
      </c>
      <c r="I40" s="135"/>
      <c r="J40" s="2">
        <v>-883050.67</v>
      </c>
      <c r="K40" s="24">
        <f t="shared" si="9"/>
        <v>0</v>
      </c>
      <c r="L40" s="25" t="s">
        <v>98</v>
      </c>
      <c r="M40" s="128">
        <v>44141</v>
      </c>
    </row>
    <row r="41" spans="1:13" x14ac:dyDescent="0.2">
      <c r="A41" s="28">
        <f>'TAX Interest Rates'!A44</f>
        <v>44165</v>
      </c>
      <c r="B41" s="47" t="s">
        <v>103</v>
      </c>
      <c r="C41" s="46">
        <f>+'Protected EDIT Base'!R33+'Protected EDIT Base'!R34</f>
        <v>68293788</v>
      </c>
      <c r="D41" s="24">
        <v>-111949.58</v>
      </c>
      <c r="E41" s="29">
        <f>+'Protected EDIT Base'!R145+'Protected EDIT Base'!R146</f>
        <v>119648.27999999998</v>
      </c>
      <c r="F41" s="29">
        <f t="shared" si="7"/>
        <v>0</v>
      </c>
      <c r="H41" s="32">
        <f t="shared" si="8"/>
        <v>-875351.96999999974</v>
      </c>
      <c r="I41" s="135"/>
      <c r="J41" s="2">
        <v>-875351.97</v>
      </c>
      <c r="K41" s="24">
        <f t="shared" si="9"/>
        <v>0</v>
      </c>
      <c r="L41" s="25" t="s">
        <v>98</v>
      </c>
      <c r="M41" s="128">
        <v>44173</v>
      </c>
    </row>
    <row r="42" spans="1:13" x14ac:dyDescent="0.2">
      <c r="A42" s="28">
        <f>'TAX Interest Rates'!A45</f>
        <v>44196</v>
      </c>
      <c r="B42" s="47" t="s">
        <v>103</v>
      </c>
      <c r="C42" s="46">
        <f>+'Protected EDIT Base'!R35</f>
        <v>94595765</v>
      </c>
      <c r="D42" s="24">
        <v>-68950.240000000005</v>
      </c>
      <c r="E42" s="29">
        <f>+'Protected EDIT Base'!R147</f>
        <v>187415.29000000004</v>
      </c>
      <c r="F42" s="29">
        <f t="shared" si="7"/>
        <v>0</v>
      </c>
      <c r="H42" s="32">
        <f t="shared" si="8"/>
        <v>-756886.91999999969</v>
      </c>
      <c r="I42" s="135"/>
      <c r="J42" s="2">
        <v>-756886.92</v>
      </c>
      <c r="K42" s="24">
        <f t="shared" si="9"/>
        <v>0</v>
      </c>
      <c r="L42" s="25" t="s">
        <v>98</v>
      </c>
      <c r="M42" s="128">
        <v>44204</v>
      </c>
    </row>
    <row r="43" spans="1:13" x14ac:dyDescent="0.2">
      <c r="A43" s="28">
        <f>'TAX Interest Rates'!A46</f>
        <v>44227</v>
      </c>
      <c r="B43" s="47" t="s">
        <v>103</v>
      </c>
      <c r="C43" s="46">
        <f>+'Protected EDIT Base'!R36</f>
        <v>93263558</v>
      </c>
      <c r="D43" s="24">
        <v>-135688.74</v>
      </c>
      <c r="E43" s="29">
        <f>+'Protected EDIT Base'!R148</f>
        <v>195469.82000000007</v>
      </c>
      <c r="F43" s="29">
        <f t="shared" ref="F43:F52" si="10">ROUND(H42*VLOOKUP(A43,TAXINT21,2)/365*VLOOKUP(A43,TAXINT21,3),2)</f>
        <v>0</v>
      </c>
      <c r="H43" s="32">
        <f t="shared" ref="H43:H52" si="11">SUM(D43:G43)+H42</f>
        <v>-697105.83999999962</v>
      </c>
      <c r="I43" s="135"/>
      <c r="J43" s="2">
        <v>-697105.84</v>
      </c>
      <c r="K43" s="24">
        <f t="shared" ref="K43:K52" si="12">J43-H43</f>
        <v>0</v>
      </c>
      <c r="L43" s="25" t="s">
        <v>98</v>
      </c>
      <c r="M43" s="128">
        <v>44232</v>
      </c>
    </row>
    <row r="44" spans="1:13" x14ac:dyDescent="0.2">
      <c r="A44" s="28">
        <f>'TAX Interest Rates'!A47</f>
        <v>44255</v>
      </c>
      <c r="B44" s="47" t="s">
        <v>103</v>
      </c>
      <c r="C44" s="46">
        <f>+'Protected EDIT Base'!R37</f>
        <v>86995469</v>
      </c>
      <c r="D44" s="24">
        <v>-135688.74</v>
      </c>
      <c r="E44" s="29">
        <f>+'Protected EDIT Base'!R149</f>
        <v>183864.47999999998</v>
      </c>
      <c r="F44" s="29">
        <f t="shared" si="10"/>
        <v>0</v>
      </c>
      <c r="H44" s="32">
        <f t="shared" si="11"/>
        <v>-648930.09999999963</v>
      </c>
      <c r="I44" s="135"/>
      <c r="J44" s="2">
        <v>-648930.1</v>
      </c>
      <c r="K44" s="24">
        <f t="shared" si="12"/>
        <v>0</v>
      </c>
      <c r="L44" s="25" t="s">
        <v>98</v>
      </c>
      <c r="M44" s="128">
        <v>44263</v>
      </c>
    </row>
    <row r="45" spans="1:13" x14ac:dyDescent="0.2">
      <c r="A45" s="28">
        <f>'TAX Interest Rates'!A48</f>
        <v>44286</v>
      </c>
      <c r="B45" s="47" t="s">
        <v>103</v>
      </c>
      <c r="C45" s="46">
        <f>+'Protected EDIT Base'!R38</f>
        <v>103209019</v>
      </c>
      <c r="D45" s="24">
        <v>-135688.74</v>
      </c>
      <c r="E45" s="29">
        <f>+'Protected EDIT Base'!R150</f>
        <v>201599.41000000003</v>
      </c>
      <c r="F45" s="29">
        <f t="shared" si="10"/>
        <v>0</v>
      </c>
      <c r="H45" s="32">
        <f t="shared" si="11"/>
        <v>-583019.42999999959</v>
      </c>
      <c r="I45" s="135"/>
      <c r="J45" s="2">
        <v>-583019.43000000005</v>
      </c>
      <c r="K45" s="24">
        <f t="shared" si="12"/>
        <v>0</v>
      </c>
      <c r="L45" s="25" t="s">
        <v>98</v>
      </c>
      <c r="M45" s="128">
        <v>44293</v>
      </c>
    </row>
    <row r="46" spans="1:13" x14ac:dyDescent="0.2">
      <c r="A46" s="28">
        <f>'TAX Interest Rates'!A49</f>
        <v>44316</v>
      </c>
      <c r="B46" s="47" t="s">
        <v>103</v>
      </c>
      <c r="C46" s="46">
        <f>+'Protected EDIT Base'!R39</f>
        <v>89581135</v>
      </c>
      <c r="D46" s="24">
        <v>-135688.74</v>
      </c>
      <c r="E46" s="29">
        <f>+'Protected EDIT Base'!R151</f>
        <v>148799.98000000004</v>
      </c>
      <c r="F46" s="29">
        <f t="shared" si="10"/>
        <v>0</v>
      </c>
      <c r="H46" s="32">
        <f t="shared" si="11"/>
        <v>-569908.18999999948</v>
      </c>
      <c r="I46" s="135"/>
      <c r="J46" s="2">
        <v>-569908.18999999994</v>
      </c>
      <c r="K46" s="24">
        <f t="shared" si="12"/>
        <v>0</v>
      </c>
      <c r="L46" s="25" t="s">
        <v>98</v>
      </c>
      <c r="M46" s="128">
        <v>44326</v>
      </c>
    </row>
    <row r="47" spans="1:13" x14ac:dyDescent="0.2">
      <c r="A47" s="28">
        <f>'TAX Interest Rates'!A50</f>
        <v>44347</v>
      </c>
      <c r="B47" s="47" t="s">
        <v>103</v>
      </c>
      <c r="C47" s="46">
        <f>+'Protected EDIT Base'!R40</f>
        <v>56228122</v>
      </c>
      <c r="D47" s="24">
        <v>-135688.74</v>
      </c>
      <c r="E47" s="29">
        <f>+'Protected EDIT Base'!R152</f>
        <v>80993.25</v>
      </c>
      <c r="F47" s="29">
        <f t="shared" si="10"/>
        <v>0</v>
      </c>
      <c r="H47" s="32">
        <f t="shared" si="11"/>
        <v>-624603.67999999947</v>
      </c>
      <c r="I47" s="135"/>
      <c r="J47" s="2">
        <v>-624603.68000000005</v>
      </c>
      <c r="K47" s="24">
        <f t="shared" si="12"/>
        <v>0</v>
      </c>
      <c r="L47" s="25" t="s">
        <v>98</v>
      </c>
      <c r="M47" s="128">
        <v>44354</v>
      </c>
    </row>
    <row r="48" spans="1:13" x14ac:dyDescent="0.2">
      <c r="A48" s="28">
        <f>'TAX Interest Rates'!A51</f>
        <v>44377</v>
      </c>
      <c r="B48" s="47" t="s">
        <v>103</v>
      </c>
      <c r="C48" s="46">
        <f>+'Protected EDIT Base'!R41</f>
        <v>68779022</v>
      </c>
      <c r="D48" s="24">
        <v>-135688.74</v>
      </c>
      <c r="E48" s="29">
        <f>+'Protected EDIT Base'!R153</f>
        <v>76272.47</v>
      </c>
      <c r="F48" s="29">
        <f t="shared" si="10"/>
        <v>0</v>
      </c>
      <c r="H48" s="32">
        <f t="shared" si="11"/>
        <v>-684019.94999999949</v>
      </c>
      <c r="I48" s="135"/>
      <c r="J48" s="2">
        <v>-684019.95</v>
      </c>
      <c r="K48" s="24">
        <f t="shared" si="12"/>
        <v>0</v>
      </c>
      <c r="L48" s="25" t="s">
        <v>98</v>
      </c>
      <c r="M48" s="128">
        <v>44386</v>
      </c>
    </row>
    <row r="49" spans="1:13" x14ac:dyDescent="0.2">
      <c r="A49" s="28">
        <f>'TAX Interest Rates'!A52</f>
        <v>44408</v>
      </c>
      <c r="B49" s="47" t="s">
        <v>103</v>
      </c>
      <c r="C49" s="46">
        <f>+'Protected EDIT Base'!R42</f>
        <v>72135275</v>
      </c>
      <c r="D49" s="24">
        <v>-135688.74</v>
      </c>
      <c r="E49" s="29">
        <f>+'Protected EDIT Base'!R154</f>
        <v>61843.22</v>
      </c>
      <c r="F49" s="29">
        <f t="shared" si="10"/>
        <v>0</v>
      </c>
      <c r="H49" s="32">
        <f t="shared" si="11"/>
        <v>-757865.46999999951</v>
      </c>
      <c r="I49" s="135"/>
      <c r="J49" s="2">
        <v>-757865.47</v>
      </c>
      <c r="K49" s="24">
        <f t="shared" si="12"/>
        <v>0</v>
      </c>
      <c r="L49" s="25" t="s">
        <v>98</v>
      </c>
      <c r="M49" s="128">
        <v>44417</v>
      </c>
    </row>
    <row r="50" spans="1:13" x14ac:dyDescent="0.2">
      <c r="A50" s="28">
        <f>'TAX Interest Rates'!A53</f>
        <v>44439</v>
      </c>
      <c r="B50" s="47" t="s">
        <v>103</v>
      </c>
      <c r="C50" s="46">
        <f>+'Protected EDIT Base'!R43</f>
        <v>70764185</v>
      </c>
      <c r="D50" s="24">
        <v>-135688.74</v>
      </c>
      <c r="E50" s="29">
        <f>+'Protected EDIT Base'!R155</f>
        <v>58682.770000000004</v>
      </c>
      <c r="F50" s="29">
        <f t="shared" si="10"/>
        <v>0</v>
      </c>
      <c r="H50" s="32">
        <f t="shared" si="11"/>
        <v>-834871.43999999948</v>
      </c>
      <c r="I50" s="135"/>
      <c r="J50" s="2">
        <v>-834871.44</v>
      </c>
      <c r="K50" s="24">
        <f t="shared" si="12"/>
        <v>0</v>
      </c>
      <c r="L50" s="25" t="s">
        <v>98</v>
      </c>
      <c r="M50" s="128">
        <v>44448</v>
      </c>
    </row>
    <row r="51" spans="1:13" x14ac:dyDescent="0.2">
      <c r="A51" s="28">
        <f>'TAX Interest Rates'!A54</f>
        <v>44469</v>
      </c>
      <c r="B51" s="47" t="s">
        <v>103</v>
      </c>
      <c r="C51" s="46">
        <f>+'Protected EDIT Base'!R44</f>
        <v>71864038</v>
      </c>
      <c r="D51" s="24">
        <v>-135688.74</v>
      </c>
      <c r="E51" s="29">
        <f>+'Protected EDIT Base'!R156</f>
        <v>62059.02</v>
      </c>
      <c r="F51" s="29">
        <f t="shared" si="10"/>
        <v>0</v>
      </c>
      <c r="H51" s="32">
        <f t="shared" si="11"/>
        <v>-908501.15999999945</v>
      </c>
      <c r="I51" s="135"/>
      <c r="J51" s="2">
        <v>-908501.16</v>
      </c>
      <c r="K51" s="24">
        <f t="shared" si="12"/>
        <v>0</v>
      </c>
      <c r="L51" s="25" t="s">
        <v>98</v>
      </c>
      <c r="M51" s="128">
        <v>44476</v>
      </c>
    </row>
    <row r="52" spans="1:13" x14ac:dyDescent="0.2">
      <c r="A52" s="28">
        <f>'TAX Interest Rates'!A55</f>
        <v>44500</v>
      </c>
      <c r="B52" s="47" t="s">
        <v>103</v>
      </c>
      <c r="C52" s="46">
        <f>+'Protected EDIT Base'!R45</f>
        <v>72338720</v>
      </c>
      <c r="D52" s="24">
        <v>-135688.74</v>
      </c>
      <c r="E52" s="29">
        <f>+'Protected EDIT Base'!R157</f>
        <v>79716.850000000006</v>
      </c>
      <c r="F52" s="29">
        <f t="shared" si="10"/>
        <v>0</v>
      </c>
      <c r="H52" s="32">
        <f t="shared" si="11"/>
        <v>-964473.04999999946</v>
      </c>
      <c r="I52" s="135"/>
      <c r="J52" s="2">
        <v>-964473.05</v>
      </c>
      <c r="K52" s="24">
        <f t="shared" si="12"/>
        <v>0</v>
      </c>
      <c r="L52" s="25" t="s">
        <v>98</v>
      </c>
      <c r="M52" s="128">
        <v>44505</v>
      </c>
    </row>
    <row r="53" spans="1:13" x14ac:dyDescent="0.2">
      <c r="A53" s="28">
        <f>'TAX Interest Rates'!A56</f>
        <v>44530</v>
      </c>
      <c r="B53" s="47" t="s">
        <v>103</v>
      </c>
      <c r="C53" s="46">
        <f>+'Protected EDIT Base'!R46+'Protected EDIT Base'!R47</f>
        <v>75721245</v>
      </c>
      <c r="D53" s="24">
        <v>-135688.74</v>
      </c>
      <c r="E53" s="29">
        <f>+'Protected EDIT Base'!R158+'Protected EDIT Base'!R159</f>
        <v>114027.53</v>
      </c>
      <c r="F53" s="29">
        <f t="shared" ref="F53" si="13">ROUND(H52*VLOOKUP(A53,TAXINT21,2)/365*VLOOKUP(A53,TAXINT21,3),2)</f>
        <v>0</v>
      </c>
      <c r="H53" s="32">
        <f t="shared" ref="H53" si="14">SUM(D53:G53)+H52</f>
        <v>-986134.25999999943</v>
      </c>
      <c r="I53" s="135"/>
      <c r="J53" s="2">
        <v>-986134.26</v>
      </c>
      <c r="K53" s="24">
        <f t="shared" ref="K53" si="15">J53-H53</f>
        <v>0</v>
      </c>
      <c r="L53" s="25" t="s">
        <v>98</v>
      </c>
      <c r="M53" s="128">
        <v>44538</v>
      </c>
    </row>
    <row r="54" spans="1:13" x14ac:dyDescent="0.2">
      <c r="A54" s="28">
        <f>'TAX Interest Rates'!A57</f>
        <v>44561</v>
      </c>
      <c r="B54" s="47" t="s">
        <v>103</v>
      </c>
      <c r="C54" s="46">
        <f>+'Protected EDIT Base'!R48</f>
        <v>83926722</v>
      </c>
      <c r="D54" s="24">
        <v>-252164.55</v>
      </c>
      <c r="E54" s="29">
        <f>+'Protected EDIT Base'!R160</f>
        <v>169832.88</v>
      </c>
      <c r="F54" s="29">
        <f t="shared" ref="F54:F64" si="16">ROUND(H53*VLOOKUP(A54,TAXINT21,2)/365*VLOOKUP(A54,TAXINT21,3),2)</f>
        <v>0</v>
      </c>
      <c r="H54" s="32">
        <f t="shared" ref="H54:H64" si="17">SUM(D54:G54)+H53</f>
        <v>-1068465.9299999995</v>
      </c>
      <c r="I54" s="135"/>
      <c r="J54" s="2">
        <v>-1068465.93</v>
      </c>
      <c r="K54" s="24">
        <f t="shared" ref="K54:K64" si="18">J54-H54</f>
        <v>0</v>
      </c>
      <c r="L54" s="25" t="s">
        <v>98</v>
      </c>
      <c r="M54" s="128">
        <v>44567</v>
      </c>
    </row>
    <row r="55" spans="1:13" x14ac:dyDescent="0.2">
      <c r="A55" s="28">
        <f>'TAX Interest Rates'!A58</f>
        <v>44592</v>
      </c>
      <c r="B55" s="47" t="s">
        <v>103</v>
      </c>
      <c r="C55" s="46">
        <f>+'Protected EDIT Base'!R49</f>
        <v>95413022</v>
      </c>
      <c r="D55" s="24">
        <v>-137859.71</v>
      </c>
      <c r="E55" s="29">
        <f>+'Protected EDIT Base'!R161</f>
        <v>249604.49</v>
      </c>
      <c r="F55" s="29">
        <f t="shared" si="16"/>
        <v>0</v>
      </c>
      <c r="H55" s="32">
        <f t="shared" si="17"/>
        <v>-956721.14999999944</v>
      </c>
      <c r="I55" s="135"/>
      <c r="J55" s="2">
        <v>-956721.15</v>
      </c>
      <c r="K55" s="24">
        <f t="shared" si="18"/>
        <v>0</v>
      </c>
      <c r="L55" s="25" t="s">
        <v>98</v>
      </c>
      <c r="M55" s="128">
        <v>44600</v>
      </c>
    </row>
    <row r="56" spans="1:13" x14ac:dyDescent="0.2">
      <c r="A56" s="28">
        <f>'TAX Interest Rates'!A59</f>
        <v>44620</v>
      </c>
      <c r="B56" s="47" t="s">
        <v>103</v>
      </c>
      <c r="C56" s="46">
        <f>+'Protected EDIT Base'!R50</f>
        <v>85017241</v>
      </c>
      <c r="D56" s="24">
        <v>-137859.71</v>
      </c>
      <c r="E56" s="29">
        <f>+'Protected EDIT Base'!R162</f>
        <v>197947.49</v>
      </c>
      <c r="F56" s="29">
        <f t="shared" si="16"/>
        <v>0</v>
      </c>
      <c r="H56" s="32">
        <f t="shared" si="17"/>
        <v>-896633.36999999941</v>
      </c>
      <c r="I56" s="135"/>
      <c r="J56" s="2">
        <v>-896633.37</v>
      </c>
      <c r="K56" s="24">
        <f t="shared" si="18"/>
        <v>0</v>
      </c>
      <c r="L56" s="25" t="s">
        <v>98</v>
      </c>
      <c r="M56" s="128">
        <v>44627</v>
      </c>
    </row>
    <row r="57" spans="1:13" x14ac:dyDescent="0.2">
      <c r="A57" s="28">
        <f>'TAX Interest Rates'!A60</f>
        <v>44651</v>
      </c>
      <c r="B57" s="47" t="s">
        <v>103</v>
      </c>
      <c r="C57" s="46">
        <f>+'Protected EDIT Base'!R51</f>
        <v>84723347</v>
      </c>
      <c r="D57" s="24">
        <v>-137859.71</v>
      </c>
      <c r="E57" s="29">
        <f>+'Protected EDIT Base'!R163</f>
        <v>193059.3</v>
      </c>
      <c r="F57" s="29">
        <f t="shared" si="16"/>
        <v>0</v>
      </c>
      <c r="H57" s="32">
        <f t="shared" si="17"/>
        <v>-841433.77999999945</v>
      </c>
      <c r="I57" s="135"/>
      <c r="J57" s="2">
        <v>-841433.78</v>
      </c>
      <c r="K57" s="24">
        <f t="shared" si="18"/>
        <v>0</v>
      </c>
      <c r="L57" s="25" t="s">
        <v>98</v>
      </c>
      <c r="M57" s="128">
        <v>44658</v>
      </c>
    </row>
    <row r="58" spans="1:13" x14ac:dyDescent="0.2">
      <c r="A58" s="28">
        <f>'TAX Interest Rates'!A61</f>
        <v>44681</v>
      </c>
      <c r="B58" s="47" t="s">
        <v>103</v>
      </c>
      <c r="C58" s="46">
        <f>+'Protected EDIT Base'!R52</f>
        <v>74032012</v>
      </c>
      <c r="D58" s="24">
        <v>-137859.71</v>
      </c>
      <c r="E58" s="29">
        <f>+'Protected EDIT Base'!R164</f>
        <v>135678.57</v>
      </c>
      <c r="F58" s="29">
        <f t="shared" si="16"/>
        <v>0</v>
      </c>
      <c r="H58" s="32">
        <f t="shared" si="17"/>
        <v>-843614.91999999946</v>
      </c>
      <c r="I58" s="135"/>
      <c r="J58" s="2">
        <v>-843614.92</v>
      </c>
      <c r="K58" s="24">
        <f t="shared" si="18"/>
        <v>0</v>
      </c>
      <c r="L58" s="25" t="s">
        <v>98</v>
      </c>
      <c r="M58" s="128">
        <v>44687</v>
      </c>
    </row>
    <row r="59" spans="1:13" x14ac:dyDescent="0.2">
      <c r="A59" s="28">
        <f>'TAX Interest Rates'!A62</f>
        <v>44712</v>
      </c>
      <c r="B59" s="47" t="s">
        <v>103</v>
      </c>
      <c r="C59" s="46">
        <f>+'Protected EDIT Base'!R53</f>
        <v>63470461</v>
      </c>
      <c r="D59" s="24">
        <v>-137859.71</v>
      </c>
      <c r="E59" s="29">
        <f>+'Protected EDIT Base'!R165</f>
        <v>116390.05</v>
      </c>
      <c r="F59" s="29">
        <f t="shared" si="16"/>
        <v>0</v>
      </c>
      <c r="H59" s="32">
        <f t="shared" si="17"/>
        <v>-865084.57999999949</v>
      </c>
      <c r="I59" s="135"/>
      <c r="J59" s="2">
        <v>-865084.58</v>
      </c>
      <c r="K59" s="24">
        <f t="shared" si="18"/>
        <v>0</v>
      </c>
      <c r="L59" s="25" t="s">
        <v>98</v>
      </c>
      <c r="M59" s="128">
        <v>44719</v>
      </c>
    </row>
    <row r="60" spans="1:13" x14ac:dyDescent="0.2">
      <c r="A60" s="28">
        <f>'TAX Interest Rates'!A63</f>
        <v>44742</v>
      </c>
      <c r="B60" s="47" t="s">
        <v>103</v>
      </c>
      <c r="C60" s="46">
        <f>+'Protected EDIT Base'!R54</f>
        <v>47634752</v>
      </c>
      <c r="D60" s="24">
        <v>-137859.71</v>
      </c>
      <c r="E60" s="29">
        <f>+'Protected EDIT Base'!R166</f>
        <v>76928.37</v>
      </c>
      <c r="F60" s="29">
        <f t="shared" si="16"/>
        <v>0</v>
      </c>
      <c r="H60" s="32">
        <f t="shared" si="17"/>
        <v>-926015.91999999946</v>
      </c>
      <c r="I60" s="135"/>
      <c r="J60" s="2">
        <v>-926015.92</v>
      </c>
      <c r="K60" s="24">
        <f t="shared" si="18"/>
        <v>0</v>
      </c>
      <c r="L60" s="25" t="s">
        <v>98</v>
      </c>
      <c r="M60" s="128">
        <v>44750</v>
      </c>
    </row>
    <row r="61" spans="1:13" x14ac:dyDescent="0.2">
      <c r="A61" s="28">
        <f>'TAX Interest Rates'!A64</f>
        <v>44773</v>
      </c>
      <c r="B61" s="47" t="s">
        <v>103</v>
      </c>
      <c r="C61" s="46">
        <f>+'Protected EDIT Base'!R55</f>
        <v>60581431</v>
      </c>
      <c r="D61" s="24">
        <v>-137859.71</v>
      </c>
      <c r="E61" s="29">
        <f>+'Protected EDIT Base'!R167</f>
        <v>71452.76999999999</v>
      </c>
      <c r="F61" s="29">
        <f t="shared" si="16"/>
        <v>0</v>
      </c>
      <c r="H61" s="32">
        <f t="shared" si="17"/>
        <v>-992422.8599999994</v>
      </c>
      <c r="I61" s="135"/>
      <c r="J61" s="2">
        <v>-992422.86</v>
      </c>
      <c r="K61" s="24">
        <f t="shared" si="18"/>
        <v>0</v>
      </c>
      <c r="L61" s="25" t="s">
        <v>98</v>
      </c>
      <c r="M61" s="128">
        <v>44791</v>
      </c>
    </row>
    <row r="62" spans="1:13" x14ac:dyDescent="0.2">
      <c r="A62" s="28">
        <f>'TAX Interest Rates'!A65</f>
        <v>44804</v>
      </c>
      <c r="B62" s="47" t="s">
        <v>103</v>
      </c>
      <c r="C62" s="46">
        <f>+'Protected EDIT Base'!R56</f>
        <v>69229224</v>
      </c>
      <c r="D62" s="24">
        <v>-137859.71</v>
      </c>
      <c r="E62" s="29">
        <f>+'Protected EDIT Base'!R168</f>
        <v>61483.68</v>
      </c>
      <c r="F62" s="29">
        <f t="shared" si="16"/>
        <v>0</v>
      </c>
      <c r="H62" s="32">
        <f>SUM(D62:G62)+H61</f>
        <v>-1068798.8899999994</v>
      </c>
      <c r="I62" s="135"/>
      <c r="J62" s="2">
        <v>-1068798.8899999999</v>
      </c>
      <c r="K62" s="24">
        <f t="shared" si="18"/>
        <v>0</v>
      </c>
      <c r="L62" s="25" t="s">
        <v>98</v>
      </c>
      <c r="M62" s="128">
        <v>44813</v>
      </c>
    </row>
    <row r="63" spans="1:13" x14ac:dyDescent="0.2">
      <c r="A63" s="28">
        <f>'TAX Interest Rates'!A66</f>
        <v>44834</v>
      </c>
      <c r="B63" s="47" t="s">
        <v>103</v>
      </c>
      <c r="C63" s="163">
        <f>+'Protected EDIT Base'!R57</f>
        <v>-64810056</v>
      </c>
      <c r="D63" s="24"/>
      <c r="E63" s="29">
        <f>+'Protected EDIT Base'!R169</f>
        <v>-42707.23</v>
      </c>
      <c r="F63" s="29">
        <f t="shared" si="16"/>
        <v>0</v>
      </c>
      <c r="H63" s="32">
        <f t="shared" si="17"/>
        <v>-1111506.1199999994</v>
      </c>
      <c r="I63" s="135"/>
      <c r="K63" s="24">
        <f t="shared" si="18"/>
        <v>1111506.1199999994</v>
      </c>
      <c r="M63" s="128"/>
    </row>
    <row r="64" spans="1:13" x14ac:dyDescent="0.2">
      <c r="A64" s="28">
        <f>'TAX Interest Rates'!A67</f>
        <v>44865</v>
      </c>
      <c r="B64" s="47" t="s">
        <v>103</v>
      </c>
      <c r="C64" s="163">
        <f>+'Protected EDIT Base'!R58</f>
        <v>0</v>
      </c>
      <c r="D64" s="24"/>
      <c r="E64" s="29">
        <f>+'Protected EDIT Base'!R170</f>
        <v>0</v>
      </c>
      <c r="F64" s="29">
        <f t="shared" si="16"/>
        <v>0</v>
      </c>
      <c r="H64" s="32">
        <f t="shared" si="17"/>
        <v>-1111506.1199999994</v>
      </c>
      <c r="I64" s="135"/>
      <c r="K64" s="24">
        <f t="shared" si="18"/>
        <v>1111506.1199999994</v>
      </c>
      <c r="M64" s="128"/>
    </row>
  </sheetData>
  <mergeCells count="18">
    <mergeCell ref="A1:B1"/>
    <mergeCell ref="C1:H1"/>
    <mergeCell ref="A2:B2"/>
    <mergeCell ref="C2:H2"/>
    <mergeCell ref="A3:B3"/>
    <mergeCell ref="C3:H3"/>
    <mergeCell ref="A13:F13"/>
    <mergeCell ref="A4:B4"/>
    <mergeCell ref="C4:H4"/>
    <mergeCell ref="A5:B5"/>
    <mergeCell ref="C5:H5"/>
    <mergeCell ref="A6:B6"/>
    <mergeCell ref="C6:H6"/>
    <mergeCell ref="J4:M6"/>
    <mergeCell ref="A7:B7"/>
    <mergeCell ref="C7:H7"/>
    <mergeCell ref="D9:F9"/>
    <mergeCell ref="A12:F12"/>
  </mergeCells>
  <pageMargins left="0.7" right="0.7" top="0.75" bottom="0.75" header="0.3" footer="0.3"/>
  <pageSetup scale="84" fitToHeight="0" orientation="landscape" r:id="rId1"/>
  <headerFooter>
    <oddFooter>&amp;LWA Tax Amort&amp;C&amp;A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AD170"/>
  <sheetViews>
    <sheetView view="pageBreakPreview" zoomScaleNormal="100" zoomScaleSheetLayoutView="100" workbookViewId="0">
      <selection activeCell="R168" sqref="R168"/>
    </sheetView>
  </sheetViews>
  <sheetFormatPr defaultColWidth="8.88671875" defaultRowHeight="12.75" x14ac:dyDescent="0.2"/>
  <cols>
    <col min="1" max="1" width="6.21875" style="2" customWidth="1"/>
    <col min="2" max="2" width="9" style="2" bestFit="1" customWidth="1"/>
    <col min="3" max="3" width="7.77734375" style="2" hidden="1" customWidth="1"/>
    <col min="4" max="4" width="8.21875" style="2" bestFit="1" customWidth="1"/>
    <col min="5" max="6" width="8" style="2" customWidth="1"/>
    <col min="7" max="7" width="9" style="2" bestFit="1" customWidth="1"/>
    <col min="8" max="8" width="8.77734375" style="2" bestFit="1" customWidth="1"/>
    <col min="9" max="10" width="7.77734375" style="2" hidden="1" customWidth="1"/>
    <col min="11" max="11" width="8" style="2" customWidth="1"/>
    <col min="12" max="12" width="9.6640625" style="2" customWidth="1"/>
    <col min="13" max="13" width="9.5546875" style="2" bestFit="1" customWidth="1"/>
    <col min="14" max="14" width="9.6640625" style="2" customWidth="1"/>
    <col min="15" max="15" width="8.77734375" style="2" customWidth="1"/>
    <col min="16" max="16" width="6.6640625" style="2" hidden="1" customWidth="1"/>
    <col min="17" max="17" width="1.77734375" style="2" customWidth="1"/>
    <col min="18" max="18" width="9.5546875" style="2" customWidth="1"/>
    <col min="19" max="19" width="7.88671875" style="2" customWidth="1"/>
    <col min="20" max="16384" width="8.88671875" style="2"/>
  </cols>
  <sheetData>
    <row r="2" spans="1:19" ht="15.75" customHeight="1" x14ac:dyDescent="0.2">
      <c r="B2" s="136">
        <v>4800</v>
      </c>
      <c r="C2" s="213">
        <v>4809</v>
      </c>
      <c r="D2" s="214"/>
      <c r="E2" s="215"/>
      <c r="F2" s="213">
        <v>4810</v>
      </c>
      <c r="G2" s="214"/>
      <c r="H2" s="215"/>
      <c r="I2" s="213">
        <v>4811</v>
      </c>
      <c r="J2" s="215"/>
      <c r="K2" s="137">
        <v>4813</v>
      </c>
      <c r="L2" s="137">
        <v>4861</v>
      </c>
      <c r="M2" s="213">
        <v>4863</v>
      </c>
      <c r="N2" s="214"/>
      <c r="O2" s="214"/>
      <c r="P2" s="215"/>
    </row>
    <row r="3" spans="1:19" x14ac:dyDescent="0.2">
      <c r="B3" s="138">
        <v>503</v>
      </c>
      <c r="C3" s="139" t="s">
        <v>38</v>
      </c>
      <c r="D3" s="139">
        <v>505</v>
      </c>
      <c r="E3" s="140">
        <v>511</v>
      </c>
      <c r="F3" s="139" t="s">
        <v>39</v>
      </c>
      <c r="G3" s="139">
        <v>504</v>
      </c>
      <c r="H3" s="140" t="s">
        <v>41</v>
      </c>
      <c r="I3" s="139" t="s">
        <v>38</v>
      </c>
      <c r="J3" s="140">
        <v>570</v>
      </c>
      <c r="K3" s="138">
        <v>570</v>
      </c>
      <c r="L3" s="141" t="s">
        <v>42</v>
      </c>
      <c r="M3" s="142">
        <v>6631</v>
      </c>
      <c r="N3" s="142">
        <v>6633</v>
      </c>
      <c r="O3" s="142">
        <v>6635</v>
      </c>
      <c r="P3" s="143">
        <v>916</v>
      </c>
      <c r="R3" s="144" t="s">
        <v>51</v>
      </c>
    </row>
    <row r="4" spans="1:19" hidden="1" x14ac:dyDescent="0.2">
      <c r="A4" s="145">
        <v>43343</v>
      </c>
      <c r="B4" s="146">
        <f>+'Therm Sales Master'!B123</f>
        <v>996895</v>
      </c>
      <c r="C4" s="147">
        <f>+'Therm Sales Master'!D123</f>
        <v>0</v>
      </c>
      <c r="D4" s="147">
        <f>+'Therm Sales Master'!E123</f>
        <v>160070</v>
      </c>
      <c r="E4" s="148">
        <f>+'Therm Sales Master'!F123</f>
        <v>88492</v>
      </c>
      <c r="F4" s="147">
        <f>+'Therm Sales Master'!G123</f>
        <v>158</v>
      </c>
      <c r="G4" s="147">
        <f>+'Therm Sales Master'!H123</f>
        <v>986030</v>
      </c>
      <c r="H4" s="148">
        <f>+'Therm Sales Master'!J123</f>
        <v>137321</v>
      </c>
      <c r="I4" s="147">
        <f>+'Therm Sales Master'!K123</f>
        <v>359</v>
      </c>
      <c r="J4" s="148">
        <f>+'Therm Sales Master'!L123</f>
        <v>0</v>
      </c>
      <c r="K4" s="146">
        <f>+'Therm Sales Master'!M123</f>
        <v>93391</v>
      </c>
      <c r="L4" s="146">
        <f>+'Therm Sales Master'!N123</f>
        <v>26924983</v>
      </c>
      <c r="M4" s="147">
        <f>+'Therm Sales Master'!O123</f>
        <v>0</v>
      </c>
      <c r="N4" s="147">
        <f>+'Therm Sales Master'!P123</f>
        <v>12762544</v>
      </c>
      <c r="O4" s="147">
        <f>+'Therm Sales Master'!Q123</f>
        <v>5293486</v>
      </c>
      <c r="P4" s="148">
        <f>+'Therm Sales Master'!R123</f>
        <v>14392902</v>
      </c>
      <c r="R4" s="149">
        <f t="shared" ref="R4:R15" si="0">SUM(B4:Q4)</f>
        <v>61836631</v>
      </c>
    </row>
    <row r="5" spans="1:19" hidden="1" x14ac:dyDescent="0.2">
      <c r="A5" s="145">
        <v>43373</v>
      </c>
      <c r="B5" s="146">
        <f>+'Therm Sales Master'!B124</f>
        <v>2809188</v>
      </c>
      <c r="C5" s="147">
        <f>+'Therm Sales Master'!D124</f>
        <v>-359</v>
      </c>
      <c r="D5" s="147">
        <f>+'Therm Sales Master'!E124</f>
        <v>648016</v>
      </c>
      <c r="E5" s="148">
        <f>+'Therm Sales Master'!F124</f>
        <v>241009</v>
      </c>
      <c r="F5" s="147">
        <f>+'Therm Sales Master'!G124</f>
        <v>501</v>
      </c>
      <c r="G5" s="147">
        <f>+'Therm Sales Master'!H124</f>
        <v>2784183</v>
      </c>
      <c r="H5" s="148">
        <f>+'Therm Sales Master'!J124</f>
        <v>384208</v>
      </c>
      <c r="I5" s="147">
        <f>+'Therm Sales Master'!K124</f>
        <v>547</v>
      </c>
      <c r="J5" s="148">
        <f>+'Therm Sales Master'!L124</f>
        <v>0</v>
      </c>
      <c r="K5" s="146">
        <f>+'Therm Sales Master'!M124</f>
        <v>118645</v>
      </c>
      <c r="L5" s="146">
        <f>+'Therm Sales Master'!N124</f>
        <v>30461110</v>
      </c>
      <c r="M5" s="147">
        <f>+'Therm Sales Master'!O124</f>
        <v>15312916</v>
      </c>
      <c r="N5" s="147">
        <f>+'Therm Sales Master'!P124</f>
        <v>14381027</v>
      </c>
      <c r="O5" s="147">
        <f>+'Therm Sales Master'!Q124</f>
        <v>2080893</v>
      </c>
      <c r="P5" s="148">
        <f>+'Therm Sales Master'!R124</f>
        <v>0</v>
      </c>
      <c r="R5" s="147">
        <f t="shared" si="0"/>
        <v>69221884</v>
      </c>
    </row>
    <row r="6" spans="1:19" hidden="1" x14ac:dyDescent="0.2">
      <c r="A6" s="145">
        <v>43404</v>
      </c>
      <c r="B6" s="146">
        <f>+'Therm Sales Master'!B125</f>
        <v>5307116</v>
      </c>
      <c r="C6" s="147">
        <f>+'Therm Sales Master'!D125</f>
        <v>0</v>
      </c>
      <c r="D6" s="147">
        <f>+'Therm Sales Master'!E125</f>
        <v>1031586</v>
      </c>
      <c r="E6" s="148">
        <f>+'Therm Sales Master'!F125</f>
        <v>447130</v>
      </c>
      <c r="F6" s="147">
        <f>+'Therm Sales Master'!G125</f>
        <v>2079</v>
      </c>
      <c r="G6" s="147">
        <f>+'Therm Sales Master'!H125</f>
        <v>4259766</v>
      </c>
      <c r="H6" s="148">
        <f>+'Therm Sales Master'!J125</f>
        <v>674628</v>
      </c>
      <c r="I6" s="147">
        <f>+'Therm Sales Master'!K125</f>
        <v>21</v>
      </c>
      <c r="J6" s="148">
        <f>+'Therm Sales Master'!L125</f>
        <v>0</v>
      </c>
      <c r="K6" s="146">
        <f>+'Therm Sales Master'!M125</f>
        <v>197742</v>
      </c>
      <c r="L6" s="146">
        <f>+'Therm Sales Master'!N125</f>
        <v>32448578</v>
      </c>
      <c r="M6" s="147">
        <f>+'Therm Sales Master'!O125</f>
        <v>7714309</v>
      </c>
      <c r="N6" s="147">
        <f>+'Therm Sales Master'!P125</f>
        <v>4034082</v>
      </c>
      <c r="O6" s="147">
        <f>+'Therm Sales Master'!Q125</f>
        <v>2001543</v>
      </c>
      <c r="P6" s="148">
        <f>+'Therm Sales Master'!R125</f>
        <v>0</v>
      </c>
      <c r="R6" s="147">
        <f t="shared" si="0"/>
        <v>58118580</v>
      </c>
    </row>
    <row r="7" spans="1:19" hidden="1" x14ac:dyDescent="0.2">
      <c r="A7" s="145">
        <v>43434</v>
      </c>
      <c r="B7" s="146">
        <f>+'Therm Sales Master'!B126</f>
        <v>5727490</v>
      </c>
      <c r="C7" s="147">
        <f>+'Therm Sales Master'!D126</f>
        <v>0</v>
      </c>
      <c r="D7" s="147">
        <f>+'Therm Sales Master'!E126</f>
        <v>691277</v>
      </c>
      <c r="E7" s="148">
        <f>+'Therm Sales Master'!F126</f>
        <v>107458</v>
      </c>
      <c r="F7" s="147">
        <f>+'Therm Sales Master'!G126</f>
        <v>0</v>
      </c>
      <c r="G7" s="147">
        <f>+'Therm Sales Master'!H126</f>
        <v>4031349</v>
      </c>
      <c r="H7" s="148">
        <f>+'Therm Sales Master'!J126</f>
        <v>459820</v>
      </c>
      <c r="I7" s="147">
        <f>+'Therm Sales Master'!K126</f>
        <v>0</v>
      </c>
      <c r="J7" s="148">
        <f>+'Therm Sales Master'!L126</f>
        <v>0</v>
      </c>
      <c r="K7" s="146">
        <f>+'Therm Sales Master'!M126</f>
        <v>0</v>
      </c>
      <c r="L7" s="146">
        <f>+'Therm Sales Master'!N126</f>
        <v>0</v>
      </c>
      <c r="M7" s="147">
        <f>+'Therm Sales Master'!O126</f>
        <v>0</v>
      </c>
      <c r="N7" s="147">
        <f>+'Therm Sales Master'!P126</f>
        <v>0</v>
      </c>
      <c r="O7" s="147">
        <f>+'Therm Sales Master'!Q126</f>
        <v>0</v>
      </c>
      <c r="P7" s="148">
        <f>+'Therm Sales Master'!R126</f>
        <v>0</v>
      </c>
      <c r="R7" s="147">
        <f t="shared" ref="R7" si="1">SUM(B7:Q7)</f>
        <v>11017394</v>
      </c>
      <c r="S7" s="2" t="s">
        <v>45</v>
      </c>
    </row>
    <row r="8" spans="1:19" hidden="1" x14ac:dyDescent="0.2">
      <c r="A8" s="145">
        <v>43434</v>
      </c>
      <c r="B8" s="146">
        <f>+'Therm Sales Master'!B127</f>
        <v>3233440</v>
      </c>
      <c r="C8" s="147">
        <f>+'Therm Sales Master'!D127</f>
        <v>63</v>
      </c>
      <c r="D8" s="147">
        <f>+'Therm Sales Master'!E127</f>
        <v>298083</v>
      </c>
      <c r="E8" s="148">
        <f>+'Therm Sales Master'!F127</f>
        <v>77569</v>
      </c>
      <c r="F8" s="147">
        <f>+'Therm Sales Master'!G127</f>
        <v>3464</v>
      </c>
      <c r="G8" s="147">
        <f>+'Therm Sales Master'!H127</f>
        <v>2122532</v>
      </c>
      <c r="H8" s="148">
        <f>+'Therm Sales Master'!J127</f>
        <v>331925</v>
      </c>
      <c r="I8" s="147">
        <f>+'Therm Sales Master'!K127</f>
        <v>0</v>
      </c>
      <c r="J8" s="148">
        <f>+'Therm Sales Master'!L127</f>
        <v>0</v>
      </c>
      <c r="K8" s="146">
        <f>+'Therm Sales Master'!M127</f>
        <v>217688</v>
      </c>
      <c r="L8" s="146">
        <f>+'Therm Sales Master'!N127</f>
        <v>25948738</v>
      </c>
      <c r="M8" s="147">
        <f>+'Therm Sales Master'!O127</f>
        <v>76766</v>
      </c>
      <c r="N8" s="147">
        <f>+'Therm Sales Master'!P127</f>
        <v>28205</v>
      </c>
      <c r="O8" s="147">
        <f>+'Therm Sales Master'!Q127</f>
        <v>33898</v>
      </c>
      <c r="P8" s="148">
        <f>+'Therm Sales Master'!R127</f>
        <v>0</v>
      </c>
      <c r="R8" s="147">
        <f t="shared" si="0"/>
        <v>32372371</v>
      </c>
      <c r="S8" s="2" t="s">
        <v>46</v>
      </c>
    </row>
    <row r="9" spans="1:19" hidden="1" x14ac:dyDescent="0.2">
      <c r="A9" s="145">
        <v>43465</v>
      </c>
      <c r="B9" s="146">
        <f>+'Therm Sales Master'!B128</f>
        <v>17031202</v>
      </c>
      <c r="C9" s="147">
        <f>+'Therm Sales Master'!D128</f>
        <v>-63</v>
      </c>
      <c r="D9" s="147">
        <f>+'Therm Sales Master'!E128</f>
        <v>1475293</v>
      </c>
      <c r="E9" s="148">
        <f>+'Therm Sales Master'!F128</f>
        <v>305292</v>
      </c>
      <c r="F9" s="147">
        <f>+'Therm Sales Master'!G128</f>
        <v>4915</v>
      </c>
      <c r="G9" s="147">
        <f>+'Therm Sales Master'!H128</f>
        <v>11460190</v>
      </c>
      <c r="H9" s="148">
        <f>+'Therm Sales Master'!J128</f>
        <v>1383646</v>
      </c>
      <c r="I9" s="147">
        <f>+'Therm Sales Master'!K128</f>
        <v>142</v>
      </c>
      <c r="J9" s="148">
        <f>+'Therm Sales Master'!L128</f>
        <v>0</v>
      </c>
      <c r="K9" s="146">
        <f>+'Therm Sales Master'!M128</f>
        <v>260482</v>
      </c>
      <c r="L9" s="146">
        <f>+'Therm Sales Master'!N128</f>
        <v>29346851</v>
      </c>
      <c r="M9" s="147">
        <f>+'Therm Sales Master'!O128</f>
        <v>14382579</v>
      </c>
      <c r="N9" s="147">
        <f>+'Therm Sales Master'!P128</f>
        <v>4450625</v>
      </c>
      <c r="O9" s="147">
        <f>+'Therm Sales Master'!Q128</f>
        <v>57483</v>
      </c>
      <c r="P9" s="148">
        <f>+'Therm Sales Master'!R128</f>
        <v>0</v>
      </c>
      <c r="R9" s="147">
        <f t="shared" si="0"/>
        <v>80158637</v>
      </c>
    </row>
    <row r="10" spans="1:19" hidden="1" x14ac:dyDescent="0.2">
      <c r="A10" s="145">
        <v>43496</v>
      </c>
      <c r="B10" s="146">
        <f>+'Therm Sales Master'!B129</f>
        <v>19425579</v>
      </c>
      <c r="C10" s="147">
        <f>+'Therm Sales Master'!D129</f>
        <v>0</v>
      </c>
      <c r="D10" s="147">
        <f>+'Therm Sales Master'!E129</f>
        <v>1433715</v>
      </c>
      <c r="E10" s="148">
        <f>+'Therm Sales Master'!F129</f>
        <v>330955</v>
      </c>
      <c r="F10" s="147">
        <f>+'Therm Sales Master'!G129</f>
        <v>4626</v>
      </c>
      <c r="G10" s="147">
        <f>+'Therm Sales Master'!H129</f>
        <v>13117967</v>
      </c>
      <c r="H10" s="148">
        <f>+'Therm Sales Master'!J129</f>
        <v>1477641</v>
      </c>
      <c r="I10" s="147">
        <f>+'Therm Sales Master'!K129</f>
        <v>7</v>
      </c>
      <c r="J10" s="148">
        <f>+'Therm Sales Master'!L129</f>
        <v>0</v>
      </c>
      <c r="K10" s="146">
        <f>+'Therm Sales Master'!M129</f>
        <v>258811</v>
      </c>
      <c r="L10" s="146">
        <f>+'Therm Sales Master'!N129</f>
        <v>31076934</v>
      </c>
      <c r="M10" s="147">
        <f>+'Therm Sales Master'!O129</f>
        <v>14944499</v>
      </c>
      <c r="N10" s="147">
        <f>+'Therm Sales Master'!P129</f>
        <v>4088088</v>
      </c>
      <c r="O10" s="147">
        <f>+'Therm Sales Master'!Q129</f>
        <v>106086</v>
      </c>
      <c r="P10" s="148">
        <f>+'Therm Sales Master'!R129</f>
        <v>0</v>
      </c>
      <c r="R10" s="147">
        <f t="shared" si="0"/>
        <v>86264908</v>
      </c>
    </row>
    <row r="11" spans="1:19" hidden="1" x14ac:dyDescent="0.2">
      <c r="A11" s="145">
        <v>43524</v>
      </c>
      <c r="B11" s="146">
        <f>+'Therm Sales Master'!B130</f>
        <v>20826493</v>
      </c>
      <c r="C11" s="147">
        <f>+'Therm Sales Master'!D130</f>
        <v>0</v>
      </c>
      <c r="D11" s="147">
        <f>+'Therm Sales Master'!E130</f>
        <v>1616149</v>
      </c>
      <c r="E11" s="148">
        <f>+'Therm Sales Master'!F130</f>
        <v>325966</v>
      </c>
      <c r="F11" s="147">
        <f>+'Therm Sales Master'!G130</f>
        <v>5486</v>
      </c>
      <c r="G11" s="147">
        <f>+'Therm Sales Master'!H130</f>
        <v>13988227</v>
      </c>
      <c r="H11" s="148">
        <f>+'Therm Sales Master'!J130</f>
        <v>1527495</v>
      </c>
      <c r="I11" s="147">
        <f>+'Therm Sales Master'!K130</f>
        <v>0</v>
      </c>
      <c r="J11" s="148">
        <f>+'Therm Sales Master'!L130</f>
        <v>0</v>
      </c>
      <c r="K11" s="146">
        <f>+'Therm Sales Master'!M130</f>
        <v>270184</v>
      </c>
      <c r="L11" s="146">
        <f>+'Therm Sales Master'!N130</f>
        <v>30225230</v>
      </c>
      <c r="M11" s="147">
        <f>+'Therm Sales Master'!O130</f>
        <v>7408861</v>
      </c>
      <c r="N11" s="147">
        <f>+'Therm Sales Master'!P130</f>
        <v>5846716</v>
      </c>
      <c r="O11" s="147">
        <f>+'Therm Sales Master'!Q130</f>
        <v>228696</v>
      </c>
      <c r="P11" s="148">
        <f>+'Therm Sales Master'!R130</f>
        <v>0</v>
      </c>
      <c r="R11" s="147">
        <f t="shared" si="0"/>
        <v>82269503</v>
      </c>
    </row>
    <row r="12" spans="1:19" hidden="1" x14ac:dyDescent="0.2">
      <c r="A12" s="145">
        <v>43555</v>
      </c>
      <c r="B12" s="146">
        <f>+'Therm Sales Master'!B131</f>
        <v>22406676</v>
      </c>
      <c r="C12" s="147">
        <f>+'Therm Sales Master'!D131</f>
        <v>0</v>
      </c>
      <c r="D12" s="147">
        <f>+'Therm Sales Master'!E131</f>
        <v>1794729</v>
      </c>
      <c r="E12" s="148">
        <f>+'Therm Sales Master'!F131</f>
        <v>344448</v>
      </c>
      <c r="F12" s="147">
        <f>+'Therm Sales Master'!G131</f>
        <v>3527</v>
      </c>
      <c r="G12" s="147">
        <f>+'Therm Sales Master'!H131</f>
        <v>15941825</v>
      </c>
      <c r="H12" s="148">
        <f>+'Therm Sales Master'!J131</f>
        <v>1650107</v>
      </c>
      <c r="I12" s="147">
        <f>+'Therm Sales Master'!K131</f>
        <v>0</v>
      </c>
      <c r="J12" s="148">
        <f>+'Therm Sales Master'!L131</f>
        <v>0</v>
      </c>
      <c r="K12" s="146">
        <f>+'Therm Sales Master'!M131</f>
        <v>248145</v>
      </c>
      <c r="L12" s="146">
        <f>+'Therm Sales Master'!N131</f>
        <v>29441177</v>
      </c>
      <c r="M12" s="147">
        <f>+'Therm Sales Master'!O131</f>
        <v>9817659</v>
      </c>
      <c r="N12" s="147">
        <f>+'Therm Sales Master'!P131</f>
        <v>3088142</v>
      </c>
      <c r="O12" s="147">
        <f>+'Therm Sales Master'!Q131</f>
        <v>0</v>
      </c>
      <c r="P12" s="148">
        <f>+'Therm Sales Master'!R131</f>
        <v>0</v>
      </c>
      <c r="R12" s="147">
        <f t="shared" si="0"/>
        <v>84736435</v>
      </c>
    </row>
    <row r="13" spans="1:19" hidden="1" x14ac:dyDescent="0.2">
      <c r="A13" s="145">
        <v>43585</v>
      </c>
      <c r="B13" s="146">
        <f>+'Therm Sales Master'!B132</f>
        <v>12262358</v>
      </c>
      <c r="C13" s="147">
        <f>+'Therm Sales Master'!D132</f>
        <v>0</v>
      </c>
      <c r="D13" s="147">
        <f>+'Therm Sales Master'!E132</f>
        <v>1331310</v>
      </c>
      <c r="E13" s="148">
        <f>+'Therm Sales Master'!F132</f>
        <v>339049</v>
      </c>
      <c r="F13" s="147">
        <f>+'Therm Sales Master'!G132</f>
        <v>2258</v>
      </c>
      <c r="G13" s="147">
        <f>+'Therm Sales Master'!H132</f>
        <v>9096547</v>
      </c>
      <c r="H13" s="148">
        <f>+'Therm Sales Master'!J132</f>
        <v>1028839</v>
      </c>
      <c r="I13" s="147">
        <f>+'Therm Sales Master'!K132</f>
        <v>128</v>
      </c>
      <c r="J13" s="148">
        <f>+'Therm Sales Master'!L132</f>
        <v>0</v>
      </c>
      <c r="K13" s="146">
        <f>+'Therm Sales Master'!M132</f>
        <v>191467</v>
      </c>
      <c r="L13" s="146">
        <f>+'Therm Sales Master'!N132</f>
        <v>27808927</v>
      </c>
      <c r="M13" s="147">
        <f>+'Therm Sales Master'!O132</f>
        <v>7594206</v>
      </c>
      <c r="N13" s="147">
        <f>+'Therm Sales Master'!P132</f>
        <v>2551096</v>
      </c>
      <c r="O13" s="147">
        <f>+'Therm Sales Master'!Q132</f>
        <v>24270</v>
      </c>
      <c r="P13" s="148">
        <f>+'Therm Sales Master'!R132</f>
        <v>0</v>
      </c>
      <c r="R13" s="147">
        <f t="shared" si="0"/>
        <v>62230455</v>
      </c>
    </row>
    <row r="14" spans="1:19" hidden="1" x14ac:dyDescent="0.2">
      <c r="A14" s="145">
        <v>43616</v>
      </c>
      <c r="B14" s="146">
        <f>+'Therm Sales Master'!B133</f>
        <v>7409569</v>
      </c>
      <c r="C14" s="147">
        <f>+'Therm Sales Master'!D133</f>
        <v>0</v>
      </c>
      <c r="D14" s="147">
        <f>+'Therm Sales Master'!E133</f>
        <v>789879</v>
      </c>
      <c r="E14" s="148">
        <f>+'Therm Sales Master'!F133</f>
        <v>267660</v>
      </c>
      <c r="F14" s="147">
        <f>+'Therm Sales Master'!G133</f>
        <v>645</v>
      </c>
      <c r="G14" s="147">
        <f>+'Therm Sales Master'!H133</f>
        <v>5370530</v>
      </c>
      <c r="H14" s="148">
        <f>+'Therm Sales Master'!J133</f>
        <v>692205</v>
      </c>
      <c r="I14" s="147">
        <f>+'Therm Sales Master'!K133</f>
        <v>151</v>
      </c>
      <c r="J14" s="148">
        <f>+'Therm Sales Master'!L133</f>
        <v>0</v>
      </c>
      <c r="K14" s="146">
        <f>+'Therm Sales Master'!M133</f>
        <v>142256</v>
      </c>
      <c r="L14" s="146">
        <f>+'Therm Sales Master'!N133</f>
        <v>29847911</v>
      </c>
      <c r="M14" s="147">
        <f>+'Therm Sales Master'!O133</f>
        <v>5340649</v>
      </c>
      <c r="N14" s="147">
        <f>+'Therm Sales Master'!P133</f>
        <v>381981</v>
      </c>
      <c r="O14" s="147">
        <f>+'Therm Sales Master'!Q133</f>
        <v>234043</v>
      </c>
      <c r="P14" s="148">
        <f>+'Therm Sales Master'!R133</f>
        <v>0</v>
      </c>
      <c r="R14" s="147">
        <f t="shared" si="0"/>
        <v>50477479</v>
      </c>
    </row>
    <row r="15" spans="1:19" hidden="1" x14ac:dyDescent="0.2">
      <c r="A15" s="145">
        <v>43646</v>
      </c>
      <c r="B15" s="146">
        <f>+'Therm Sales Master'!B134</f>
        <v>4046705</v>
      </c>
      <c r="C15" s="147">
        <f>+'Therm Sales Master'!D134</f>
        <v>0</v>
      </c>
      <c r="D15" s="147">
        <f>+'Therm Sales Master'!E134</f>
        <v>579038</v>
      </c>
      <c r="E15" s="148">
        <f>+'Therm Sales Master'!F134</f>
        <v>275040</v>
      </c>
      <c r="F15" s="147">
        <f>+'Therm Sales Master'!G134</f>
        <v>367</v>
      </c>
      <c r="G15" s="147">
        <f>+'Therm Sales Master'!H134</f>
        <v>3465484</v>
      </c>
      <c r="H15" s="148">
        <f>+'Therm Sales Master'!J134</f>
        <v>479946</v>
      </c>
      <c r="I15" s="147">
        <f>+'Therm Sales Master'!K134</f>
        <v>0</v>
      </c>
      <c r="J15" s="148">
        <f>+'Therm Sales Master'!L134</f>
        <v>0</v>
      </c>
      <c r="K15" s="146">
        <f>+'Therm Sales Master'!M134</f>
        <v>110987</v>
      </c>
      <c r="L15" s="146">
        <f>+'Therm Sales Master'!N134</f>
        <v>27060192</v>
      </c>
      <c r="M15" s="147">
        <f>+'Therm Sales Master'!O134</f>
        <v>7824546</v>
      </c>
      <c r="N15" s="147">
        <f>+'Therm Sales Master'!P134</f>
        <v>6776820</v>
      </c>
      <c r="O15" s="147">
        <f>+'Therm Sales Master'!Q134</f>
        <v>1112893</v>
      </c>
      <c r="P15" s="148">
        <f>+'Therm Sales Master'!R134</f>
        <v>0</v>
      </c>
      <c r="R15" s="147">
        <f t="shared" si="0"/>
        <v>51732018</v>
      </c>
    </row>
    <row r="16" spans="1:19" hidden="1" x14ac:dyDescent="0.2">
      <c r="A16" s="145">
        <v>43677</v>
      </c>
      <c r="B16" s="146">
        <f>+'Therm Sales Master'!B135</f>
        <v>3217527</v>
      </c>
      <c r="C16" s="147">
        <f>+'Therm Sales Master'!D135</f>
        <v>0</v>
      </c>
      <c r="D16" s="147">
        <f>+'Therm Sales Master'!E135</f>
        <v>537168</v>
      </c>
      <c r="E16" s="148">
        <f>+'Therm Sales Master'!F135</f>
        <v>315197</v>
      </c>
      <c r="F16" s="147">
        <f>+'Therm Sales Master'!G135</f>
        <v>155</v>
      </c>
      <c r="G16" s="147">
        <f>+'Therm Sales Master'!H135</f>
        <v>3054528</v>
      </c>
      <c r="H16" s="148">
        <f>+'Therm Sales Master'!J135</f>
        <v>406093</v>
      </c>
      <c r="I16" s="147">
        <f>+'Therm Sales Master'!K135</f>
        <v>163</v>
      </c>
      <c r="J16" s="148">
        <f>+'Therm Sales Master'!L135</f>
        <v>0</v>
      </c>
      <c r="K16" s="146">
        <f>+'Therm Sales Master'!M135</f>
        <v>120028</v>
      </c>
      <c r="L16" s="146">
        <f>+'Therm Sales Master'!N135</f>
        <v>26075307</v>
      </c>
      <c r="M16" s="147">
        <f>+'Therm Sales Master'!O135</f>
        <v>14501183</v>
      </c>
      <c r="N16" s="147">
        <f>+'Therm Sales Master'!P135</f>
        <v>14122838</v>
      </c>
      <c r="O16" s="147">
        <f>+'Therm Sales Master'!Q135</f>
        <v>5050508</v>
      </c>
      <c r="P16" s="148">
        <f>+'Therm Sales Master'!R135</f>
        <v>0</v>
      </c>
      <c r="R16" s="147">
        <f t="shared" ref="R16:R22" si="2">SUM(B16:Q16)</f>
        <v>67400695</v>
      </c>
    </row>
    <row r="17" spans="1:19" hidden="1" x14ac:dyDescent="0.2">
      <c r="A17" s="145">
        <v>43708</v>
      </c>
      <c r="B17" s="146">
        <f>+'Therm Sales Master'!B136</f>
        <v>2775098</v>
      </c>
      <c r="C17" s="147">
        <f>+'Therm Sales Master'!D136</f>
        <v>0</v>
      </c>
      <c r="D17" s="147">
        <f>+'Therm Sales Master'!E136</f>
        <v>564404</v>
      </c>
      <c r="E17" s="148">
        <f>+'Therm Sales Master'!F136</f>
        <v>350812</v>
      </c>
      <c r="F17" s="147">
        <f>+'Therm Sales Master'!G136</f>
        <v>138</v>
      </c>
      <c r="G17" s="147">
        <f>+'Therm Sales Master'!H136</f>
        <v>2791770</v>
      </c>
      <c r="H17" s="148">
        <f>+'Therm Sales Master'!J136</f>
        <v>400926</v>
      </c>
      <c r="I17" s="147">
        <f>+'Therm Sales Master'!K136</f>
        <v>0</v>
      </c>
      <c r="J17" s="148">
        <f>+'Therm Sales Master'!L136</f>
        <v>0</v>
      </c>
      <c r="K17" s="146">
        <f>+'Therm Sales Master'!M136</f>
        <v>93626</v>
      </c>
      <c r="L17" s="146">
        <f>+'Therm Sales Master'!N136</f>
        <v>28191126</v>
      </c>
      <c r="M17" s="147">
        <f>+'Therm Sales Master'!O136</f>
        <v>16164686</v>
      </c>
      <c r="N17" s="147">
        <f>+'Therm Sales Master'!P136</f>
        <v>15605297</v>
      </c>
      <c r="O17" s="147">
        <f>+'Therm Sales Master'!Q136</f>
        <v>9500954</v>
      </c>
      <c r="P17" s="148">
        <f>+'Therm Sales Master'!R136</f>
        <v>0</v>
      </c>
      <c r="R17" s="147">
        <f t="shared" si="2"/>
        <v>76438837</v>
      </c>
    </row>
    <row r="18" spans="1:19" hidden="1" x14ac:dyDescent="0.2">
      <c r="A18" s="145">
        <v>43738</v>
      </c>
      <c r="B18" s="146">
        <f>+'Therm Sales Master'!B137</f>
        <v>2691847</v>
      </c>
      <c r="C18" s="147">
        <f>+'Therm Sales Master'!D137</f>
        <v>0</v>
      </c>
      <c r="D18" s="147">
        <f>+'Therm Sales Master'!E137</f>
        <v>651984</v>
      </c>
      <c r="E18" s="148">
        <f>+'Therm Sales Master'!F137</f>
        <v>310612</v>
      </c>
      <c r="F18" s="147">
        <f>+'Therm Sales Master'!G137</f>
        <v>619</v>
      </c>
      <c r="G18" s="147">
        <f>+'Therm Sales Master'!H137</f>
        <v>2672689</v>
      </c>
      <c r="H18" s="148">
        <f>+'Therm Sales Master'!J137</f>
        <v>346838</v>
      </c>
      <c r="I18" s="147">
        <f>+'Therm Sales Master'!K137</f>
        <v>411</v>
      </c>
      <c r="J18" s="148">
        <f>+'Therm Sales Master'!L137</f>
        <v>0</v>
      </c>
      <c r="K18" s="146">
        <f>+'Therm Sales Master'!M137</f>
        <v>111442</v>
      </c>
      <c r="L18" s="146">
        <f>+'Therm Sales Master'!N137</f>
        <v>31412664</v>
      </c>
      <c r="M18" s="147">
        <f>+'Therm Sales Master'!O137</f>
        <v>15653966</v>
      </c>
      <c r="N18" s="147">
        <f>+'Therm Sales Master'!P137</f>
        <v>14512835</v>
      </c>
      <c r="O18" s="147">
        <f>+'Therm Sales Master'!Q137</f>
        <v>4852567</v>
      </c>
      <c r="P18" s="148">
        <f>+'Therm Sales Master'!R137</f>
        <v>0</v>
      </c>
      <c r="R18" s="147">
        <f t="shared" si="2"/>
        <v>73218474</v>
      </c>
    </row>
    <row r="19" spans="1:19" hidden="1" x14ac:dyDescent="0.2">
      <c r="A19" s="145">
        <v>43769</v>
      </c>
      <c r="B19" s="146">
        <f>+'Therm Sales Master'!B138</f>
        <v>6366467</v>
      </c>
      <c r="C19" s="147">
        <f>+'Therm Sales Master'!D138</f>
        <v>0</v>
      </c>
      <c r="D19" s="147">
        <f>+'Therm Sales Master'!E138</f>
        <v>1274354</v>
      </c>
      <c r="E19" s="148">
        <f>+'Therm Sales Master'!F138</f>
        <v>413276</v>
      </c>
      <c r="F19" s="147">
        <f>+'Therm Sales Master'!G138</f>
        <v>2955</v>
      </c>
      <c r="G19" s="147">
        <f>+'Therm Sales Master'!H138</f>
        <v>4853452</v>
      </c>
      <c r="H19" s="148">
        <f>+'Therm Sales Master'!J138</f>
        <v>2027719</v>
      </c>
      <c r="I19" s="147">
        <f>+'Therm Sales Master'!K138</f>
        <v>317</v>
      </c>
      <c r="J19" s="148">
        <f>+'Therm Sales Master'!L138</f>
        <v>0</v>
      </c>
      <c r="K19" s="146">
        <f>+'Therm Sales Master'!M138</f>
        <v>232820</v>
      </c>
      <c r="L19" s="146">
        <f>+'Therm Sales Master'!N138</f>
        <v>34409561</v>
      </c>
      <c r="M19" s="147">
        <f>+'Therm Sales Master'!O138</f>
        <v>11066352</v>
      </c>
      <c r="N19" s="147">
        <f>+'Therm Sales Master'!P138</f>
        <v>667138</v>
      </c>
      <c r="O19" s="147">
        <f>+'Therm Sales Master'!Q138</f>
        <v>897404</v>
      </c>
      <c r="P19" s="148">
        <f>+'Therm Sales Master'!R138</f>
        <v>0</v>
      </c>
      <c r="R19" s="147">
        <f t="shared" si="2"/>
        <v>62211815</v>
      </c>
    </row>
    <row r="20" spans="1:19" hidden="1" x14ac:dyDescent="0.2">
      <c r="A20" s="145">
        <v>43799</v>
      </c>
      <c r="B20" s="146">
        <f>+'Therm Sales Master'!B139</f>
        <v>7622134</v>
      </c>
      <c r="C20" s="147">
        <f>+'Therm Sales Master'!D139</f>
        <v>0</v>
      </c>
      <c r="D20" s="147">
        <f>+'Therm Sales Master'!E139</f>
        <v>806453</v>
      </c>
      <c r="E20" s="148">
        <f>+'Therm Sales Master'!F139</f>
        <v>292270</v>
      </c>
      <c r="F20" s="147">
        <f>+'Therm Sales Master'!G139</f>
        <v>0</v>
      </c>
      <c r="G20" s="147">
        <f>+'Therm Sales Master'!H139</f>
        <v>5319138</v>
      </c>
      <c r="H20" s="148">
        <f>+'Therm Sales Master'!J139</f>
        <v>626870</v>
      </c>
      <c r="I20" s="147">
        <f>+'Therm Sales Master'!K139</f>
        <v>0</v>
      </c>
      <c r="J20" s="148">
        <f>+'Therm Sales Master'!L139</f>
        <v>0</v>
      </c>
      <c r="K20" s="146">
        <f>+'Therm Sales Master'!M139</f>
        <v>0</v>
      </c>
      <c r="L20" s="146">
        <f>+'Therm Sales Master'!N139</f>
        <v>132</v>
      </c>
      <c r="M20" s="147">
        <f>+'Therm Sales Master'!O139</f>
        <v>0</v>
      </c>
      <c r="N20" s="147">
        <f>+'Therm Sales Master'!P139</f>
        <v>0</v>
      </c>
      <c r="O20" s="147">
        <f>+'Therm Sales Master'!Q139</f>
        <v>0</v>
      </c>
      <c r="P20" s="148">
        <f>+'Therm Sales Master'!R139</f>
        <v>0</v>
      </c>
      <c r="R20" s="147">
        <f t="shared" si="2"/>
        <v>14666997</v>
      </c>
      <c r="S20" s="2" t="s">
        <v>45</v>
      </c>
    </row>
    <row r="21" spans="1:19" hidden="1" x14ac:dyDescent="0.2">
      <c r="A21" s="145">
        <v>43799</v>
      </c>
      <c r="B21" s="146">
        <f>+'Therm Sales Master'!B140</f>
        <v>4006834</v>
      </c>
      <c r="C21" s="147">
        <f>+'Therm Sales Master'!D140</f>
        <v>0</v>
      </c>
      <c r="D21" s="147">
        <f>+'Therm Sales Master'!E140</f>
        <v>352170</v>
      </c>
      <c r="E21" s="148">
        <f>+'Therm Sales Master'!F140</f>
        <v>192646</v>
      </c>
      <c r="F21" s="147">
        <f>+'Therm Sales Master'!G140</f>
        <v>3958</v>
      </c>
      <c r="G21" s="147">
        <f>+'Therm Sales Master'!H140</f>
        <v>2589532</v>
      </c>
      <c r="H21" s="148">
        <f>+'Therm Sales Master'!J140</f>
        <v>1908901</v>
      </c>
      <c r="I21" s="147">
        <f>+'Therm Sales Master'!K140</f>
        <v>491</v>
      </c>
      <c r="J21" s="148">
        <f>+'Therm Sales Master'!L140</f>
        <v>0</v>
      </c>
      <c r="K21" s="146">
        <f>+'Therm Sales Master'!M140</f>
        <v>230233</v>
      </c>
      <c r="L21" s="146">
        <f>+'Therm Sales Master'!N140</f>
        <v>29790523</v>
      </c>
      <c r="M21" s="147">
        <f>+'Therm Sales Master'!O140</f>
        <v>12699045</v>
      </c>
      <c r="N21" s="147">
        <f>+'Therm Sales Master'!P140</f>
        <v>5956005</v>
      </c>
      <c r="O21" s="147">
        <f>+'Therm Sales Master'!Q140</f>
        <v>211269</v>
      </c>
      <c r="P21" s="148">
        <f>+'Therm Sales Master'!R140</f>
        <v>0</v>
      </c>
      <c r="R21" s="147">
        <f t="shared" ref="R21" si="3">SUM(B21:Q21)</f>
        <v>57941607</v>
      </c>
      <c r="S21" s="2" t="s">
        <v>46</v>
      </c>
    </row>
    <row r="22" spans="1:19" hidden="1" x14ac:dyDescent="0.2">
      <c r="A22" s="145">
        <v>43830</v>
      </c>
      <c r="B22" s="146">
        <f>+'Therm Sales Master'!B141</f>
        <v>17650518</v>
      </c>
      <c r="C22" s="147">
        <f>+'Therm Sales Master'!D141</f>
        <v>0</v>
      </c>
      <c r="D22" s="147">
        <f>+'Therm Sales Master'!E141</f>
        <v>1422636</v>
      </c>
      <c r="E22" s="148">
        <f>+'Therm Sales Master'!F141</f>
        <v>368658</v>
      </c>
      <c r="F22" s="147">
        <f>+'Therm Sales Master'!G141</f>
        <v>4552</v>
      </c>
      <c r="G22" s="147">
        <f>+'Therm Sales Master'!H141</f>
        <v>11976706</v>
      </c>
      <c r="H22" s="148">
        <f>+'Therm Sales Master'!J141</f>
        <v>2959155</v>
      </c>
      <c r="I22" s="147">
        <f>+'Therm Sales Master'!K141</f>
        <v>261</v>
      </c>
      <c r="J22" s="148">
        <f>+'Therm Sales Master'!L141</f>
        <v>0</v>
      </c>
      <c r="K22" s="146">
        <f>+'Therm Sales Master'!M141</f>
        <v>254015</v>
      </c>
      <c r="L22" s="146">
        <f>+'Therm Sales Master'!N141</f>
        <v>31617374</v>
      </c>
      <c r="M22" s="147">
        <f>+'Therm Sales Master'!O141</f>
        <v>14173947</v>
      </c>
      <c r="N22" s="147">
        <f>+'Therm Sales Master'!P141</f>
        <v>13886984</v>
      </c>
      <c r="O22" s="147">
        <f>+'Therm Sales Master'!Q141</f>
        <v>1297588</v>
      </c>
      <c r="P22" s="148">
        <f>+'Therm Sales Master'!R141</f>
        <v>0</v>
      </c>
      <c r="R22" s="147">
        <f t="shared" si="2"/>
        <v>95612394</v>
      </c>
    </row>
    <row r="23" spans="1:19" hidden="1" x14ac:dyDescent="0.2">
      <c r="A23" s="145">
        <v>43861</v>
      </c>
      <c r="B23" s="146">
        <f>+'Therm Sales Master'!B142</f>
        <v>21443608</v>
      </c>
      <c r="C23" s="147">
        <f>+'Therm Sales Master'!D142</f>
        <v>0</v>
      </c>
      <c r="D23" s="147">
        <f>+'Therm Sales Master'!E142</f>
        <v>1522757</v>
      </c>
      <c r="E23" s="148">
        <f>+'Therm Sales Master'!F142</f>
        <v>431249</v>
      </c>
      <c r="F23" s="147">
        <f>+'Therm Sales Master'!G142</f>
        <v>4887</v>
      </c>
      <c r="G23" s="147">
        <f>+'Therm Sales Master'!H142</f>
        <v>14478708</v>
      </c>
      <c r="H23" s="148">
        <f>+'Therm Sales Master'!J142</f>
        <v>3309514</v>
      </c>
      <c r="I23" s="147">
        <f>+'Therm Sales Master'!K142</f>
        <v>85</v>
      </c>
      <c r="J23" s="148">
        <f>+'Therm Sales Master'!L142</f>
        <v>0</v>
      </c>
      <c r="K23" s="146">
        <f>+'Therm Sales Master'!M142</f>
        <v>256203</v>
      </c>
      <c r="L23" s="146">
        <f>+'Therm Sales Master'!N142</f>
        <v>32467716</v>
      </c>
      <c r="M23" s="147">
        <f>+'Therm Sales Master'!O142</f>
        <v>12220363</v>
      </c>
      <c r="N23" s="147">
        <f>+'Therm Sales Master'!P142</f>
        <v>9693367</v>
      </c>
      <c r="O23" s="147">
        <f>+'Therm Sales Master'!Q142</f>
        <v>362331</v>
      </c>
      <c r="P23" s="148">
        <f>+'Therm Sales Master'!R142</f>
        <v>0</v>
      </c>
      <c r="R23" s="147">
        <f t="shared" ref="R23:R35" si="4">SUM(B23:Q23)</f>
        <v>96190788</v>
      </c>
    </row>
    <row r="24" spans="1:19" hidden="1" x14ac:dyDescent="0.2">
      <c r="A24" s="145">
        <v>43890</v>
      </c>
      <c r="B24" s="146">
        <f>+'Therm Sales Master'!B143</f>
        <v>17506775</v>
      </c>
      <c r="C24" s="147">
        <f>+'Therm Sales Master'!D143</f>
        <v>0</v>
      </c>
      <c r="D24" s="147">
        <f>+'Therm Sales Master'!E143</f>
        <v>1322495</v>
      </c>
      <c r="E24" s="148">
        <f>+'Therm Sales Master'!F143</f>
        <v>393372</v>
      </c>
      <c r="F24" s="147">
        <f>+'Therm Sales Master'!G143</f>
        <v>4650</v>
      </c>
      <c r="G24" s="147">
        <f>+'Therm Sales Master'!H143</f>
        <v>11970901</v>
      </c>
      <c r="H24" s="148">
        <f>+'Therm Sales Master'!J143</f>
        <v>2889473</v>
      </c>
      <c r="I24" s="147">
        <f>+'Therm Sales Master'!K143</f>
        <v>341</v>
      </c>
      <c r="J24" s="148">
        <f>+'Therm Sales Master'!L143</f>
        <v>0</v>
      </c>
      <c r="K24" s="146">
        <f>+'Therm Sales Master'!M143</f>
        <v>228991</v>
      </c>
      <c r="L24" s="146">
        <f>+'Therm Sales Master'!N143</f>
        <v>30355704</v>
      </c>
      <c r="M24" s="147">
        <f>+'Therm Sales Master'!O143</f>
        <v>11897437</v>
      </c>
      <c r="N24" s="147">
        <f>+'Therm Sales Master'!P143</f>
        <v>7438730</v>
      </c>
      <c r="O24" s="147">
        <f>+'Therm Sales Master'!Q143</f>
        <v>761639</v>
      </c>
      <c r="P24" s="148">
        <f>+'Therm Sales Master'!R143</f>
        <v>0</v>
      </c>
      <c r="R24" s="147">
        <f t="shared" si="4"/>
        <v>84770508</v>
      </c>
    </row>
    <row r="25" spans="1:19" hidden="1" x14ac:dyDescent="0.2">
      <c r="A25" s="145">
        <v>43921</v>
      </c>
      <c r="B25" s="146">
        <f>+'Therm Sales Master'!B144</f>
        <v>17635811</v>
      </c>
      <c r="C25" s="147">
        <f>+'Therm Sales Master'!D144</f>
        <v>0</v>
      </c>
      <c r="D25" s="147">
        <f>+'Therm Sales Master'!E144</f>
        <v>1356275</v>
      </c>
      <c r="E25" s="148">
        <f>+'Therm Sales Master'!F144</f>
        <v>297569</v>
      </c>
      <c r="F25" s="147">
        <f>+'Therm Sales Master'!G144</f>
        <v>4903</v>
      </c>
      <c r="G25" s="147">
        <f>+'Therm Sales Master'!H144</f>
        <v>11812961</v>
      </c>
      <c r="H25" s="148">
        <f>+'Therm Sales Master'!J144</f>
        <v>3033699</v>
      </c>
      <c r="I25" s="147">
        <f>+'Therm Sales Master'!K144</f>
        <v>182</v>
      </c>
      <c r="J25" s="148">
        <f>+'Therm Sales Master'!L144</f>
        <v>0</v>
      </c>
      <c r="K25" s="146">
        <f>+'Therm Sales Master'!M144</f>
        <v>229265</v>
      </c>
      <c r="L25" s="146">
        <f>+'Therm Sales Master'!N144</f>
        <v>32606618</v>
      </c>
      <c r="M25" s="147">
        <f>+'Therm Sales Master'!O144</f>
        <v>15670834</v>
      </c>
      <c r="N25" s="147">
        <f>+'Therm Sales Master'!P144</f>
        <v>14229128</v>
      </c>
      <c r="O25" s="147">
        <f>+'Therm Sales Master'!Q144</f>
        <v>3004872</v>
      </c>
      <c r="P25" s="148">
        <f>+'Therm Sales Master'!R144</f>
        <v>0</v>
      </c>
      <c r="R25" s="147">
        <f t="shared" si="4"/>
        <v>99882117</v>
      </c>
    </row>
    <row r="26" spans="1:19" hidden="1" x14ac:dyDescent="0.2">
      <c r="A26" s="145">
        <v>43951</v>
      </c>
      <c r="B26" s="146">
        <f>+'Therm Sales Master'!B145</f>
        <v>13930299</v>
      </c>
      <c r="C26" s="147">
        <f>+'Therm Sales Master'!D145</f>
        <v>0</v>
      </c>
      <c r="D26" s="147">
        <f>+'Therm Sales Master'!E145</f>
        <v>1128418</v>
      </c>
      <c r="E26" s="148">
        <f>+'Therm Sales Master'!F145</f>
        <v>537766</v>
      </c>
      <c r="F26" s="147">
        <f>+'Therm Sales Master'!G145</f>
        <v>3889</v>
      </c>
      <c r="G26" s="147">
        <f>+'Therm Sales Master'!H145</f>
        <v>8554564</v>
      </c>
      <c r="H26" s="148">
        <f>+'Therm Sales Master'!J145</f>
        <v>2377971</v>
      </c>
      <c r="I26" s="147">
        <f>+'Therm Sales Master'!K145</f>
        <v>193</v>
      </c>
      <c r="J26" s="148">
        <f>+'Therm Sales Master'!L145</f>
        <v>0</v>
      </c>
      <c r="K26" s="146">
        <f>+'Therm Sales Master'!M145</f>
        <v>189521</v>
      </c>
      <c r="L26" s="146">
        <f>+'Therm Sales Master'!N145</f>
        <v>27153616</v>
      </c>
      <c r="M26" s="147">
        <f>+'Therm Sales Master'!O145</f>
        <v>13569738</v>
      </c>
      <c r="N26" s="147">
        <f>+'Therm Sales Master'!P145</f>
        <v>11001952</v>
      </c>
      <c r="O26" s="147">
        <f>+'Therm Sales Master'!Q145</f>
        <v>3430843</v>
      </c>
      <c r="P26" s="148">
        <f>+'Therm Sales Master'!R145</f>
        <v>0</v>
      </c>
      <c r="R26" s="147">
        <f t="shared" si="4"/>
        <v>81878770</v>
      </c>
    </row>
    <row r="27" spans="1:19" hidden="1" x14ac:dyDescent="0.2">
      <c r="A27" s="145">
        <v>43982</v>
      </c>
      <c r="B27" s="146">
        <f>+'Therm Sales Master'!B146</f>
        <v>6809502</v>
      </c>
      <c r="C27" s="147">
        <f>+'Therm Sales Master'!D146</f>
        <v>0</v>
      </c>
      <c r="D27" s="147">
        <f>+'Therm Sales Master'!E146</f>
        <v>713209</v>
      </c>
      <c r="E27" s="148">
        <f>+'Therm Sales Master'!F146</f>
        <v>222952</v>
      </c>
      <c r="F27" s="147">
        <f>+'Therm Sales Master'!G146</f>
        <v>2219</v>
      </c>
      <c r="G27" s="147">
        <f>+'Therm Sales Master'!H146</f>
        <v>4127918</v>
      </c>
      <c r="H27" s="148">
        <f>+'Therm Sales Master'!J146</f>
        <v>1489675</v>
      </c>
      <c r="I27" s="147">
        <f>+'Therm Sales Master'!K146</f>
        <v>0</v>
      </c>
      <c r="J27" s="148">
        <f>+'Therm Sales Master'!L146</f>
        <v>0</v>
      </c>
      <c r="K27" s="146">
        <f>+'Therm Sales Master'!M146</f>
        <v>139474</v>
      </c>
      <c r="L27" s="146">
        <f>+'Therm Sales Master'!N146</f>
        <v>29220834</v>
      </c>
      <c r="M27" s="147">
        <f>+'Therm Sales Master'!O146</f>
        <v>2198918</v>
      </c>
      <c r="N27" s="147">
        <f>+'Therm Sales Master'!P146</f>
        <v>791584</v>
      </c>
      <c r="O27" s="147">
        <f>+'Therm Sales Master'!Q146</f>
        <v>447784</v>
      </c>
      <c r="P27" s="148">
        <f>+'Therm Sales Master'!R146</f>
        <v>0</v>
      </c>
      <c r="R27" s="147">
        <f t="shared" si="4"/>
        <v>46164069</v>
      </c>
    </row>
    <row r="28" spans="1:19" hidden="1" x14ac:dyDescent="0.2">
      <c r="A28" s="145">
        <v>44012</v>
      </c>
      <c r="B28" s="146">
        <f>+'Therm Sales Master'!B147</f>
        <v>5005480</v>
      </c>
      <c r="C28" s="147">
        <f>+'Therm Sales Master'!D147</f>
        <v>0</v>
      </c>
      <c r="D28" s="147">
        <f>+'Therm Sales Master'!E147</f>
        <v>637229</v>
      </c>
      <c r="E28" s="148">
        <f>+'Therm Sales Master'!F147</f>
        <v>433558</v>
      </c>
      <c r="F28" s="147">
        <f>+'Therm Sales Master'!G147</f>
        <v>2099</v>
      </c>
      <c r="G28" s="147">
        <f>+'Therm Sales Master'!H147</f>
        <v>3158885</v>
      </c>
      <c r="H28" s="148">
        <f>+'Therm Sales Master'!J147</f>
        <v>1216237</v>
      </c>
      <c r="I28" s="147">
        <f>+'Therm Sales Master'!K147</f>
        <v>0</v>
      </c>
      <c r="J28" s="148">
        <f>+'Therm Sales Master'!L147</f>
        <v>0</v>
      </c>
      <c r="K28" s="146">
        <f>+'Therm Sales Master'!M147</f>
        <v>109505</v>
      </c>
      <c r="L28" s="146">
        <f>+'Therm Sales Master'!N147</f>
        <v>27661973</v>
      </c>
      <c r="M28" s="147">
        <f>+'Therm Sales Master'!O147</f>
        <v>3015900</v>
      </c>
      <c r="N28" s="147">
        <f>+'Therm Sales Master'!P147</f>
        <v>1306946</v>
      </c>
      <c r="O28" s="147">
        <f>+'Therm Sales Master'!Q147</f>
        <v>736401</v>
      </c>
      <c r="P28" s="148">
        <f>+'Therm Sales Master'!R147</f>
        <v>0</v>
      </c>
      <c r="R28" s="147">
        <f t="shared" si="4"/>
        <v>43284213</v>
      </c>
    </row>
    <row r="29" spans="1:19" hidden="1" x14ac:dyDescent="0.2">
      <c r="A29" s="145">
        <v>44043</v>
      </c>
      <c r="B29" s="146">
        <f>+'Therm Sales Master'!B148</f>
        <v>4024864</v>
      </c>
      <c r="C29" s="147">
        <f>+'Therm Sales Master'!D148</f>
        <v>0</v>
      </c>
      <c r="D29" s="147">
        <f>+'Therm Sales Master'!E148</f>
        <v>562464</v>
      </c>
      <c r="E29" s="148">
        <f>+'Therm Sales Master'!F148</f>
        <v>335278</v>
      </c>
      <c r="F29" s="147">
        <f>+'Therm Sales Master'!G148</f>
        <v>943</v>
      </c>
      <c r="G29" s="147">
        <f>+'Therm Sales Master'!H148</f>
        <v>2836474</v>
      </c>
      <c r="H29" s="148">
        <f>+'Therm Sales Master'!J148</f>
        <v>1217402</v>
      </c>
      <c r="I29" s="147">
        <f>+'Therm Sales Master'!K148</f>
        <v>0</v>
      </c>
      <c r="J29" s="148">
        <f>+'Therm Sales Master'!L148</f>
        <v>0</v>
      </c>
      <c r="K29" s="146">
        <f>+'Therm Sales Master'!M148</f>
        <v>106383</v>
      </c>
      <c r="L29" s="146">
        <f>+'Therm Sales Master'!N148</f>
        <v>28966911</v>
      </c>
      <c r="M29" s="147">
        <f>+'Therm Sales Master'!O148</f>
        <v>9874110</v>
      </c>
      <c r="N29" s="147">
        <f>+'Therm Sales Master'!P148</f>
        <v>5180231</v>
      </c>
      <c r="O29" s="147">
        <f>+'Therm Sales Master'!Q148</f>
        <v>1984278</v>
      </c>
      <c r="P29" s="148">
        <f>+'Therm Sales Master'!R148</f>
        <v>0</v>
      </c>
      <c r="R29" s="147">
        <f t="shared" si="4"/>
        <v>55089338</v>
      </c>
    </row>
    <row r="30" spans="1:19" hidden="1" x14ac:dyDescent="0.2">
      <c r="A30" s="145">
        <v>44074</v>
      </c>
      <c r="B30" s="146">
        <f>+'Therm Sales Master'!B149</f>
        <v>2732363</v>
      </c>
      <c r="C30" s="147">
        <f>+'Therm Sales Master'!D149</f>
        <v>0</v>
      </c>
      <c r="D30" s="147">
        <f>+'Therm Sales Master'!E149</f>
        <v>497342</v>
      </c>
      <c r="E30" s="148">
        <f>+'Therm Sales Master'!F149</f>
        <v>298740</v>
      </c>
      <c r="F30" s="147">
        <f>+'Therm Sales Master'!G149</f>
        <v>816</v>
      </c>
      <c r="G30" s="147">
        <f>+'Therm Sales Master'!H149</f>
        <v>2165794</v>
      </c>
      <c r="H30" s="148">
        <f>+'Therm Sales Master'!J149</f>
        <v>956939</v>
      </c>
      <c r="I30" s="147">
        <f>+'Therm Sales Master'!K149</f>
        <v>0</v>
      </c>
      <c r="J30" s="148">
        <f>+'Therm Sales Master'!L149</f>
        <v>0</v>
      </c>
      <c r="K30" s="146">
        <f>+'Therm Sales Master'!M149</f>
        <v>100500</v>
      </c>
      <c r="L30" s="146">
        <f>+'Therm Sales Master'!N149</f>
        <v>32340707</v>
      </c>
      <c r="M30" s="147">
        <f>+'Therm Sales Master'!O149</f>
        <v>13157147</v>
      </c>
      <c r="N30" s="147">
        <f>+'Therm Sales Master'!P149</f>
        <v>10278160</v>
      </c>
      <c r="O30" s="147">
        <f>+'Therm Sales Master'!Q149</f>
        <v>4334957</v>
      </c>
      <c r="P30" s="148">
        <f>+'Therm Sales Master'!R149</f>
        <v>0</v>
      </c>
      <c r="R30" s="147">
        <f t="shared" si="4"/>
        <v>66863465</v>
      </c>
    </row>
    <row r="31" spans="1:19" hidden="1" x14ac:dyDescent="0.2">
      <c r="A31" s="145">
        <v>44104</v>
      </c>
      <c r="B31" s="146">
        <f>+'Therm Sales Master'!B150</f>
        <v>2948480</v>
      </c>
      <c r="C31" s="147">
        <f>+'Therm Sales Master'!D150</f>
        <v>0</v>
      </c>
      <c r="D31" s="147">
        <f>+'Therm Sales Master'!E150</f>
        <v>620797</v>
      </c>
      <c r="E31" s="148">
        <f>+'Therm Sales Master'!F150</f>
        <v>341767</v>
      </c>
      <c r="F31" s="147">
        <f>+'Therm Sales Master'!G150</f>
        <v>643</v>
      </c>
      <c r="G31" s="147">
        <f>+'Therm Sales Master'!H150</f>
        <v>2450387</v>
      </c>
      <c r="H31" s="148">
        <f>+'Therm Sales Master'!J150</f>
        <v>933559</v>
      </c>
      <c r="I31" s="147">
        <f>+'Therm Sales Master'!K150</f>
        <v>0</v>
      </c>
      <c r="J31" s="148">
        <f>+'Therm Sales Master'!L150</f>
        <v>0</v>
      </c>
      <c r="K31" s="146">
        <f>+'Therm Sales Master'!M150</f>
        <v>94559</v>
      </c>
      <c r="L31" s="146">
        <f>+'Therm Sales Master'!N150</f>
        <v>34240639</v>
      </c>
      <c r="M31" s="147">
        <f>+'Therm Sales Master'!O150</f>
        <v>14061705</v>
      </c>
      <c r="N31" s="147">
        <f>+'Therm Sales Master'!P150</f>
        <v>12575104</v>
      </c>
      <c r="O31" s="147">
        <f>+'Therm Sales Master'!Q150</f>
        <v>5435910</v>
      </c>
      <c r="P31" s="148">
        <f>+'Therm Sales Master'!R150</f>
        <v>0</v>
      </c>
      <c r="R31" s="147">
        <f t="shared" si="4"/>
        <v>73703550</v>
      </c>
    </row>
    <row r="32" spans="1:19" hidden="1" x14ac:dyDescent="0.2">
      <c r="A32" s="145">
        <v>44135</v>
      </c>
      <c r="B32" s="146">
        <f>+'Therm Sales Master'!B151</f>
        <v>4232461</v>
      </c>
      <c r="C32" s="147">
        <f>+'Therm Sales Master'!D151</f>
        <v>0</v>
      </c>
      <c r="D32" s="147">
        <f>+'Therm Sales Master'!E151</f>
        <v>1000739</v>
      </c>
      <c r="E32" s="148">
        <f>+'Therm Sales Master'!F151</f>
        <v>374010</v>
      </c>
      <c r="F32" s="147">
        <f>+'Therm Sales Master'!G151</f>
        <v>3290</v>
      </c>
      <c r="G32" s="147">
        <f>+'Therm Sales Master'!H151</f>
        <v>3183599</v>
      </c>
      <c r="H32" s="148">
        <f>+'Therm Sales Master'!J151</f>
        <v>506452</v>
      </c>
      <c r="I32" s="147">
        <f>+'Therm Sales Master'!K151</f>
        <v>0</v>
      </c>
      <c r="J32" s="148">
        <f>+'Therm Sales Master'!L151</f>
        <v>0</v>
      </c>
      <c r="K32" s="146">
        <f>+'Therm Sales Master'!M151</f>
        <v>178840</v>
      </c>
      <c r="L32" s="146">
        <f>+'Therm Sales Master'!N151</f>
        <v>36890125</v>
      </c>
      <c r="M32" s="147">
        <f>+'Therm Sales Master'!O151</f>
        <v>9459059</v>
      </c>
      <c r="N32" s="147">
        <f>+'Therm Sales Master'!P151</f>
        <v>8268305</v>
      </c>
      <c r="O32" s="147">
        <f>+'Therm Sales Master'!Q151</f>
        <v>1590604</v>
      </c>
      <c r="P32" s="148">
        <f>+'Therm Sales Master'!R151</f>
        <v>0</v>
      </c>
      <c r="R32" s="147">
        <f t="shared" si="4"/>
        <v>65687484</v>
      </c>
    </row>
    <row r="33" spans="1:19" hidden="1" x14ac:dyDescent="0.2">
      <c r="A33" s="145">
        <v>44165</v>
      </c>
      <c r="B33" s="146">
        <f>+'Therm Sales Master'!B152</f>
        <v>6886950</v>
      </c>
      <c r="C33" s="147">
        <f>+'Therm Sales Master'!D152</f>
        <v>0</v>
      </c>
      <c r="D33" s="147">
        <f>+'Therm Sales Master'!E152</f>
        <v>615235</v>
      </c>
      <c r="E33" s="148">
        <f>+'Therm Sales Master'!F152</f>
        <v>224068</v>
      </c>
      <c r="F33" s="147">
        <f>+'Therm Sales Master'!G152</f>
        <v>0</v>
      </c>
      <c r="G33" s="147">
        <f>+'Therm Sales Master'!H152</f>
        <v>4428383</v>
      </c>
      <c r="H33" s="148">
        <f>+'Therm Sales Master'!J152</f>
        <v>570674</v>
      </c>
      <c r="I33" s="147">
        <f>+'Therm Sales Master'!K152</f>
        <v>0</v>
      </c>
      <c r="J33" s="148">
        <f>+'Therm Sales Master'!L152</f>
        <v>0</v>
      </c>
      <c r="K33" s="146">
        <f>+'Therm Sales Master'!M152</f>
        <v>0</v>
      </c>
      <c r="L33" s="146">
        <f>+'Therm Sales Master'!N152</f>
        <v>-43037</v>
      </c>
      <c r="M33" s="147">
        <f>+'Therm Sales Master'!O152</f>
        <v>0</v>
      </c>
      <c r="N33" s="147">
        <f>+'Therm Sales Master'!P152</f>
        <v>0</v>
      </c>
      <c r="O33" s="147">
        <f>+'Therm Sales Master'!Q152</f>
        <v>0</v>
      </c>
      <c r="P33" s="148">
        <f>+'Therm Sales Master'!R152</f>
        <v>0</v>
      </c>
      <c r="R33" s="147">
        <f t="shared" si="4"/>
        <v>12682273</v>
      </c>
      <c r="S33" s="2" t="s">
        <v>45</v>
      </c>
    </row>
    <row r="34" spans="1:19" hidden="1" x14ac:dyDescent="0.2">
      <c r="A34" s="145">
        <v>44165</v>
      </c>
      <c r="B34" s="146">
        <f>+'Therm Sales Master'!B153</f>
        <v>3564962</v>
      </c>
      <c r="C34" s="147">
        <f>+'Therm Sales Master'!D153</f>
        <v>0</v>
      </c>
      <c r="D34" s="147">
        <f>+'Therm Sales Master'!E153</f>
        <v>255052</v>
      </c>
      <c r="E34" s="148">
        <f>+'Therm Sales Master'!F153</f>
        <v>108414</v>
      </c>
      <c r="F34" s="147">
        <f>+'Therm Sales Master'!G153</f>
        <v>5658</v>
      </c>
      <c r="G34" s="147">
        <f>+'Therm Sales Master'!H153</f>
        <v>2059842</v>
      </c>
      <c r="H34" s="148">
        <f>+'Therm Sales Master'!J153</f>
        <v>341335</v>
      </c>
      <c r="I34" s="147">
        <f>+'Therm Sales Master'!K153</f>
        <v>0</v>
      </c>
      <c r="J34" s="148">
        <f>+'Therm Sales Master'!L153</f>
        <v>0</v>
      </c>
      <c r="K34" s="146">
        <f>+'Therm Sales Master'!M153</f>
        <v>220318</v>
      </c>
      <c r="L34" s="146">
        <f>+'Therm Sales Master'!N153</f>
        <v>38203799</v>
      </c>
      <c r="M34" s="147">
        <f>+'Therm Sales Master'!O153</f>
        <v>7516479</v>
      </c>
      <c r="N34" s="147">
        <f>+'Therm Sales Master'!P153</f>
        <v>2419246</v>
      </c>
      <c r="O34" s="147">
        <f>+'Therm Sales Master'!Q153</f>
        <v>916410</v>
      </c>
      <c r="P34" s="148">
        <f>+'Therm Sales Master'!R153</f>
        <v>0</v>
      </c>
      <c r="R34" s="147">
        <f t="shared" ref="R34" si="5">SUM(B34:Q34)</f>
        <v>55611515</v>
      </c>
      <c r="S34" s="2" t="s">
        <v>46</v>
      </c>
    </row>
    <row r="35" spans="1:19" hidden="1" x14ac:dyDescent="0.2">
      <c r="A35" s="145">
        <v>44196</v>
      </c>
      <c r="B35" s="146">
        <f>+'Therm Sales Master'!B154</f>
        <v>18475354</v>
      </c>
      <c r="C35" s="147">
        <f>+'Therm Sales Master'!D154</f>
        <v>0</v>
      </c>
      <c r="D35" s="147">
        <f>+'Therm Sales Master'!E154</f>
        <v>1356324</v>
      </c>
      <c r="E35" s="148">
        <f>+'Therm Sales Master'!F154</f>
        <v>419977</v>
      </c>
      <c r="F35" s="147">
        <f>+'Therm Sales Master'!G154</f>
        <v>7535</v>
      </c>
      <c r="G35" s="147">
        <f>+'Therm Sales Master'!H154</f>
        <v>12051598</v>
      </c>
      <c r="H35" s="148">
        <f>+'Therm Sales Master'!J154</f>
        <v>1502233</v>
      </c>
      <c r="I35" s="147">
        <f>+'Therm Sales Master'!K154</f>
        <v>0</v>
      </c>
      <c r="J35" s="148">
        <f>+'Therm Sales Master'!L154</f>
        <v>0</v>
      </c>
      <c r="K35" s="146">
        <f>+'Therm Sales Master'!M154</f>
        <v>244469</v>
      </c>
      <c r="L35" s="146">
        <f>+'Therm Sales Master'!N154</f>
        <v>37243979</v>
      </c>
      <c r="M35" s="147">
        <f>+'Therm Sales Master'!O154</f>
        <v>13353201</v>
      </c>
      <c r="N35" s="147">
        <f>+'Therm Sales Master'!P154</f>
        <v>9176642</v>
      </c>
      <c r="O35" s="147">
        <f>+'Therm Sales Master'!Q154</f>
        <v>764453</v>
      </c>
      <c r="P35" s="148">
        <f>+'Therm Sales Master'!R154</f>
        <v>0</v>
      </c>
      <c r="R35" s="147">
        <f t="shared" si="4"/>
        <v>94595765</v>
      </c>
    </row>
    <row r="36" spans="1:19" hidden="1" x14ac:dyDescent="0.2">
      <c r="A36" s="145">
        <v>44227</v>
      </c>
      <c r="B36" s="146">
        <f>+'Therm Sales Master'!B155</f>
        <v>19685299</v>
      </c>
      <c r="C36" s="147">
        <f>+'Therm Sales Master'!D155</f>
        <v>0</v>
      </c>
      <c r="D36" s="147">
        <f>+'Therm Sales Master'!E155</f>
        <v>1264480</v>
      </c>
      <c r="E36" s="148">
        <f>+'Therm Sales Master'!F155</f>
        <v>431368</v>
      </c>
      <c r="F36" s="147">
        <f>+'Therm Sales Master'!G155</f>
        <v>12694</v>
      </c>
      <c r="G36" s="147">
        <f>+'Therm Sales Master'!H155</f>
        <v>12849986</v>
      </c>
      <c r="H36" s="148">
        <f>+'Therm Sales Master'!J155</f>
        <v>1460025</v>
      </c>
      <c r="I36" s="147">
        <f>+'Therm Sales Master'!K155</f>
        <v>0</v>
      </c>
      <c r="J36" s="148">
        <f>+'Therm Sales Master'!L155</f>
        <v>0</v>
      </c>
      <c r="K36" s="146">
        <f>+'Therm Sales Master'!M155</f>
        <v>248648</v>
      </c>
      <c r="L36" s="146">
        <f>+'Therm Sales Master'!N155</f>
        <v>39534451</v>
      </c>
      <c r="M36" s="147">
        <f>+'Therm Sales Master'!O155</f>
        <v>12333204</v>
      </c>
      <c r="N36" s="147">
        <f>+'Therm Sales Master'!P155</f>
        <v>5190781</v>
      </c>
      <c r="O36" s="147">
        <f>+'Therm Sales Master'!Q155</f>
        <v>252622</v>
      </c>
      <c r="P36" s="148">
        <f>+'Therm Sales Master'!R155</f>
        <v>0</v>
      </c>
      <c r="R36" s="147">
        <f t="shared" ref="R36:R45" si="6">SUM(B36:Q36)</f>
        <v>93263558</v>
      </c>
    </row>
    <row r="37" spans="1:19" hidden="1" x14ac:dyDescent="0.2">
      <c r="A37" s="145">
        <v>44255</v>
      </c>
      <c r="B37" s="146">
        <f>+'Therm Sales Master'!B156</f>
        <v>18599534</v>
      </c>
      <c r="C37" s="147">
        <f>+'Therm Sales Master'!D156</f>
        <v>0</v>
      </c>
      <c r="D37" s="147">
        <f>+'Therm Sales Master'!E156</f>
        <v>1226133</v>
      </c>
      <c r="E37" s="148">
        <f>+'Therm Sales Master'!F156</f>
        <v>372501</v>
      </c>
      <c r="F37" s="147">
        <f>+'Therm Sales Master'!G156</f>
        <v>7553</v>
      </c>
      <c r="G37" s="147">
        <f>+'Therm Sales Master'!H156</f>
        <v>12050270</v>
      </c>
      <c r="H37" s="148">
        <f>+'Therm Sales Master'!J156</f>
        <v>1413677</v>
      </c>
      <c r="I37" s="147">
        <f>+'Therm Sales Master'!K156</f>
        <v>0</v>
      </c>
      <c r="J37" s="148">
        <f>+'Therm Sales Master'!L156</f>
        <v>0</v>
      </c>
      <c r="K37" s="146">
        <f>+'Therm Sales Master'!M156</f>
        <v>239855</v>
      </c>
      <c r="L37" s="146">
        <f>+'Therm Sales Master'!N156</f>
        <v>36249518</v>
      </c>
      <c r="M37" s="147">
        <f>+'Therm Sales Master'!O156</f>
        <v>10471909</v>
      </c>
      <c r="N37" s="147">
        <f>+'Therm Sales Master'!P156</f>
        <v>5382227</v>
      </c>
      <c r="O37" s="147">
        <f>+'Therm Sales Master'!Q156</f>
        <v>982292</v>
      </c>
      <c r="P37" s="148">
        <f>+'Therm Sales Master'!R156</f>
        <v>0</v>
      </c>
      <c r="R37" s="147">
        <f t="shared" si="6"/>
        <v>86995469</v>
      </c>
    </row>
    <row r="38" spans="1:19" hidden="1" x14ac:dyDescent="0.2">
      <c r="A38" s="145">
        <v>44286</v>
      </c>
      <c r="B38" s="146">
        <f>+'Therm Sales Master'!B157</f>
        <v>19676756</v>
      </c>
      <c r="C38" s="147">
        <f>+'Therm Sales Master'!D157</f>
        <v>0</v>
      </c>
      <c r="D38" s="147">
        <f>+'Therm Sales Master'!E157</f>
        <v>1362750</v>
      </c>
      <c r="E38" s="148">
        <f>+'Therm Sales Master'!F157</f>
        <v>456093</v>
      </c>
      <c r="F38" s="147">
        <f>+'Therm Sales Master'!G157</f>
        <v>3998</v>
      </c>
      <c r="G38" s="147">
        <f>+'Therm Sales Master'!H157</f>
        <v>13158991</v>
      </c>
      <c r="H38" s="148">
        <f>+'Therm Sales Master'!J157</f>
        <v>1484437</v>
      </c>
      <c r="I38" s="147">
        <f>+'Therm Sales Master'!K157</f>
        <v>0</v>
      </c>
      <c r="J38" s="148">
        <f>+'Therm Sales Master'!L157</f>
        <v>0</v>
      </c>
      <c r="K38" s="146">
        <f>+'Therm Sales Master'!M157</f>
        <v>234583</v>
      </c>
      <c r="L38" s="146">
        <f>+'Therm Sales Master'!N157</f>
        <v>38737982</v>
      </c>
      <c r="M38" s="147">
        <f>+'Therm Sales Master'!O157</f>
        <v>15050505</v>
      </c>
      <c r="N38" s="147">
        <f>+'Therm Sales Master'!P157</f>
        <v>10973891</v>
      </c>
      <c r="O38" s="147">
        <f>+'Therm Sales Master'!Q157</f>
        <v>2069033</v>
      </c>
      <c r="P38" s="148">
        <f>+'Therm Sales Master'!R157</f>
        <v>0</v>
      </c>
      <c r="R38" s="147">
        <f t="shared" si="6"/>
        <v>103209019</v>
      </c>
    </row>
    <row r="39" spans="1:19" hidden="1" x14ac:dyDescent="0.2">
      <c r="A39" s="145">
        <v>44316</v>
      </c>
      <c r="B39" s="146">
        <f>+'Therm Sales Master'!B158</f>
        <v>13567783</v>
      </c>
      <c r="C39" s="147">
        <f>+'Therm Sales Master'!D158</f>
        <v>0</v>
      </c>
      <c r="D39" s="147">
        <f>+'Therm Sales Master'!E158</f>
        <v>1066951</v>
      </c>
      <c r="E39" s="148">
        <f>+'Therm Sales Master'!F158</f>
        <v>426217</v>
      </c>
      <c r="F39" s="147">
        <f>+'Therm Sales Master'!G158</f>
        <v>2200</v>
      </c>
      <c r="G39" s="147">
        <f>+'Therm Sales Master'!H158</f>
        <v>9154067</v>
      </c>
      <c r="H39" s="148">
        <f>+'Therm Sales Master'!J158</f>
        <v>1134637</v>
      </c>
      <c r="I39" s="147">
        <f>+'Therm Sales Master'!K158</f>
        <v>0</v>
      </c>
      <c r="J39" s="148">
        <f>+'Therm Sales Master'!L158</f>
        <v>0</v>
      </c>
      <c r="K39" s="146">
        <f>+'Therm Sales Master'!M158</f>
        <v>180576</v>
      </c>
      <c r="L39" s="146">
        <f>+'Therm Sales Master'!N158</f>
        <v>36210898</v>
      </c>
      <c r="M39" s="147">
        <f>+'Therm Sales Master'!O158</f>
        <v>6562711</v>
      </c>
      <c r="N39" s="147">
        <f>+'Therm Sales Master'!P158</f>
        <v>12896888</v>
      </c>
      <c r="O39" s="147">
        <f>+'Therm Sales Master'!Q158</f>
        <v>8378207</v>
      </c>
      <c r="P39" s="148">
        <f>+'Therm Sales Master'!R158</f>
        <v>0</v>
      </c>
      <c r="R39" s="147">
        <f t="shared" si="6"/>
        <v>89581135</v>
      </c>
    </row>
    <row r="40" spans="1:19" hidden="1" x14ac:dyDescent="0.2">
      <c r="A40" s="145">
        <v>44347</v>
      </c>
      <c r="B40" s="146">
        <f>+'Therm Sales Master'!B159</f>
        <v>6623364</v>
      </c>
      <c r="C40" s="147">
        <f>+'Therm Sales Master'!D159</f>
        <v>0</v>
      </c>
      <c r="D40" s="147">
        <f>+'Therm Sales Master'!E159</f>
        <v>680086</v>
      </c>
      <c r="E40" s="148">
        <f>+'Therm Sales Master'!F159</f>
        <v>286219</v>
      </c>
      <c r="F40" s="147">
        <f>+'Therm Sales Master'!G159</f>
        <v>3602</v>
      </c>
      <c r="G40" s="147">
        <f>+'Therm Sales Master'!H159</f>
        <v>4930955</v>
      </c>
      <c r="H40" s="148">
        <f>+'Therm Sales Master'!J159</f>
        <v>641375</v>
      </c>
      <c r="I40" s="147">
        <f>+'Therm Sales Master'!K159</f>
        <v>0</v>
      </c>
      <c r="J40" s="148">
        <f>+'Therm Sales Master'!L159</f>
        <v>0</v>
      </c>
      <c r="K40" s="146">
        <f>+'Therm Sales Master'!M159</f>
        <v>143789</v>
      </c>
      <c r="L40" s="146">
        <f>+'Therm Sales Master'!N159</f>
        <v>34143279</v>
      </c>
      <c r="M40" s="147">
        <f>+'Therm Sales Master'!O159</f>
        <v>364</v>
      </c>
      <c r="N40" s="147">
        <f>+'Therm Sales Master'!P159</f>
        <v>5871337</v>
      </c>
      <c r="O40" s="147">
        <f>+'Therm Sales Master'!Q159</f>
        <v>2903752</v>
      </c>
      <c r="P40" s="148">
        <f>+'Therm Sales Master'!R159</f>
        <v>0</v>
      </c>
      <c r="R40" s="147">
        <f t="shared" si="6"/>
        <v>56228122</v>
      </c>
    </row>
    <row r="41" spans="1:19" hidden="1" x14ac:dyDescent="0.2">
      <c r="A41" s="145">
        <v>44377</v>
      </c>
      <c r="B41" s="146">
        <f>+'Therm Sales Master'!B160</f>
        <v>5165480</v>
      </c>
      <c r="C41" s="147">
        <f>+'Therm Sales Master'!D160</f>
        <v>0</v>
      </c>
      <c r="D41" s="147">
        <f>+'Therm Sales Master'!E160</f>
        <v>585095</v>
      </c>
      <c r="E41" s="148">
        <f>+'Therm Sales Master'!F160</f>
        <v>448138</v>
      </c>
      <c r="F41" s="147">
        <f>+'Therm Sales Master'!G160</f>
        <v>1512</v>
      </c>
      <c r="G41" s="147">
        <f>+'Therm Sales Master'!H160</f>
        <v>4017478</v>
      </c>
      <c r="H41" s="148">
        <f>+'Therm Sales Master'!J160</f>
        <v>510200</v>
      </c>
      <c r="I41" s="147">
        <f>+'Therm Sales Master'!K160</f>
        <v>0</v>
      </c>
      <c r="J41" s="148">
        <f>+'Therm Sales Master'!L160</f>
        <v>0</v>
      </c>
      <c r="K41" s="146">
        <f>+'Therm Sales Master'!M160</f>
        <v>104510</v>
      </c>
      <c r="L41" s="146">
        <f>+'Therm Sales Master'!N160</f>
        <v>32699223</v>
      </c>
      <c r="M41" s="147">
        <f>+'Therm Sales Master'!O160</f>
        <v>10580854</v>
      </c>
      <c r="N41" s="147">
        <f>+'Therm Sales Master'!P160</f>
        <v>9297912</v>
      </c>
      <c r="O41" s="147">
        <f>+'Therm Sales Master'!Q160</f>
        <v>5368620</v>
      </c>
      <c r="P41" s="148">
        <f>+'Therm Sales Master'!R160</f>
        <v>0</v>
      </c>
      <c r="R41" s="147">
        <f t="shared" si="6"/>
        <v>68779022</v>
      </c>
    </row>
    <row r="42" spans="1:19" hidden="1" x14ac:dyDescent="0.2">
      <c r="A42" s="145">
        <v>44408</v>
      </c>
      <c r="B42" s="146">
        <f>+'Therm Sales Master'!B161</f>
        <v>3043741</v>
      </c>
      <c r="C42" s="147">
        <f>+'Therm Sales Master'!D161</f>
        <v>0</v>
      </c>
      <c r="D42" s="147">
        <f>+'Therm Sales Master'!E161</f>
        <v>496382</v>
      </c>
      <c r="E42" s="148">
        <f>+'Therm Sales Master'!F161</f>
        <v>260037</v>
      </c>
      <c r="F42" s="147">
        <f>+'Therm Sales Master'!G161</f>
        <v>1203</v>
      </c>
      <c r="G42" s="147">
        <f>+'Therm Sales Master'!H161</f>
        <v>2731524</v>
      </c>
      <c r="H42" s="148">
        <f>+'Therm Sales Master'!J161</f>
        <v>333326</v>
      </c>
      <c r="I42" s="147">
        <f>+'Therm Sales Master'!K161</f>
        <v>0</v>
      </c>
      <c r="J42" s="148">
        <f>+'Therm Sales Master'!L161</f>
        <v>0</v>
      </c>
      <c r="K42" s="146">
        <f>+'Therm Sales Master'!M161</f>
        <v>88811</v>
      </c>
      <c r="L42" s="146">
        <f>+'Therm Sales Master'!N161</f>
        <v>29641199</v>
      </c>
      <c r="M42" s="147">
        <f>+'Therm Sales Master'!O161</f>
        <v>14701743</v>
      </c>
      <c r="N42" s="147">
        <f>+'Therm Sales Master'!P161</f>
        <v>12217042</v>
      </c>
      <c r="O42" s="147">
        <f>+'Therm Sales Master'!Q161</f>
        <v>8620267</v>
      </c>
      <c r="P42" s="148">
        <f>+'Therm Sales Master'!R161</f>
        <v>0</v>
      </c>
      <c r="R42" s="147">
        <f t="shared" si="6"/>
        <v>72135275</v>
      </c>
    </row>
    <row r="43" spans="1:19" hidden="1" x14ac:dyDescent="0.2">
      <c r="A43" s="145">
        <v>44439</v>
      </c>
      <c r="B43" s="146">
        <f>+'Therm Sales Master'!B162</f>
        <v>2658664</v>
      </c>
      <c r="C43" s="147">
        <f>+'Therm Sales Master'!D162</f>
        <v>0</v>
      </c>
      <c r="D43" s="147">
        <f>+'Therm Sales Master'!E162</f>
        <v>465585</v>
      </c>
      <c r="E43" s="148">
        <f>+'Therm Sales Master'!F162</f>
        <v>315534</v>
      </c>
      <c r="F43" s="147">
        <f>+'Therm Sales Master'!G162</f>
        <v>1834</v>
      </c>
      <c r="G43" s="147">
        <f>+'Therm Sales Master'!H162</f>
        <v>2572912</v>
      </c>
      <c r="H43" s="148">
        <f>+'Therm Sales Master'!J162</f>
        <v>304207</v>
      </c>
      <c r="I43" s="147">
        <f>+'Therm Sales Master'!K162</f>
        <v>0</v>
      </c>
      <c r="J43" s="148">
        <f>+'Therm Sales Master'!L162</f>
        <v>0</v>
      </c>
      <c r="K43" s="146">
        <f>+'Therm Sales Master'!M162</f>
        <v>103033</v>
      </c>
      <c r="L43" s="146">
        <f>+'Therm Sales Master'!N162</f>
        <v>30352096</v>
      </c>
      <c r="M43" s="147">
        <f>+'Therm Sales Master'!O162</f>
        <v>14849398</v>
      </c>
      <c r="N43" s="147">
        <f>+'Therm Sales Master'!P162</f>
        <v>12371540</v>
      </c>
      <c r="O43" s="147">
        <f>+'Therm Sales Master'!Q162</f>
        <v>6769382</v>
      </c>
      <c r="P43" s="148">
        <f>+'Therm Sales Master'!R162</f>
        <v>0</v>
      </c>
      <c r="R43" s="147">
        <f t="shared" si="6"/>
        <v>70764185</v>
      </c>
    </row>
    <row r="44" spans="1:19" hidden="1" x14ac:dyDescent="0.2">
      <c r="A44" s="145">
        <v>44469</v>
      </c>
      <c r="B44" s="146">
        <f>+'Therm Sales Master'!B163</f>
        <v>3024586</v>
      </c>
      <c r="C44" s="147">
        <f>+'Therm Sales Master'!D163</f>
        <v>0</v>
      </c>
      <c r="D44" s="147">
        <f>+'Therm Sales Master'!E163</f>
        <v>585259</v>
      </c>
      <c r="E44" s="148">
        <f>+'Therm Sales Master'!F163</f>
        <v>292711</v>
      </c>
      <c r="F44" s="147">
        <f>+'Therm Sales Master'!G163</f>
        <v>2215</v>
      </c>
      <c r="G44" s="147">
        <f>+'Therm Sales Master'!H163</f>
        <v>2784423</v>
      </c>
      <c r="H44" s="148">
        <f>+'Therm Sales Master'!J163</f>
        <v>323275</v>
      </c>
      <c r="I44" s="147">
        <f>+'Therm Sales Master'!K163</f>
        <v>0</v>
      </c>
      <c r="J44" s="148">
        <f>+'Therm Sales Master'!L163</f>
        <v>0</v>
      </c>
      <c r="K44" s="146">
        <f>+'Therm Sales Master'!M163</f>
        <v>127498</v>
      </c>
      <c r="L44" s="146">
        <f>+'Therm Sales Master'!N163</f>
        <v>32241556</v>
      </c>
      <c r="M44" s="147">
        <f>+'Therm Sales Master'!O163</f>
        <v>13988315</v>
      </c>
      <c r="N44" s="147">
        <f>+'Therm Sales Master'!P163</f>
        <v>13923327</v>
      </c>
      <c r="O44" s="147">
        <f>+'Therm Sales Master'!Q163</f>
        <v>4570873</v>
      </c>
      <c r="P44" s="148">
        <f>+'Therm Sales Master'!R163</f>
        <v>0</v>
      </c>
      <c r="R44" s="147">
        <f t="shared" si="6"/>
        <v>71864038</v>
      </c>
    </row>
    <row r="45" spans="1:19" hidden="1" x14ac:dyDescent="0.2">
      <c r="A45" s="145">
        <v>44500</v>
      </c>
      <c r="B45" s="146">
        <f>+'Therm Sales Master'!B164</f>
        <v>5302722</v>
      </c>
      <c r="C45" s="147">
        <f>+'Therm Sales Master'!D164</f>
        <v>0</v>
      </c>
      <c r="D45" s="147">
        <f>+'Therm Sales Master'!E164</f>
        <v>1219426</v>
      </c>
      <c r="E45" s="148">
        <f>+'Therm Sales Master'!F164</f>
        <v>334722</v>
      </c>
      <c r="F45" s="147">
        <f>+'Therm Sales Master'!G164</f>
        <v>3066</v>
      </c>
      <c r="G45" s="147">
        <f>+'Therm Sales Master'!H164</f>
        <v>3968867</v>
      </c>
      <c r="H45" s="148">
        <f>+'Therm Sales Master'!J164</f>
        <v>529394</v>
      </c>
      <c r="I45" s="147">
        <f>+'Therm Sales Master'!K164</f>
        <v>0</v>
      </c>
      <c r="J45" s="148">
        <f>+'Therm Sales Master'!L164</f>
        <v>0</v>
      </c>
      <c r="K45" s="146">
        <f>+'Therm Sales Master'!M164</f>
        <v>188282</v>
      </c>
      <c r="L45" s="146">
        <f>+'Therm Sales Master'!N164</f>
        <v>36147853</v>
      </c>
      <c r="M45" s="147">
        <f>+'Therm Sales Master'!O164</f>
        <v>10167896</v>
      </c>
      <c r="N45" s="147">
        <f>+'Therm Sales Master'!P164</f>
        <v>10295353</v>
      </c>
      <c r="O45" s="147">
        <f>+'Therm Sales Master'!Q164</f>
        <v>4181139</v>
      </c>
      <c r="P45" s="148">
        <f>+'Therm Sales Master'!R164</f>
        <v>0</v>
      </c>
      <c r="R45" s="147">
        <f t="shared" si="6"/>
        <v>72338720</v>
      </c>
    </row>
    <row r="46" spans="1:19" x14ac:dyDescent="0.2">
      <c r="A46" s="145">
        <v>44530</v>
      </c>
      <c r="B46" s="146">
        <f>+'Therm Sales Master'!B165</f>
        <v>6875152</v>
      </c>
      <c r="C46" s="147">
        <f>+'Therm Sales Master'!D165</f>
        <v>0</v>
      </c>
      <c r="D46" s="147">
        <f>+'Therm Sales Master'!E165</f>
        <v>687044</v>
      </c>
      <c r="E46" s="148">
        <f>+'Therm Sales Master'!F165</f>
        <v>274192</v>
      </c>
      <c r="F46" s="147">
        <f>+'Therm Sales Master'!G165</f>
        <v>0</v>
      </c>
      <c r="G46" s="147">
        <f>+'Therm Sales Master'!H165</f>
        <v>4648667</v>
      </c>
      <c r="H46" s="148">
        <f>+'Therm Sales Master'!J165</f>
        <v>554223</v>
      </c>
      <c r="I46" s="147">
        <f>+'Therm Sales Master'!K165</f>
        <v>0</v>
      </c>
      <c r="J46" s="148">
        <f>+'Therm Sales Master'!L165</f>
        <v>0</v>
      </c>
      <c r="K46" s="146">
        <f>+'Therm Sales Master'!M165</f>
        <v>0</v>
      </c>
      <c r="L46" s="146">
        <f>+'Therm Sales Master'!N165</f>
        <v>0</v>
      </c>
      <c r="M46" s="147">
        <f>+'Therm Sales Master'!O165</f>
        <v>0</v>
      </c>
      <c r="N46" s="147">
        <f>+'Therm Sales Master'!P165</f>
        <v>0</v>
      </c>
      <c r="O46" s="147">
        <f>+'Therm Sales Master'!Q165</f>
        <v>305909</v>
      </c>
      <c r="P46" s="148">
        <f>+'Therm Sales Master'!R165</f>
        <v>0</v>
      </c>
      <c r="R46" s="147">
        <f t="shared" ref="R46:R57" si="7">SUM(B46:Q46)</f>
        <v>13345187</v>
      </c>
    </row>
    <row r="47" spans="1:19" x14ac:dyDescent="0.2">
      <c r="A47" s="145">
        <v>44530</v>
      </c>
      <c r="B47" s="146">
        <f>+'Therm Sales Master'!B166</f>
        <v>3055417</v>
      </c>
      <c r="C47" s="147">
        <f>+'Therm Sales Master'!D166</f>
        <v>0</v>
      </c>
      <c r="D47" s="147">
        <f>+'Therm Sales Master'!E166</f>
        <v>241794</v>
      </c>
      <c r="E47" s="148">
        <f>+'Therm Sales Master'!F166</f>
        <v>98046</v>
      </c>
      <c r="F47" s="147">
        <f>+'Therm Sales Master'!G166</f>
        <v>5052</v>
      </c>
      <c r="G47" s="147">
        <f>+'Therm Sales Master'!H166</f>
        <v>1834948</v>
      </c>
      <c r="H47" s="148">
        <f>+'Therm Sales Master'!J166</f>
        <v>314142</v>
      </c>
      <c r="I47" s="147">
        <f>+'Therm Sales Master'!K166</f>
        <v>0</v>
      </c>
      <c r="J47" s="148">
        <f>+'Therm Sales Master'!L166</f>
        <v>0</v>
      </c>
      <c r="K47" s="146">
        <f>+'Therm Sales Master'!M166</f>
        <v>215369</v>
      </c>
      <c r="L47" s="146">
        <f>+'Therm Sales Master'!N166</f>
        <v>34679208</v>
      </c>
      <c r="M47" s="147">
        <f>+'Therm Sales Master'!O166</f>
        <v>13522374</v>
      </c>
      <c r="N47" s="147">
        <f>+'Therm Sales Master'!P166</f>
        <v>7960245</v>
      </c>
      <c r="O47" s="147">
        <f>+'Therm Sales Master'!Q166</f>
        <v>449463</v>
      </c>
      <c r="P47" s="148">
        <f>+'Therm Sales Master'!R166</f>
        <v>0</v>
      </c>
      <c r="R47" s="147">
        <f t="shared" si="7"/>
        <v>62376058</v>
      </c>
    </row>
    <row r="48" spans="1:19" x14ac:dyDescent="0.2">
      <c r="A48" s="145">
        <v>44561</v>
      </c>
      <c r="B48" s="146">
        <f>+'Therm Sales Master'!B167</f>
        <v>16399782</v>
      </c>
      <c r="C48" s="147">
        <f>+'Therm Sales Master'!D167</f>
        <v>0</v>
      </c>
      <c r="D48" s="147">
        <f>+'Therm Sales Master'!E167</f>
        <v>1371971</v>
      </c>
      <c r="E48" s="148">
        <f>+'Therm Sales Master'!F167</f>
        <v>456838</v>
      </c>
      <c r="F48" s="147">
        <f>+'Therm Sales Master'!G167</f>
        <v>14032</v>
      </c>
      <c r="G48" s="147">
        <f>+'Therm Sales Master'!H167</f>
        <v>10769619</v>
      </c>
      <c r="H48" s="148">
        <f>+'Therm Sales Master'!J167</f>
        <v>1248673</v>
      </c>
      <c r="I48" s="147">
        <f>+'Therm Sales Master'!K167</f>
        <v>0</v>
      </c>
      <c r="J48" s="148">
        <f>+'Therm Sales Master'!L167</f>
        <v>0</v>
      </c>
      <c r="K48" s="146">
        <f>+'Therm Sales Master'!M167</f>
        <v>271190</v>
      </c>
      <c r="L48" s="146">
        <f>+'Therm Sales Master'!N167</f>
        <v>33971503</v>
      </c>
      <c r="M48" s="147">
        <f>+'Therm Sales Master'!O167</f>
        <v>10372937</v>
      </c>
      <c r="N48" s="147">
        <f>+'Therm Sales Master'!P167</f>
        <v>8559438</v>
      </c>
      <c r="O48" s="147">
        <f>+'Therm Sales Master'!Q167</f>
        <v>490739</v>
      </c>
      <c r="P48" s="148">
        <f>+'Therm Sales Master'!R167</f>
        <v>0</v>
      </c>
      <c r="R48" s="147">
        <f t="shared" si="7"/>
        <v>83926722</v>
      </c>
    </row>
    <row r="49" spans="1:21" x14ac:dyDescent="0.2">
      <c r="A49" s="145">
        <v>44592</v>
      </c>
      <c r="B49" s="146">
        <f>+'Therm Sales Master'!B168</f>
        <v>25738243</v>
      </c>
      <c r="C49" s="147">
        <f>+'Therm Sales Master'!D168</f>
        <v>0</v>
      </c>
      <c r="D49" s="147">
        <f>+'Therm Sales Master'!E168</f>
        <v>1704248</v>
      </c>
      <c r="E49" s="148">
        <f>+'Therm Sales Master'!F168</f>
        <v>503777</v>
      </c>
      <c r="F49" s="147">
        <f>+'Therm Sales Master'!G168</f>
        <v>12713</v>
      </c>
      <c r="G49" s="147">
        <f>+'Therm Sales Master'!H168</f>
        <v>17429567</v>
      </c>
      <c r="H49" s="148">
        <f>+'Therm Sales Master'!J168</f>
        <v>1933704</v>
      </c>
      <c r="I49" s="147">
        <f>+'Therm Sales Master'!K168</f>
        <v>0</v>
      </c>
      <c r="J49" s="148">
        <f>+'Therm Sales Master'!L168</f>
        <v>0</v>
      </c>
      <c r="K49" s="146">
        <f>+'Therm Sales Master'!M168</f>
        <v>257267</v>
      </c>
      <c r="L49" s="146">
        <f>+'Therm Sales Master'!N168</f>
        <v>39152740</v>
      </c>
      <c r="M49" s="147">
        <f>+'Therm Sales Master'!O168</f>
        <v>2783061</v>
      </c>
      <c r="N49" s="147">
        <f>+'Therm Sales Master'!P168</f>
        <v>5418332</v>
      </c>
      <c r="O49" s="147">
        <f>+'Therm Sales Master'!Q168</f>
        <v>479370</v>
      </c>
      <c r="P49" s="148">
        <f>+'Therm Sales Master'!R168</f>
        <v>0</v>
      </c>
      <c r="R49" s="147">
        <f t="shared" si="7"/>
        <v>95413022</v>
      </c>
    </row>
    <row r="50" spans="1:21" x14ac:dyDescent="0.2">
      <c r="A50" s="145">
        <v>44620</v>
      </c>
      <c r="B50" s="146">
        <f>+'Therm Sales Master'!B169</f>
        <v>19530273</v>
      </c>
      <c r="C50" s="147">
        <f>+'Therm Sales Master'!D169</f>
        <v>0</v>
      </c>
      <c r="D50" s="147">
        <f>+'Therm Sales Master'!E169</f>
        <v>1365177</v>
      </c>
      <c r="E50" s="148">
        <f>+'Therm Sales Master'!F169</f>
        <v>438477</v>
      </c>
      <c r="F50" s="147">
        <f>+'Therm Sales Master'!G169</f>
        <v>6643</v>
      </c>
      <c r="G50" s="147">
        <f>+'Therm Sales Master'!H169</f>
        <v>13856753</v>
      </c>
      <c r="H50" s="148">
        <f>+'Therm Sales Master'!J169</f>
        <v>1383449</v>
      </c>
      <c r="I50" s="147">
        <f>+'Therm Sales Master'!K169</f>
        <v>0</v>
      </c>
      <c r="J50" s="148">
        <f>+'Therm Sales Master'!L169</f>
        <v>0</v>
      </c>
      <c r="K50" s="146">
        <f>+'Therm Sales Master'!M169</f>
        <v>227538</v>
      </c>
      <c r="L50" s="146">
        <f>+'Therm Sales Master'!N169</f>
        <v>35167746</v>
      </c>
      <c r="M50" s="147">
        <f>+'Therm Sales Master'!O169</f>
        <v>8980650</v>
      </c>
      <c r="N50" s="147">
        <f>+'Therm Sales Master'!P169</f>
        <v>3610543</v>
      </c>
      <c r="O50" s="147">
        <f>+'Therm Sales Master'!Q169</f>
        <v>449992</v>
      </c>
      <c r="P50" s="148">
        <f>+'Therm Sales Master'!R169</f>
        <v>0</v>
      </c>
      <c r="R50" s="147">
        <f t="shared" si="7"/>
        <v>85017241</v>
      </c>
    </row>
    <row r="51" spans="1:21" x14ac:dyDescent="0.2">
      <c r="A51" s="145">
        <v>44651</v>
      </c>
      <c r="B51" s="146">
        <f>+'Therm Sales Master'!B170</f>
        <v>18863108</v>
      </c>
      <c r="C51" s="147">
        <f>+'Therm Sales Master'!D170</f>
        <v>0</v>
      </c>
      <c r="D51" s="147">
        <f>+'Therm Sales Master'!E170</f>
        <v>1544890</v>
      </c>
      <c r="E51" s="148">
        <f>+'Therm Sales Master'!F170</f>
        <v>507616</v>
      </c>
      <c r="F51" s="147">
        <f>+'Therm Sales Master'!G170</f>
        <v>5669</v>
      </c>
      <c r="G51" s="147">
        <f>+'Therm Sales Master'!H170</f>
        <v>13353929</v>
      </c>
      <c r="H51" s="148">
        <f>+'Therm Sales Master'!J170</f>
        <v>1387408</v>
      </c>
      <c r="I51" s="147">
        <f>+'Therm Sales Master'!K170</f>
        <v>0</v>
      </c>
      <c r="J51" s="148">
        <f>+'Therm Sales Master'!L170</f>
        <v>0</v>
      </c>
      <c r="K51" s="146">
        <f>+'Therm Sales Master'!M170</f>
        <v>220931</v>
      </c>
      <c r="L51" s="146">
        <f>+'Therm Sales Master'!N170</f>
        <v>37545657</v>
      </c>
      <c r="M51" s="147">
        <f>+'Therm Sales Master'!O170</f>
        <v>10732336</v>
      </c>
      <c r="N51" s="147">
        <f>+'Therm Sales Master'!P170</f>
        <v>399625</v>
      </c>
      <c r="O51" s="147">
        <f>+'Therm Sales Master'!Q170</f>
        <v>162178</v>
      </c>
      <c r="P51" s="148">
        <f>+'Therm Sales Master'!R170</f>
        <v>0</v>
      </c>
      <c r="R51" s="147">
        <f t="shared" si="7"/>
        <v>84723347</v>
      </c>
    </row>
    <row r="52" spans="1:21" x14ac:dyDescent="0.2">
      <c r="A52" s="145">
        <v>44681</v>
      </c>
      <c r="B52" s="146">
        <f>+'Therm Sales Master'!B171</f>
        <v>12434900</v>
      </c>
      <c r="C52" s="147">
        <f>+'Therm Sales Master'!D171</f>
        <v>0</v>
      </c>
      <c r="D52" s="147">
        <f>+'Therm Sales Master'!E171</f>
        <v>1036159</v>
      </c>
      <c r="E52" s="148">
        <f>+'Therm Sales Master'!F171</f>
        <v>377750</v>
      </c>
      <c r="F52" s="147">
        <f>+'Therm Sales Master'!G171</f>
        <v>10961</v>
      </c>
      <c r="G52" s="147">
        <f>+'Therm Sales Master'!H171</f>
        <v>8644689</v>
      </c>
      <c r="H52" s="148">
        <f>+'Therm Sales Master'!J171</f>
        <v>982514</v>
      </c>
      <c r="I52" s="147">
        <f>+'Therm Sales Master'!K171</f>
        <v>0</v>
      </c>
      <c r="J52" s="148">
        <f>+'Therm Sales Master'!L171</f>
        <v>0</v>
      </c>
      <c r="K52" s="146">
        <f>+'Therm Sales Master'!M171</f>
        <v>211682</v>
      </c>
      <c r="L52" s="146">
        <f>+'Therm Sales Master'!N171</f>
        <v>37240011</v>
      </c>
      <c r="M52" s="147">
        <f>+'Therm Sales Master'!O171</f>
        <v>8681518</v>
      </c>
      <c r="N52" s="147">
        <f>+'Therm Sales Master'!P171</f>
        <v>0</v>
      </c>
      <c r="O52" s="147">
        <f>+'Therm Sales Master'!Q171</f>
        <v>4411828</v>
      </c>
      <c r="P52" s="148">
        <f>+'Therm Sales Master'!R171</f>
        <v>0</v>
      </c>
      <c r="R52" s="147">
        <f t="shared" si="7"/>
        <v>74032012</v>
      </c>
    </row>
    <row r="53" spans="1:21" x14ac:dyDescent="0.2">
      <c r="A53" s="145">
        <v>44712</v>
      </c>
      <c r="B53" s="146">
        <f>+'Therm Sales Master'!B172</f>
        <v>10496103</v>
      </c>
      <c r="C53" s="147">
        <f>+'Therm Sales Master'!D172</f>
        <v>0</v>
      </c>
      <c r="D53" s="147">
        <f>+'Therm Sales Master'!E172</f>
        <v>1008957</v>
      </c>
      <c r="E53" s="148">
        <f>+'Therm Sales Master'!F172</f>
        <v>328009</v>
      </c>
      <c r="F53" s="147">
        <f>+'Therm Sales Master'!G172</f>
        <v>5884</v>
      </c>
      <c r="G53" s="147">
        <f>+'Therm Sales Master'!H172</f>
        <v>7572813</v>
      </c>
      <c r="H53" s="148">
        <f>+'Therm Sales Master'!J172</f>
        <v>860586</v>
      </c>
      <c r="I53" s="147">
        <f>+'Therm Sales Master'!K172</f>
        <v>0</v>
      </c>
      <c r="J53" s="148">
        <f>+'Therm Sales Master'!L172</f>
        <v>0</v>
      </c>
      <c r="K53" s="146">
        <f>+'Therm Sales Master'!M172</f>
        <v>179840</v>
      </c>
      <c r="L53" s="146">
        <f>+'Therm Sales Master'!N172</f>
        <v>35254347</v>
      </c>
      <c r="M53" s="147">
        <f>+'Therm Sales Master'!O172</f>
        <v>6981169</v>
      </c>
      <c r="N53" s="147">
        <f>+'Therm Sales Master'!P172</f>
        <v>0</v>
      </c>
      <c r="O53" s="147">
        <f>+'Therm Sales Master'!Q172</f>
        <v>782753</v>
      </c>
      <c r="P53" s="148">
        <f>+'Therm Sales Master'!R172</f>
        <v>0</v>
      </c>
      <c r="R53" s="147">
        <f t="shared" si="7"/>
        <v>63470461</v>
      </c>
      <c r="U53" s="151"/>
    </row>
    <row r="54" spans="1:21" x14ac:dyDescent="0.2">
      <c r="A54" s="145">
        <v>44742</v>
      </c>
      <c r="B54" s="146">
        <f>+'Therm Sales Master'!B173</f>
        <v>6329476</v>
      </c>
      <c r="C54" s="147">
        <f>+'Therm Sales Master'!D173</f>
        <v>0</v>
      </c>
      <c r="D54" s="147">
        <f>+'Therm Sales Master'!E173</f>
        <v>757107</v>
      </c>
      <c r="E54" s="148">
        <f>+'Therm Sales Master'!F173</f>
        <v>387432</v>
      </c>
      <c r="F54" s="147">
        <f>+'Therm Sales Master'!G173</f>
        <v>2608</v>
      </c>
      <c r="G54" s="147">
        <f>+'Therm Sales Master'!H173</f>
        <v>4956571</v>
      </c>
      <c r="H54" s="148">
        <f>+'Therm Sales Master'!J173</f>
        <v>590255</v>
      </c>
      <c r="I54" s="147">
        <f>+'Therm Sales Master'!K173</f>
        <v>0</v>
      </c>
      <c r="J54" s="148">
        <f>+'Therm Sales Master'!L173</f>
        <v>0</v>
      </c>
      <c r="K54" s="146">
        <f>+'Therm Sales Master'!M173</f>
        <v>115112</v>
      </c>
      <c r="L54" s="146">
        <f>+'Therm Sales Master'!N173</f>
        <v>31295997</v>
      </c>
      <c r="M54" s="147">
        <f>+'Therm Sales Master'!O173</f>
        <v>1361467</v>
      </c>
      <c r="N54" s="147">
        <f>+'Therm Sales Master'!P173</f>
        <v>1217442</v>
      </c>
      <c r="O54" s="147">
        <f>+'Therm Sales Master'!Q173</f>
        <v>621285</v>
      </c>
      <c r="P54" s="148">
        <f>+'Therm Sales Master'!R173</f>
        <v>0</v>
      </c>
      <c r="R54" s="147">
        <f t="shared" si="7"/>
        <v>47634752</v>
      </c>
      <c r="U54" s="151"/>
    </row>
    <row r="55" spans="1:21" x14ac:dyDescent="0.2">
      <c r="A55" s="145">
        <v>44773</v>
      </c>
      <c r="B55" s="164">
        <f>+'Therm Sales Master'!B174</f>
        <v>4725200</v>
      </c>
      <c r="C55" s="147">
        <f>+'Therm Sales Master'!D174</f>
        <v>0</v>
      </c>
      <c r="D55" s="147">
        <f>+'Therm Sales Master'!E174</f>
        <v>510625</v>
      </c>
      <c r="E55" s="148">
        <f>+'Therm Sales Master'!F174</f>
        <v>380485</v>
      </c>
      <c r="F55" s="147">
        <f>+'Therm Sales Master'!G174</f>
        <v>1405</v>
      </c>
      <c r="G55" s="165">
        <f>+'Therm Sales Master'!H174</f>
        <v>4260295</v>
      </c>
      <c r="H55" s="148">
        <f>+'Therm Sales Master'!J174</f>
        <v>362939</v>
      </c>
      <c r="I55" s="147">
        <f>+'Therm Sales Master'!K174</f>
        <v>0</v>
      </c>
      <c r="J55" s="148">
        <f>+'Therm Sales Master'!L174</f>
        <v>0</v>
      </c>
      <c r="K55" s="146">
        <f>+'Therm Sales Master'!M174</f>
        <v>88882</v>
      </c>
      <c r="L55" s="146">
        <f>+'Therm Sales Master'!N174</f>
        <v>29720370</v>
      </c>
      <c r="M55" s="147">
        <f>+'Therm Sales Master'!O174</f>
        <v>13174665</v>
      </c>
      <c r="N55" s="147">
        <f>+'Therm Sales Master'!P174</f>
        <v>7356565</v>
      </c>
      <c r="O55" s="147">
        <f>+'Therm Sales Master'!Q174</f>
        <v>0</v>
      </c>
      <c r="P55" s="148">
        <f>+'Therm Sales Master'!R174</f>
        <v>0</v>
      </c>
      <c r="R55" s="147">
        <f t="shared" si="7"/>
        <v>60581431</v>
      </c>
      <c r="U55" s="151"/>
    </row>
    <row r="56" spans="1:21" x14ac:dyDescent="0.2">
      <c r="A56" s="145">
        <v>44804</v>
      </c>
      <c r="B56" s="164">
        <f>+'Therm Sales Master'!B175</f>
        <v>2930210</v>
      </c>
      <c r="C56" s="147">
        <f>+'Therm Sales Master'!D175</f>
        <v>0</v>
      </c>
      <c r="D56" s="147">
        <f>+'Therm Sales Master'!E175</f>
        <v>477547</v>
      </c>
      <c r="E56" s="148">
        <f>+'Therm Sales Master'!F175</f>
        <v>353311</v>
      </c>
      <c r="F56" s="147">
        <f>+'Therm Sales Master'!G175</f>
        <v>1532</v>
      </c>
      <c r="G56" s="165">
        <f>+'Therm Sales Master'!H175</f>
        <v>2963491</v>
      </c>
      <c r="H56" s="148">
        <f>+'Therm Sales Master'!J175</f>
        <v>333423</v>
      </c>
      <c r="I56" s="147">
        <f>+'Therm Sales Master'!K175</f>
        <v>0</v>
      </c>
      <c r="J56" s="148">
        <f>+'Therm Sales Master'!L175</f>
        <v>0</v>
      </c>
      <c r="K56" s="146">
        <f>+'Therm Sales Master'!M175</f>
        <v>101586</v>
      </c>
      <c r="L56" s="146">
        <f>+'Therm Sales Master'!N175</f>
        <v>33186006</v>
      </c>
      <c r="M56" s="147">
        <f>+'Therm Sales Master'!O175</f>
        <v>18226302</v>
      </c>
      <c r="N56" s="147">
        <f>+'Therm Sales Master'!P175</f>
        <v>10655816</v>
      </c>
      <c r="O56" s="147">
        <f>+'Therm Sales Master'!Q175</f>
        <v>0</v>
      </c>
      <c r="P56" s="148">
        <f>+'Therm Sales Master'!R175</f>
        <v>0</v>
      </c>
      <c r="R56" s="147">
        <f>SUM(B56:Q56)</f>
        <v>69229224</v>
      </c>
      <c r="U56" s="151"/>
    </row>
    <row r="57" spans="1:21" x14ac:dyDescent="0.2">
      <c r="A57" s="145">
        <v>44834</v>
      </c>
      <c r="B57" s="164">
        <f>+'Therm Sales Master'!B176</f>
        <v>-1269341</v>
      </c>
      <c r="C57" s="147">
        <f>+'Therm Sales Master'!D176</f>
        <v>0</v>
      </c>
      <c r="D57" s="147">
        <f>+'Therm Sales Master'!E176</f>
        <v>0</v>
      </c>
      <c r="E57" s="148">
        <f>+'Therm Sales Master'!F176</f>
        <v>0</v>
      </c>
      <c r="F57" s="147">
        <f>+'Therm Sales Master'!G176</f>
        <v>-1532</v>
      </c>
      <c r="G57" s="165">
        <f>+'Therm Sales Master'!H176</f>
        <v>-1362124</v>
      </c>
      <c r="H57" s="148">
        <f>+'Therm Sales Master'!J176</f>
        <v>-7349</v>
      </c>
      <c r="I57" s="147">
        <f>+'Therm Sales Master'!K176</f>
        <v>0</v>
      </c>
      <c r="J57" s="148">
        <f>+'Therm Sales Master'!L176</f>
        <v>0</v>
      </c>
      <c r="K57" s="146">
        <f>+'Therm Sales Master'!M176</f>
        <v>-101586</v>
      </c>
      <c r="L57" s="146">
        <f>+'Therm Sales Master'!N176</f>
        <v>-33186006</v>
      </c>
      <c r="M57" s="147">
        <f>+'Therm Sales Master'!O176</f>
        <v>-18226302</v>
      </c>
      <c r="N57" s="147">
        <f>+'Therm Sales Master'!P176</f>
        <v>-10655816</v>
      </c>
      <c r="O57" s="147">
        <f>+'Therm Sales Master'!Q176</f>
        <v>0</v>
      </c>
      <c r="P57" s="148">
        <f>+'Therm Sales Master'!R176</f>
        <v>0</v>
      </c>
      <c r="R57" s="147">
        <f t="shared" si="7"/>
        <v>-64810056</v>
      </c>
      <c r="U57" s="151"/>
    </row>
    <row r="58" spans="1:21" x14ac:dyDescent="0.2">
      <c r="A58" s="145">
        <v>44865</v>
      </c>
      <c r="B58" s="164">
        <f>+'Therm Sales Master'!B177</f>
        <v>0</v>
      </c>
      <c r="C58" s="147">
        <f>+'Therm Sales Master'!D177</f>
        <v>0</v>
      </c>
      <c r="D58" s="147">
        <f>+'Therm Sales Master'!E177</f>
        <v>0</v>
      </c>
      <c r="E58" s="148">
        <f>+'Therm Sales Master'!F177</f>
        <v>0</v>
      </c>
      <c r="F58" s="147">
        <f>+'Therm Sales Master'!G177</f>
        <v>0</v>
      </c>
      <c r="G58" s="165">
        <f>+'Therm Sales Master'!H177</f>
        <v>0</v>
      </c>
      <c r="H58" s="148">
        <f>+'Therm Sales Master'!J177</f>
        <v>0</v>
      </c>
      <c r="I58" s="147">
        <f>+'Therm Sales Master'!K177</f>
        <v>0</v>
      </c>
      <c r="J58" s="148">
        <f>+'Therm Sales Master'!L177</f>
        <v>0</v>
      </c>
      <c r="K58" s="146">
        <f>+'Therm Sales Master'!M177</f>
        <v>0</v>
      </c>
      <c r="L58" s="146">
        <f>+'Therm Sales Master'!N177</f>
        <v>0</v>
      </c>
      <c r="M58" s="147">
        <f>+'Therm Sales Master'!O177</f>
        <v>0</v>
      </c>
      <c r="N58" s="147">
        <f>+'Therm Sales Master'!P177</f>
        <v>0</v>
      </c>
      <c r="O58" s="147">
        <f>+'Therm Sales Master'!Q177</f>
        <v>0</v>
      </c>
      <c r="P58" s="148">
        <f>+'Therm Sales Master'!R177</f>
        <v>0</v>
      </c>
      <c r="R58" s="147">
        <f t="shared" ref="R58" si="8">SUM(B58:Q58)</f>
        <v>0</v>
      </c>
      <c r="U58" s="151"/>
    </row>
    <row r="59" spans="1:21" x14ac:dyDescent="0.2">
      <c r="A59" s="145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R59" s="149"/>
      <c r="U59" s="151"/>
    </row>
    <row r="60" spans="1:21" x14ac:dyDescent="0.2">
      <c r="B60" s="150"/>
      <c r="C60" s="150"/>
      <c r="D60" s="150"/>
      <c r="E60" s="150"/>
      <c r="F60" s="150"/>
      <c r="G60" s="150"/>
      <c r="H60" s="150"/>
      <c r="I60" s="150"/>
      <c r="J60" s="150"/>
      <c r="K60" s="25"/>
      <c r="L60" s="25"/>
      <c r="M60" s="25"/>
      <c r="N60" s="25"/>
      <c r="O60" s="25"/>
      <c r="P60" s="25"/>
      <c r="U60" s="151"/>
    </row>
    <row r="61" spans="1:21" x14ac:dyDescent="0.2">
      <c r="B61" s="139">
        <v>503</v>
      </c>
      <c r="C61" s="139" t="s">
        <v>38</v>
      </c>
      <c r="D61" s="139">
        <v>505</v>
      </c>
      <c r="E61" s="139">
        <v>511</v>
      </c>
      <c r="F61" s="139" t="s">
        <v>39</v>
      </c>
      <c r="G61" s="139">
        <v>504</v>
      </c>
      <c r="H61" s="139" t="s">
        <v>41</v>
      </c>
      <c r="I61" s="139" t="s">
        <v>38</v>
      </c>
      <c r="J61" s="139">
        <v>570</v>
      </c>
      <c r="K61" s="139">
        <v>570</v>
      </c>
      <c r="L61" s="142" t="s">
        <v>42</v>
      </c>
      <c r="M61" s="142">
        <v>6631</v>
      </c>
      <c r="N61" s="142">
        <v>6633</v>
      </c>
      <c r="O61" s="142">
        <v>6635</v>
      </c>
      <c r="P61" s="142">
        <v>916</v>
      </c>
      <c r="U61" s="151"/>
    </row>
    <row r="62" spans="1:21" hidden="1" x14ac:dyDescent="0.2">
      <c r="A62" s="145">
        <v>43343</v>
      </c>
      <c r="B62" s="151">
        <v>-4.8799999999999998E-3</v>
      </c>
      <c r="C62" s="151">
        <v>-2.3700000000000001E-3</v>
      </c>
      <c r="D62" s="151">
        <v>-2.3700000000000001E-3</v>
      </c>
      <c r="E62" s="151">
        <v>-1.9499999999999999E-3</v>
      </c>
      <c r="F62" s="151">
        <v>-3.7499999999999999E-3</v>
      </c>
      <c r="G62" s="151">
        <v>-3.7499999999999999E-3</v>
      </c>
      <c r="H62" s="151">
        <v>-1.9499999999999999E-3</v>
      </c>
      <c r="I62" s="151">
        <v>-2.3700000000000001E-3</v>
      </c>
      <c r="J62" s="151">
        <v>-7.2000000000000005E-4</v>
      </c>
      <c r="K62" s="151">
        <v>-7.2000000000000005E-4</v>
      </c>
      <c r="L62" s="152">
        <v>-4.2999999999999999E-4</v>
      </c>
      <c r="M62" s="152">
        <v>-4.2999999999999999E-4</v>
      </c>
      <c r="N62" s="152">
        <v>-4.2999999999999999E-4</v>
      </c>
      <c r="O62" s="152">
        <v>-4.2999999999999999E-4</v>
      </c>
      <c r="P62" s="152">
        <v>-4.2999999999999999E-4</v>
      </c>
    </row>
    <row r="63" spans="1:21" hidden="1" x14ac:dyDescent="0.2">
      <c r="A63" s="145">
        <v>43373</v>
      </c>
      <c r="B63" s="151">
        <v>-4.8799999999999998E-3</v>
      </c>
      <c r="C63" s="151">
        <v>-2.3700000000000001E-3</v>
      </c>
      <c r="D63" s="151">
        <v>-2.3700000000000001E-3</v>
      </c>
      <c r="E63" s="151">
        <v>-1.9499999999999999E-3</v>
      </c>
      <c r="F63" s="151">
        <v>-3.7499999999999999E-3</v>
      </c>
      <c r="G63" s="151">
        <v>-3.7499999999999999E-3</v>
      </c>
      <c r="H63" s="151">
        <v>-1.9499999999999999E-3</v>
      </c>
      <c r="I63" s="151">
        <v>-2.3700000000000001E-3</v>
      </c>
      <c r="J63" s="151">
        <v>-7.2000000000000005E-4</v>
      </c>
      <c r="K63" s="151">
        <v>-7.2000000000000005E-4</v>
      </c>
      <c r="L63" s="152">
        <v>-4.2999999999999999E-4</v>
      </c>
      <c r="M63" s="152">
        <v>-4.2999999999999999E-4</v>
      </c>
      <c r="N63" s="152">
        <v>-4.2999999999999999E-4</v>
      </c>
      <c r="O63" s="152">
        <v>-4.2999999999999999E-4</v>
      </c>
      <c r="P63" s="152">
        <v>-4.2999999999999999E-4</v>
      </c>
    </row>
    <row r="64" spans="1:21" hidden="1" x14ac:dyDescent="0.2">
      <c r="A64" s="145">
        <v>43404</v>
      </c>
      <c r="B64" s="151">
        <v>-4.8799999999999998E-3</v>
      </c>
      <c r="C64" s="151">
        <v>-2.3700000000000001E-3</v>
      </c>
      <c r="D64" s="151">
        <v>-2.3700000000000001E-3</v>
      </c>
      <c r="E64" s="151">
        <v>-1.9499999999999999E-3</v>
      </c>
      <c r="F64" s="151">
        <v>-3.7499999999999999E-3</v>
      </c>
      <c r="G64" s="151">
        <v>-3.7499999999999999E-3</v>
      </c>
      <c r="H64" s="151">
        <v>-1.9499999999999999E-3</v>
      </c>
      <c r="I64" s="151">
        <v>-2.3700000000000001E-3</v>
      </c>
      <c r="J64" s="151">
        <v>-7.2000000000000005E-4</v>
      </c>
      <c r="K64" s="151">
        <v>-7.2000000000000005E-4</v>
      </c>
      <c r="L64" s="152">
        <v>-4.2999999999999999E-4</v>
      </c>
      <c r="M64" s="152">
        <v>-4.2999999999999999E-4</v>
      </c>
      <c r="N64" s="152">
        <v>-4.2999999999999999E-4</v>
      </c>
      <c r="O64" s="152">
        <v>-4.2999999999999999E-4</v>
      </c>
      <c r="P64" s="152">
        <v>-4.2999999999999999E-4</v>
      </c>
    </row>
    <row r="65" spans="1:19" hidden="1" x14ac:dyDescent="0.2">
      <c r="A65" s="145">
        <v>43434</v>
      </c>
      <c r="B65" s="151">
        <v>-5.4099999999999999E-3</v>
      </c>
      <c r="C65" s="151">
        <v>-2.63E-3</v>
      </c>
      <c r="D65" s="151">
        <v>-2.63E-3</v>
      </c>
      <c r="E65" s="151">
        <v>-2.16E-3</v>
      </c>
      <c r="F65" s="151">
        <v>-4.1599999999999996E-3</v>
      </c>
      <c r="G65" s="151">
        <v>-4.1599999999999996E-3</v>
      </c>
      <c r="H65" s="151">
        <v>-2.16E-3</v>
      </c>
      <c r="I65" s="151">
        <v>-2.63E-3</v>
      </c>
      <c r="J65" s="151">
        <v>-8.0000000000000004E-4</v>
      </c>
      <c r="K65" s="151">
        <v>-8.0000000000000004E-4</v>
      </c>
      <c r="L65" s="152">
        <v>-4.8000000000000001E-4</v>
      </c>
      <c r="M65" s="152">
        <v>-4.8000000000000001E-4</v>
      </c>
      <c r="N65" s="152">
        <v>-4.8000000000000001E-4</v>
      </c>
      <c r="O65" s="152">
        <v>-4.8000000000000001E-4</v>
      </c>
      <c r="P65" s="152">
        <v>-4.8000000000000001E-4</v>
      </c>
      <c r="S65" s="2" t="s">
        <v>105</v>
      </c>
    </row>
    <row r="66" spans="1:19" hidden="1" x14ac:dyDescent="0.2">
      <c r="A66" s="145">
        <v>43465</v>
      </c>
      <c r="B66" s="151">
        <v>-5.4099999999999999E-3</v>
      </c>
      <c r="C66" s="151">
        <v>-2.63E-3</v>
      </c>
      <c r="D66" s="151">
        <v>-2.63E-3</v>
      </c>
      <c r="E66" s="151">
        <v>-2.16E-3</v>
      </c>
      <c r="F66" s="151">
        <v>-4.1599999999999996E-3</v>
      </c>
      <c r="G66" s="151">
        <v>-4.1599999999999996E-3</v>
      </c>
      <c r="H66" s="151">
        <v>-2.16E-3</v>
      </c>
      <c r="I66" s="151">
        <v>-2.63E-3</v>
      </c>
      <c r="J66" s="151">
        <v>-8.0000000000000004E-4</v>
      </c>
      <c r="K66" s="151">
        <v>-8.0000000000000004E-4</v>
      </c>
      <c r="L66" s="152">
        <v>-4.8000000000000001E-4</v>
      </c>
      <c r="M66" s="152">
        <v>-4.8000000000000001E-4</v>
      </c>
      <c r="N66" s="152">
        <v>-4.8000000000000001E-4</v>
      </c>
      <c r="O66" s="152">
        <v>-4.8000000000000001E-4</v>
      </c>
      <c r="P66" s="152">
        <v>-4.8000000000000001E-4</v>
      </c>
    </row>
    <row r="67" spans="1:19" hidden="1" x14ac:dyDescent="0.2">
      <c r="A67" s="145">
        <v>43496</v>
      </c>
      <c r="B67" s="151">
        <v>-5.4099999999999999E-3</v>
      </c>
      <c r="C67" s="151">
        <v>-2.63E-3</v>
      </c>
      <c r="D67" s="151">
        <v>-2.63E-3</v>
      </c>
      <c r="E67" s="151">
        <v>-2.16E-3</v>
      </c>
      <c r="F67" s="151">
        <v>-4.1599999999999996E-3</v>
      </c>
      <c r="G67" s="151">
        <v>-4.1599999999999996E-3</v>
      </c>
      <c r="H67" s="151">
        <v>-2.16E-3</v>
      </c>
      <c r="I67" s="151">
        <v>-2.63E-3</v>
      </c>
      <c r="J67" s="151">
        <v>-8.0000000000000004E-4</v>
      </c>
      <c r="K67" s="151">
        <v>-8.0000000000000004E-4</v>
      </c>
      <c r="L67" s="152">
        <v>-4.8000000000000001E-4</v>
      </c>
      <c r="M67" s="152">
        <v>-4.8000000000000001E-4</v>
      </c>
      <c r="N67" s="152">
        <v>-4.8000000000000001E-4</v>
      </c>
      <c r="O67" s="152">
        <v>-4.8000000000000001E-4</v>
      </c>
      <c r="P67" s="152">
        <v>-4.8000000000000001E-4</v>
      </c>
    </row>
    <row r="68" spans="1:19" hidden="1" x14ac:dyDescent="0.2">
      <c r="A68" s="145">
        <v>43524</v>
      </c>
      <c r="B68" s="151">
        <v>-5.4099999999999999E-3</v>
      </c>
      <c r="C68" s="151">
        <v>-2.63E-3</v>
      </c>
      <c r="D68" s="151">
        <v>-2.63E-3</v>
      </c>
      <c r="E68" s="151">
        <v>-2.16E-3</v>
      </c>
      <c r="F68" s="151">
        <v>-4.1599999999999996E-3</v>
      </c>
      <c r="G68" s="151">
        <v>-4.1599999999999996E-3</v>
      </c>
      <c r="H68" s="151">
        <v>-2.16E-3</v>
      </c>
      <c r="I68" s="151">
        <v>-2.63E-3</v>
      </c>
      <c r="J68" s="151">
        <v>-8.0000000000000004E-4</v>
      </c>
      <c r="K68" s="151">
        <v>-8.0000000000000004E-4</v>
      </c>
      <c r="L68" s="152">
        <v>-4.8000000000000001E-4</v>
      </c>
      <c r="M68" s="152">
        <v>-4.8000000000000001E-4</v>
      </c>
      <c r="N68" s="152">
        <v>-4.8000000000000001E-4</v>
      </c>
      <c r="O68" s="152">
        <v>-4.8000000000000001E-4</v>
      </c>
      <c r="P68" s="152">
        <v>-4.8000000000000001E-4</v>
      </c>
    </row>
    <row r="69" spans="1:19" hidden="1" x14ac:dyDescent="0.2">
      <c r="A69" s="145">
        <v>43555</v>
      </c>
      <c r="B69" s="151">
        <v>-5.4099999999999999E-3</v>
      </c>
      <c r="C69" s="151">
        <v>-2.63E-3</v>
      </c>
      <c r="D69" s="151">
        <v>-2.63E-3</v>
      </c>
      <c r="E69" s="151">
        <v>-2.16E-3</v>
      </c>
      <c r="F69" s="151">
        <v>-4.1599999999999996E-3</v>
      </c>
      <c r="G69" s="151">
        <v>-4.1599999999999996E-3</v>
      </c>
      <c r="H69" s="151">
        <v>-2.16E-3</v>
      </c>
      <c r="I69" s="151">
        <v>-2.63E-3</v>
      </c>
      <c r="J69" s="151">
        <v>-8.0000000000000004E-4</v>
      </c>
      <c r="K69" s="151">
        <v>-8.0000000000000004E-4</v>
      </c>
      <c r="L69" s="152">
        <v>-4.8000000000000001E-4</v>
      </c>
      <c r="M69" s="152">
        <v>-4.8000000000000001E-4</v>
      </c>
      <c r="N69" s="152">
        <v>-4.8000000000000001E-4</v>
      </c>
      <c r="O69" s="152">
        <v>-4.8000000000000001E-4</v>
      </c>
      <c r="P69" s="152">
        <v>-4.8000000000000001E-4</v>
      </c>
    </row>
    <row r="70" spans="1:19" hidden="1" x14ac:dyDescent="0.2">
      <c r="A70" s="145">
        <v>43585</v>
      </c>
      <c r="B70" s="151">
        <v>-5.4099999999999999E-3</v>
      </c>
      <c r="C70" s="151">
        <v>-2.63E-3</v>
      </c>
      <c r="D70" s="151">
        <v>-2.63E-3</v>
      </c>
      <c r="E70" s="151">
        <v>-2.16E-3</v>
      </c>
      <c r="F70" s="151">
        <v>-4.1599999999999996E-3</v>
      </c>
      <c r="G70" s="151">
        <v>-4.1599999999999996E-3</v>
      </c>
      <c r="H70" s="151">
        <v>-2.16E-3</v>
      </c>
      <c r="I70" s="151">
        <v>-2.63E-3</v>
      </c>
      <c r="J70" s="151">
        <v>-8.0000000000000004E-4</v>
      </c>
      <c r="K70" s="151">
        <v>-8.0000000000000004E-4</v>
      </c>
      <c r="L70" s="152">
        <v>-4.8000000000000001E-4</v>
      </c>
      <c r="M70" s="152">
        <v>-4.8000000000000001E-4</v>
      </c>
      <c r="N70" s="152">
        <v>-4.8000000000000001E-4</v>
      </c>
      <c r="O70" s="152">
        <v>-4.8000000000000001E-4</v>
      </c>
      <c r="P70" s="152">
        <v>-4.8000000000000001E-4</v>
      </c>
    </row>
    <row r="71" spans="1:19" hidden="1" x14ac:dyDescent="0.2">
      <c r="A71" s="145">
        <v>43616</v>
      </c>
      <c r="B71" s="151">
        <v>-5.4099999999999999E-3</v>
      </c>
      <c r="C71" s="151">
        <v>-2.63E-3</v>
      </c>
      <c r="D71" s="151">
        <v>-2.63E-3</v>
      </c>
      <c r="E71" s="151">
        <v>-2.16E-3</v>
      </c>
      <c r="F71" s="151">
        <v>-4.1599999999999996E-3</v>
      </c>
      <c r="G71" s="151">
        <v>-4.1599999999999996E-3</v>
      </c>
      <c r="H71" s="151">
        <v>-2.16E-3</v>
      </c>
      <c r="I71" s="151">
        <v>-2.63E-3</v>
      </c>
      <c r="J71" s="151">
        <v>-8.0000000000000004E-4</v>
      </c>
      <c r="K71" s="151">
        <v>-8.0000000000000004E-4</v>
      </c>
      <c r="L71" s="152">
        <v>-4.8000000000000001E-4</v>
      </c>
      <c r="M71" s="152">
        <v>-4.8000000000000001E-4</v>
      </c>
      <c r="N71" s="152">
        <v>-4.8000000000000001E-4</v>
      </c>
      <c r="O71" s="152">
        <v>-4.8000000000000001E-4</v>
      </c>
      <c r="P71" s="152">
        <v>-4.8000000000000001E-4</v>
      </c>
    </row>
    <row r="72" spans="1:19" hidden="1" x14ac:dyDescent="0.2">
      <c r="A72" s="145">
        <v>43646</v>
      </c>
      <c r="B72" s="151">
        <v>-5.4099999999999999E-3</v>
      </c>
      <c r="C72" s="151">
        <v>-2.63E-3</v>
      </c>
      <c r="D72" s="151">
        <v>-2.63E-3</v>
      </c>
      <c r="E72" s="151">
        <v>-2.16E-3</v>
      </c>
      <c r="F72" s="151">
        <v>-4.1599999999999996E-3</v>
      </c>
      <c r="G72" s="151">
        <v>-4.1599999999999996E-3</v>
      </c>
      <c r="H72" s="151">
        <v>-2.16E-3</v>
      </c>
      <c r="I72" s="151">
        <v>-2.63E-3</v>
      </c>
      <c r="J72" s="151">
        <v>-8.0000000000000004E-4</v>
      </c>
      <c r="K72" s="151">
        <v>-8.0000000000000004E-4</v>
      </c>
      <c r="L72" s="152">
        <v>-4.8000000000000001E-4</v>
      </c>
      <c r="M72" s="152">
        <v>-4.8000000000000001E-4</v>
      </c>
      <c r="N72" s="152">
        <v>-4.8000000000000001E-4</v>
      </c>
      <c r="O72" s="152">
        <v>-4.8000000000000001E-4</v>
      </c>
      <c r="P72" s="152">
        <v>-4.8000000000000001E-4</v>
      </c>
    </row>
    <row r="73" spans="1:19" hidden="1" x14ac:dyDescent="0.2">
      <c r="A73" s="145">
        <v>43677</v>
      </c>
      <c r="B73" s="151">
        <v>-5.4099999999999999E-3</v>
      </c>
      <c r="C73" s="151">
        <v>-2.63E-3</v>
      </c>
      <c r="D73" s="151">
        <v>-2.63E-3</v>
      </c>
      <c r="E73" s="151">
        <v>-2.16E-3</v>
      </c>
      <c r="F73" s="151">
        <v>-4.1599999999999996E-3</v>
      </c>
      <c r="G73" s="151">
        <v>-4.1599999999999996E-3</v>
      </c>
      <c r="H73" s="151">
        <v>-2.16E-3</v>
      </c>
      <c r="I73" s="151">
        <v>-2.63E-3</v>
      </c>
      <c r="J73" s="151">
        <v>-8.0000000000000004E-4</v>
      </c>
      <c r="K73" s="151">
        <v>-8.0000000000000004E-4</v>
      </c>
      <c r="L73" s="151">
        <v>-4.8000000000000001E-4</v>
      </c>
      <c r="M73" s="151">
        <v>-4.8000000000000001E-4</v>
      </c>
      <c r="N73" s="151">
        <v>-4.8000000000000001E-4</v>
      </c>
      <c r="O73" s="151">
        <v>-4.8000000000000001E-4</v>
      </c>
      <c r="P73" s="151">
        <v>-4.8000000000000001E-4</v>
      </c>
    </row>
    <row r="74" spans="1:19" hidden="1" x14ac:dyDescent="0.2">
      <c r="A74" s="145">
        <v>43708</v>
      </c>
      <c r="B74" s="151">
        <v>-5.4099999999999999E-3</v>
      </c>
      <c r="C74" s="151">
        <v>-2.63E-3</v>
      </c>
      <c r="D74" s="151">
        <v>-2.63E-3</v>
      </c>
      <c r="E74" s="151">
        <v>-2.16E-3</v>
      </c>
      <c r="F74" s="151">
        <v>-4.1599999999999996E-3</v>
      </c>
      <c r="G74" s="151">
        <v>-4.1599999999999996E-3</v>
      </c>
      <c r="H74" s="151">
        <v>-2.16E-3</v>
      </c>
      <c r="I74" s="151">
        <v>-2.63E-3</v>
      </c>
      <c r="J74" s="151">
        <v>-8.0000000000000004E-4</v>
      </c>
      <c r="K74" s="151">
        <v>-8.0000000000000004E-4</v>
      </c>
      <c r="L74" s="151">
        <v>-4.8000000000000001E-4</v>
      </c>
      <c r="M74" s="151">
        <v>-4.8000000000000001E-4</v>
      </c>
      <c r="N74" s="151">
        <v>-4.8000000000000001E-4</v>
      </c>
      <c r="O74" s="151">
        <v>-4.8000000000000001E-4</v>
      </c>
      <c r="P74" s="151">
        <v>-4.8000000000000001E-4</v>
      </c>
    </row>
    <row r="75" spans="1:19" hidden="1" x14ac:dyDescent="0.2">
      <c r="A75" s="145">
        <v>43738</v>
      </c>
      <c r="B75" s="151">
        <v>-5.4099999999999999E-3</v>
      </c>
      <c r="C75" s="151">
        <v>-2.63E-3</v>
      </c>
      <c r="D75" s="151">
        <v>-2.63E-3</v>
      </c>
      <c r="E75" s="151">
        <v>-2.16E-3</v>
      </c>
      <c r="F75" s="151">
        <v>-4.1599999999999996E-3</v>
      </c>
      <c r="G75" s="151">
        <v>-4.1599999999999996E-3</v>
      </c>
      <c r="H75" s="151">
        <v>-2.16E-3</v>
      </c>
      <c r="I75" s="151">
        <v>-2.63E-3</v>
      </c>
      <c r="J75" s="151">
        <v>-8.0000000000000004E-4</v>
      </c>
      <c r="K75" s="151">
        <v>-8.0000000000000004E-4</v>
      </c>
      <c r="L75" s="151">
        <v>-4.8000000000000001E-4</v>
      </c>
      <c r="M75" s="151">
        <v>-4.8000000000000001E-4</v>
      </c>
      <c r="N75" s="151">
        <v>-4.8000000000000001E-4</v>
      </c>
      <c r="O75" s="151">
        <v>-4.8000000000000001E-4</v>
      </c>
      <c r="P75" s="151">
        <v>-4.8000000000000001E-4</v>
      </c>
    </row>
    <row r="76" spans="1:19" hidden="1" x14ac:dyDescent="0.2">
      <c r="A76" s="145">
        <v>43769</v>
      </c>
      <c r="B76" s="151">
        <v>-5.4099999999999999E-3</v>
      </c>
      <c r="C76" s="151">
        <v>-2.63E-3</v>
      </c>
      <c r="D76" s="151">
        <v>-2.63E-3</v>
      </c>
      <c r="E76" s="151">
        <v>-2.16E-3</v>
      </c>
      <c r="F76" s="151">
        <v>-4.1599999999999996E-3</v>
      </c>
      <c r="G76" s="151">
        <v>-4.1599999999999996E-3</v>
      </c>
      <c r="H76" s="151">
        <v>-2.16E-3</v>
      </c>
      <c r="I76" s="151">
        <v>-2.63E-3</v>
      </c>
      <c r="J76" s="151">
        <v>-8.0000000000000004E-4</v>
      </c>
      <c r="K76" s="151">
        <v>-8.0000000000000004E-4</v>
      </c>
      <c r="L76" s="151">
        <v>-4.8000000000000001E-4</v>
      </c>
      <c r="M76" s="151">
        <v>-4.8000000000000001E-4</v>
      </c>
      <c r="N76" s="151">
        <v>-4.8000000000000001E-4</v>
      </c>
      <c r="O76" s="151">
        <v>-4.8000000000000001E-4</v>
      </c>
      <c r="P76" s="151">
        <v>-4.8000000000000001E-4</v>
      </c>
      <c r="R76" s="2" t="s">
        <v>45</v>
      </c>
    </row>
    <row r="77" spans="1:19" hidden="1" x14ac:dyDescent="0.2">
      <c r="A77" s="145">
        <v>43799</v>
      </c>
      <c r="B77" s="151">
        <v>-6.0899999999999999E-3</v>
      </c>
      <c r="C77" s="151">
        <v>-2.96E-3</v>
      </c>
      <c r="D77" s="151">
        <v>-2.96E-3</v>
      </c>
      <c r="E77" s="151">
        <v>-2.4199999999999998E-3</v>
      </c>
      <c r="F77" s="151">
        <v>-4.6699999999999997E-3</v>
      </c>
      <c r="G77" s="151">
        <v>-4.6699999999999997E-3</v>
      </c>
      <c r="H77" s="151">
        <v>-2.4199999999999998E-3</v>
      </c>
      <c r="I77" s="151">
        <v>-2.96E-3</v>
      </c>
      <c r="J77" s="151">
        <v>-8.9999999999999998E-4</v>
      </c>
      <c r="K77" s="151">
        <v>-8.9999999999999998E-4</v>
      </c>
      <c r="L77" s="151">
        <v>-5.4000000000000001E-4</v>
      </c>
      <c r="M77" s="151">
        <v>-5.4000000000000001E-4</v>
      </c>
      <c r="N77" s="151">
        <v>-5.4000000000000001E-4</v>
      </c>
      <c r="O77" s="151">
        <v>-5.4000000000000001E-4</v>
      </c>
      <c r="P77" s="151">
        <v>-5.4000000000000001E-4</v>
      </c>
      <c r="R77" s="2" t="s">
        <v>46</v>
      </c>
      <c r="S77" s="2" t="s">
        <v>105</v>
      </c>
    </row>
    <row r="78" spans="1:19" hidden="1" x14ac:dyDescent="0.2">
      <c r="A78" s="145">
        <v>43830</v>
      </c>
      <c r="B78" s="151">
        <v>-6.0899999999999999E-3</v>
      </c>
      <c r="C78" s="151">
        <v>-2.96E-3</v>
      </c>
      <c r="D78" s="151">
        <v>-2.96E-3</v>
      </c>
      <c r="E78" s="151">
        <v>-2.4199999999999998E-3</v>
      </c>
      <c r="F78" s="151">
        <v>-4.6699999999999997E-3</v>
      </c>
      <c r="G78" s="151">
        <v>-4.6699999999999997E-3</v>
      </c>
      <c r="H78" s="151">
        <v>-2.4199999999999998E-3</v>
      </c>
      <c r="I78" s="151">
        <v>-2.96E-3</v>
      </c>
      <c r="J78" s="151">
        <v>-8.9999999999999998E-4</v>
      </c>
      <c r="K78" s="151">
        <v>-8.9999999999999998E-4</v>
      </c>
      <c r="L78" s="151">
        <v>-5.4000000000000001E-4</v>
      </c>
      <c r="M78" s="151">
        <v>-5.4000000000000001E-4</v>
      </c>
      <c r="N78" s="151">
        <v>-5.4000000000000001E-4</v>
      </c>
      <c r="O78" s="151">
        <v>-5.4000000000000001E-4</v>
      </c>
      <c r="P78" s="151">
        <v>-5.4000000000000001E-4</v>
      </c>
    </row>
    <row r="79" spans="1:19" hidden="1" x14ac:dyDescent="0.2">
      <c r="A79" s="145">
        <v>43861</v>
      </c>
      <c r="B79" s="151">
        <v>-6.0899999999999999E-3</v>
      </c>
      <c r="C79" s="151">
        <v>-2.96E-3</v>
      </c>
      <c r="D79" s="151">
        <v>-2.96E-3</v>
      </c>
      <c r="E79" s="151">
        <v>-2.4199999999999998E-3</v>
      </c>
      <c r="F79" s="151">
        <v>-4.6699999999999997E-3</v>
      </c>
      <c r="G79" s="151">
        <v>-4.6699999999999997E-3</v>
      </c>
      <c r="H79" s="151">
        <v>-2.4199999999999998E-3</v>
      </c>
      <c r="I79" s="151">
        <v>-2.96E-3</v>
      </c>
      <c r="J79" s="151">
        <v>-8.9999999999999998E-4</v>
      </c>
      <c r="K79" s="151">
        <v>-8.9999999999999998E-4</v>
      </c>
      <c r="L79" s="151">
        <v>-5.4000000000000001E-4</v>
      </c>
      <c r="M79" s="151">
        <v>-5.4000000000000001E-4</v>
      </c>
      <c r="N79" s="151">
        <v>-5.4000000000000001E-4</v>
      </c>
      <c r="O79" s="151">
        <v>-5.4000000000000001E-4</v>
      </c>
      <c r="P79" s="151">
        <v>-5.4000000000000001E-4</v>
      </c>
    </row>
    <row r="80" spans="1:19" hidden="1" x14ac:dyDescent="0.2">
      <c r="A80" s="145">
        <v>43890</v>
      </c>
      <c r="B80" s="151">
        <v>-6.0899999999999999E-3</v>
      </c>
      <c r="C80" s="151">
        <v>-2.96E-3</v>
      </c>
      <c r="D80" s="151">
        <v>-2.96E-3</v>
      </c>
      <c r="E80" s="151">
        <v>-2.4199999999999998E-3</v>
      </c>
      <c r="F80" s="151">
        <v>-4.6699999999999997E-3</v>
      </c>
      <c r="G80" s="151">
        <v>-4.6699999999999997E-3</v>
      </c>
      <c r="H80" s="151">
        <v>-2.4199999999999998E-3</v>
      </c>
      <c r="I80" s="151">
        <v>-2.96E-3</v>
      </c>
      <c r="J80" s="151">
        <v>-8.9999999999999998E-4</v>
      </c>
      <c r="K80" s="151">
        <v>-8.9999999999999998E-4</v>
      </c>
      <c r="L80" s="151">
        <v>-5.4000000000000001E-4</v>
      </c>
      <c r="M80" s="151">
        <v>-5.4000000000000001E-4</v>
      </c>
      <c r="N80" s="151">
        <v>-5.4000000000000001E-4</v>
      </c>
      <c r="O80" s="151">
        <v>-5.4000000000000001E-4</v>
      </c>
      <c r="P80" s="151">
        <v>-5.4000000000000001E-4</v>
      </c>
    </row>
    <row r="81" spans="1:19" hidden="1" x14ac:dyDescent="0.2">
      <c r="A81" s="145">
        <v>43921</v>
      </c>
      <c r="B81" s="151">
        <v>-6.0899999999999999E-3</v>
      </c>
      <c r="C81" s="151">
        <v>-2.96E-3</v>
      </c>
      <c r="D81" s="151">
        <v>-2.96E-3</v>
      </c>
      <c r="E81" s="151">
        <v>-2.4199999999999998E-3</v>
      </c>
      <c r="F81" s="151">
        <v>-4.6699999999999997E-3</v>
      </c>
      <c r="G81" s="151">
        <v>-4.6699999999999997E-3</v>
      </c>
      <c r="H81" s="151">
        <v>-2.4199999999999998E-3</v>
      </c>
      <c r="I81" s="151">
        <v>-2.96E-3</v>
      </c>
      <c r="J81" s="151">
        <v>-8.9999999999999998E-4</v>
      </c>
      <c r="K81" s="151">
        <v>-8.9999999999999998E-4</v>
      </c>
      <c r="L81" s="151">
        <v>-5.4000000000000001E-4</v>
      </c>
      <c r="M81" s="151">
        <v>-5.4000000000000001E-4</v>
      </c>
      <c r="N81" s="151">
        <v>-5.4000000000000001E-4</v>
      </c>
      <c r="O81" s="151">
        <v>-5.4000000000000001E-4</v>
      </c>
      <c r="P81" s="151">
        <v>-5.4000000000000001E-4</v>
      </c>
    </row>
    <row r="82" spans="1:19" hidden="1" x14ac:dyDescent="0.2">
      <c r="A82" s="145">
        <v>43951</v>
      </c>
      <c r="B82" s="151">
        <v>-6.0899999999999999E-3</v>
      </c>
      <c r="C82" s="151">
        <v>-2.96E-3</v>
      </c>
      <c r="D82" s="151">
        <v>-2.96E-3</v>
      </c>
      <c r="E82" s="151">
        <v>-2.4199999999999998E-3</v>
      </c>
      <c r="F82" s="151">
        <v>-4.6699999999999997E-3</v>
      </c>
      <c r="G82" s="151">
        <v>-4.6699999999999997E-3</v>
      </c>
      <c r="H82" s="151">
        <v>-2.4199999999999998E-3</v>
      </c>
      <c r="I82" s="151">
        <v>-2.96E-3</v>
      </c>
      <c r="J82" s="151">
        <v>-8.9999999999999998E-4</v>
      </c>
      <c r="K82" s="151">
        <v>-8.9999999999999998E-4</v>
      </c>
      <c r="L82" s="151">
        <v>-5.4000000000000001E-4</v>
      </c>
      <c r="M82" s="151">
        <v>-5.4000000000000001E-4</v>
      </c>
      <c r="N82" s="151">
        <v>-5.4000000000000001E-4</v>
      </c>
      <c r="O82" s="151">
        <v>-5.4000000000000001E-4</v>
      </c>
      <c r="P82" s="151">
        <v>-5.4000000000000001E-4</v>
      </c>
    </row>
    <row r="83" spans="1:19" hidden="1" x14ac:dyDescent="0.2">
      <c r="A83" s="145">
        <v>43982</v>
      </c>
      <c r="B83" s="151">
        <v>-6.0899999999999999E-3</v>
      </c>
      <c r="C83" s="151">
        <v>-2.96E-3</v>
      </c>
      <c r="D83" s="151">
        <v>-2.96E-3</v>
      </c>
      <c r="E83" s="151">
        <v>-2.4199999999999998E-3</v>
      </c>
      <c r="F83" s="151">
        <v>-4.6699999999999997E-3</v>
      </c>
      <c r="G83" s="151">
        <v>-4.6699999999999997E-3</v>
      </c>
      <c r="H83" s="151">
        <v>-2.4199999999999998E-3</v>
      </c>
      <c r="I83" s="151">
        <v>-2.96E-3</v>
      </c>
      <c r="J83" s="151">
        <v>-8.9999999999999998E-4</v>
      </c>
      <c r="K83" s="151">
        <v>-8.9999999999999998E-4</v>
      </c>
      <c r="L83" s="151">
        <v>-5.4000000000000001E-4</v>
      </c>
      <c r="M83" s="151">
        <v>-5.4000000000000001E-4</v>
      </c>
      <c r="N83" s="151">
        <v>-5.4000000000000001E-4</v>
      </c>
      <c r="O83" s="151">
        <v>-5.4000000000000001E-4</v>
      </c>
      <c r="P83" s="151">
        <v>-5.4000000000000001E-4</v>
      </c>
    </row>
    <row r="84" spans="1:19" hidden="1" x14ac:dyDescent="0.2">
      <c r="A84" s="145">
        <v>44012</v>
      </c>
      <c r="B84" s="151">
        <v>-6.0899999999999999E-3</v>
      </c>
      <c r="C84" s="151">
        <v>-2.96E-3</v>
      </c>
      <c r="D84" s="151">
        <v>-2.96E-3</v>
      </c>
      <c r="E84" s="151">
        <v>-2.4199999999999998E-3</v>
      </c>
      <c r="F84" s="151">
        <v>-4.6699999999999997E-3</v>
      </c>
      <c r="G84" s="151">
        <v>-4.6699999999999997E-3</v>
      </c>
      <c r="H84" s="151">
        <v>-2.4199999999999998E-3</v>
      </c>
      <c r="I84" s="151">
        <v>-2.96E-3</v>
      </c>
      <c r="J84" s="151">
        <v>-8.9999999999999998E-4</v>
      </c>
      <c r="K84" s="151">
        <v>-8.9999999999999998E-4</v>
      </c>
      <c r="L84" s="151">
        <v>-5.4000000000000001E-4</v>
      </c>
      <c r="M84" s="151">
        <v>-5.4000000000000001E-4</v>
      </c>
      <c r="N84" s="151">
        <v>-5.4000000000000001E-4</v>
      </c>
      <c r="O84" s="151">
        <v>-5.4000000000000001E-4</v>
      </c>
      <c r="P84" s="151">
        <v>-5.4000000000000001E-4</v>
      </c>
    </row>
    <row r="85" spans="1:19" hidden="1" x14ac:dyDescent="0.2">
      <c r="A85" s="145">
        <v>44043</v>
      </c>
      <c r="B85" s="151">
        <v>-6.0899999999999999E-3</v>
      </c>
      <c r="C85" s="151">
        <v>-2.96E-3</v>
      </c>
      <c r="D85" s="151">
        <v>-2.96E-3</v>
      </c>
      <c r="E85" s="151">
        <v>-2.4199999999999998E-3</v>
      </c>
      <c r="F85" s="151">
        <v>-4.6699999999999997E-3</v>
      </c>
      <c r="G85" s="151">
        <v>-4.6699999999999997E-3</v>
      </c>
      <c r="H85" s="151">
        <v>-2.4199999999999998E-3</v>
      </c>
      <c r="I85" s="151">
        <v>-2.96E-3</v>
      </c>
      <c r="J85" s="151">
        <v>-8.9999999999999998E-4</v>
      </c>
      <c r="K85" s="151">
        <v>-8.9999999999999998E-4</v>
      </c>
      <c r="L85" s="151">
        <v>-5.4000000000000001E-4</v>
      </c>
      <c r="M85" s="151">
        <v>-5.4000000000000001E-4</v>
      </c>
      <c r="N85" s="151">
        <v>-5.4000000000000001E-4</v>
      </c>
      <c r="O85" s="151">
        <v>-5.4000000000000001E-4</v>
      </c>
      <c r="P85" s="151">
        <v>-5.4000000000000001E-4</v>
      </c>
    </row>
    <row r="86" spans="1:19" hidden="1" x14ac:dyDescent="0.2">
      <c r="A86" s="145">
        <v>44074</v>
      </c>
      <c r="B86" s="151">
        <v>-6.0899999999999999E-3</v>
      </c>
      <c r="C86" s="151">
        <v>-2.96E-3</v>
      </c>
      <c r="D86" s="151">
        <v>-2.96E-3</v>
      </c>
      <c r="E86" s="151">
        <v>-2.4199999999999998E-3</v>
      </c>
      <c r="F86" s="151">
        <v>-4.6699999999999997E-3</v>
      </c>
      <c r="G86" s="151">
        <v>-4.6699999999999997E-3</v>
      </c>
      <c r="H86" s="151">
        <v>-2.4199999999999998E-3</v>
      </c>
      <c r="I86" s="151">
        <v>-2.96E-3</v>
      </c>
      <c r="J86" s="151">
        <v>-8.9999999999999998E-4</v>
      </c>
      <c r="K86" s="151">
        <v>-8.9999999999999998E-4</v>
      </c>
      <c r="L86" s="151">
        <v>-5.4000000000000001E-4</v>
      </c>
      <c r="M86" s="151">
        <v>-5.4000000000000001E-4</v>
      </c>
      <c r="N86" s="151">
        <v>-5.4000000000000001E-4</v>
      </c>
      <c r="O86" s="151">
        <v>-5.4000000000000001E-4</v>
      </c>
      <c r="P86" s="151">
        <v>-5.4000000000000001E-4</v>
      </c>
    </row>
    <row r="87" spans="1:19" hidden="1" x14ac:dyDescent="0.2">
      <c r="A87" s="145">
        <v>44104</v>
      </c>
      <c r="B87" s="151">
        <v>-6.0899999999999999E-3</v>
      </c>
      <c r="C87" s="151">
        <v>-2.96E-3</v>
      </c>
      <c r="D87" s="151">
        <v>-2.96E-3</v>
      </c>
      <c r="E87" s="151">
        <v>-2.4199999999999998E-3</v>
      </c>
      <c r="F87" s="151">
        <v>-4.6699999999999997E-3</v>
      </c>
      <c r="G87" s="151">
        <v>-4.6699999999999997E-3</v>
      </c>
      <c r="H87" s="151">
        <v>-2.4199999999999998E-3</v>
      </c>
      <c r="I87" s="151">
        <v>-2.96E-3</v>
      </c>
      <c r="J87" s="151">
        <v>-8.9999999999999998E-4</v>
      </c>
      <c r="K87" s="151">
        <v>-8.9999999999999998E-4</v>
      </c>
      <c r="L87" s="151">
        <v>-5.4000000000000001E-4</v>
      </c>
      <c r="M87" s="151">
        <v>-5.4000000000000001E-4</v>
      </c>
      <c r="N87" s="151">
        <v>-5.4000000000000001E-4</v>
      </c>
      <c r="O87" s="151">
        <v>-5.4000000000000001E-4</v>
      </c>
      <c r="P87" s="151">
        <v>-5.4000000000000001E-4</v>
      </c>
    </row>
    <row r="88" spans="1:19" hidden="1" x14ac:dyDescent="0.2">
      <c r="A88" s="145">
        <v>44135</v>
      </c>
      <c r="B88" s="151">
        <v>-6.0899999999999999E-3</v>
      </c>
      <c r="C88" s="151">
        <v>-2.96E-3</v>
      </c>
      <c r="D88" s="151">
        <v>-2.96E-3</v>
      </c>
      <c r="E88" s="151">
        <v>-2.4199999999999998E-3</v>
      </c>
      <c r="F88" s="151">
        <v>-4.6699999999999997E-3</v>
      </c>
      <c r="G88" s="151">
        <v>-4.6699999999999997E-3</v>
      </c>
      <c r="H88" s="151">
        <v>-2.4199999999999998E-3</v>
      </c>
      <c r="I88" s="151">
        <v>-2.96E-3</v>
      </c>
      <c r="J88" s="151">
        <v>-8.9999999999999998E-4</v>
      </c>
      <c r="K88" s="151">
        <v>-8.9999999999999998E-4</v>
      </c>
      <c r="L88" s="151">
        <v>-5.4000000000000001E-4</v>
      </c>
      <c r="M88" s="151">
        <v>-5.4000000000000001E-4</v>
      </c>
      <c r="N88" s="151">
        <v>-5.4000000000000001E-4</v>
      </c>
      <c r="O88" s="151">
        <v>-5.4000000000000001E-4</v>
      </c>
      <c r="P88" s="151">
        <v>-5.4000000000000001E-4</v>
      </c>
      <c r="R88" s="2" t="s">
        <v>45</v>
      </c>
    </row>
    <row r="89" spans="1:19" hidden="1" x14ac:dyDescent="0.2">
      <c r="A89" s="145">
        <v>44165</v>
      </c>
      <c r="B89" s="151">
        <v>-5.4200000000000003E-3</v>
      </c>
      <c r="C89" s="151">
        <v>-2.63E-3</v>
      </c>
      <c r="D89" s="151">
        <v>-2.63E-3</v>
      </c>
      <c r="E89" s="151">
        <v>-2.1700000000000001E-3</v>
      </c>
      <c r="F89" s="151">
        <v>-4.1700000000000001E-3</v>
      </c>
      <c r="G89" s="151">
        <v>-4.1700000000000001E-3</v>
      </c>
      <c r="H89" s="151">
        <v>-2.1700000000000001E-3</v>
      </c>
      <c r="I89" s="151">
        <v>-2.63E-3</v>
      </c>
      <c r="J89" s="151">
        <v>-8.0000000000000004E-4</v>
      </c>
      <c r="K89" s="151">
        <v>-8.0000000000000004E-4</v>
      </c>
      <c r="L89" s="151">
        <v>-4.8000000000000001E-4</v>
      </c>
      <c r="M89" s="151">
        <v>-4.8000000000000001E-4</v>
      </c>
      <c r="N89" s="151">
        <v>-4.8000000000000001E-4</v>
      </c>
      <c r="O89" s="151">
        <v>-4.8000000000000001E-4</v>
      </c>
      <c r="P89" s="151"/>
      <c r="R89" s="2" t="s">
        <v>46</v>
      </c>
      <c r="S89" s="2" t="s">
        <v>105</v>
      </c>
    </row>
    <row r="90" spans="1:19" hidden="1" x14ac:dyDescent="0.2">
      <c r="A90" s="145">
        <v>44196</v>
      </c>
      <c r="B90" s="151">
        <v>-5.4200000000000003E-3</v>
      </c>
      <c r="C90" s="151">
        <v>-2.63E-3</v>
      </c>
      <c r="D90" s="151">
        <v>-2.63E-3</v>
      </c>
      <c r="E90" s="151">
        <v>-2.1700000000000001E-3</v>
      </c>
      <c r="F90" s="151">
        <v>-4.1700000000000001E-3</v>
      </c>
      <c r="G90" s="151">
        <v>-4.1700000000000001E-3</v>
      </c>
      <c r="H90" s="151">
        <v>-2.1700000000000001E-3</v>
      </c>
      <c r="I90" s="151">
        <v>-2.63E-3</v>
      </c>
      <c r="J90" s="151">
        <v>-8.0000000000000004E-4</v>
      </c>
      <c r="K90" s="151">
        <v>-8.0000000000000004E-4</v>
      </c>
      <c r="L90" s="151">
        <v>-4.8000000000000001E-4</v>
      </c>
      <c r="M90" s="151">
        <v>-4.8000000000000001E-4</v>
      </c>
      <c r="N90" s="151">
        <v>-4.8000000000000001E-4</v>
      </c>
      <c r="O90" s="151">
        <v>-4.8000000000000001E-4</v>
      </c>
      <c r="P90" s="151"/>
    </row>
    <row r="91" spans="1:19" hidden="1" x14ac:dyDescent="0.2">
      <c r="A91" s="145">
        <v>44227</v>
      </c>
      <c r="B91" s="151">
        <v>-5.4200000000000003E-3</v>
      </c>
      <c r="C91" s="151">
        <v>-2.63E-3</v>
      </c>
      <c r="D91" s="151">
        <v>-2.63E-3</v>
      </c>
      <c r="E91" s="151">
        <v>-2.1700000000000001E-3</v>
      </c>
      <c r="F91" s="151">
        <v>-4.1700000000000001E-3</v>
      </c>
      <c r="G91" s="151">
        <v>-4.1700000000000001E-3</v>
      </c>
      <c r="H91" s="151">
        <v>-2.1700000000000001E-3</v>
      </c>
      <c r="I91" s="151">
        <v>-2.63E-3</v>
      </c>
      <c r="J91" s="151">
        <v>-8.0000000000000004E-4</v>
      </c>
      <c r="K91" s="151">
        <v>-8.0000000000000004E-4</v>
      </c>
      <c r="L91" s="151">
        <v>-4.8000000000000001E-4</v>
      </c>
      <c r="M91" s="151">
        <v>-4.8000000000000001E-4</v>
      </c>
      <c r="N91" s="151">
        <v>-4.8000000000000001E-4</v>
      </c>
      <c r="O91" s="151">
        <v>-4.8000000000000001E-4</v>
      </c>
      <c r="P91" s="151"/>
    </row>
    <row r="92" spans="1:19" hidden="1" x14ac:dyDescent="0.2">
      <c r="A92" s="145">
        <v>44255</v>
      </c>
      <c r="B92" s="151">
        <v>-5.4200000000000003E-3</v>
      </c>
      <c r="C92" s="151">
        <v>-2.63E-3</v>
      </c>
      <c r="D92" s="151">
        <v>-2.63E-3</v>
      </c>
      <c r="E92" s="151">
        <v>-2.1700000000000001E-3</v>
      </c>
      <c r="F92" s="151">
        <v>-4.1700000000000001E-3</v>
      </c>
      <c r="G92" s="151">
        <v>-4.1700000000000001E-3</v>
      </c>
      <c r="H92" s="151">
        <v>-2.1700000000000001E-3</v>
      </c>
      <c r="I92" s="151">
        <v>-2.63E-3</v>
      </c>
      <c r="J92" s="151">
        <v>-8.0000000000000004E-4</v>
      </c>
      <c r="K92" s="151">
        <v>-8.0000000000000004E-4</v>
      </c>
      <c r="L92" s="151">
        <v>-4.8000000000000001E-4</v>
      </c>
      <c r="M92" s="151">
        <v>-4.8000000000000001E-4</v>
      </c>
      <c r="N92" s="151">
        <v>-4.8000000000000001E-4</v>
      </c>
      <c r="O92" s="151">
        <v>-4.8000000000000001E-4</v>
      </c>
      <c r="P92" s="151"/>
    </row>
    <row r="93" spans="1:19" hidden="1" x14ac:dyDescent="0.2">
      <c r="A93" s="145">
        <v>44286</v>
      </c>
      <c r="B93" s="151">
        <v>-5.4200000000000003E-3</v>
      </c>
      <c r="C93" s="151">
        <v>-2.63E-3</v>
      </c>
      <c r="D93" s="151">
        <v>-2.63E-3</v>
      </c>
      <c r="E93" s="151">
        <v>-2.1700000000000001E-3</v>
      </c>
      <c r="F93" s="151">
        <v>-4.1700000000000001E-3</v>
      </c>
      <c r="G93" s="151">
        <v>-4.1700000000000001E-3</v>
      </c>
      <c r="H93" s="151">
        <v>-2.1700000000000001E-3</v>
      </c>
      <c r="I93" s="151">
        <v>-2.63E-3</v>
      </c>
      <c r="J93" s="151">
        <v>-8.0000000000000004E-4</v>
      </c>
      <c r="K93" s="151">
        <v>-8.0000000000000004E-4</v>
      </c>
      <c r="L93" s="151">
        <v>-4.8000000000000001E-4</v>
      </c>
      <c r="M93" s="151">
        <v>-4.8000000000000001E-4</v>
      </c>
      <c r="N93" s="151">
        <v>-4.8000000000000001E-4</v>
      </c>
      <c r="O93" s="151">
        <v>-4.8000000000000001E-4</v>
      </c>
      <c r="P93" s="151"/>
    </row>
    <row r="94" spans="1:19" hidden="1" x14ac:dyDescent="0.2">
      <c r="A94" s="145">
        <v>44316</v>
      </c>
      <c r="B94" s="151">
        <v>-5.4200000000000003E-3</v>
      </c>
      <c r="C94" s="151">
        <v>-2.63E-3</v>
      </c>
      <c r="D94" s="151">
        <v>-2.63E-3</v>
      </c>
      <c r="E94" s="151">
        <v>-2.1700000000000001E-3</v>
      </c>
      <c r="F94" s="151">
        <v>-4.1700000000000001E-3</v>
      </c>
      <c r="G94" s="151">
        <v>-4.1700000000000001E-3</v>
      </c>
      <c r="H94" s="151">
        <v>-2.1700000000000001E-3</v>
      </c>
      <c r="I94" s="151">
        <v>-2.63E-3</v>
      </c>
      <c r="J94" s="151">
        <v>-8.0000000000000004E-4</v>
      </c>
      <c r="K94" s="151">
        <v>-8.0000000000000004E-4</v>
      </c>
      <c r="L94" s="151">
        <v>-4.8000000000000001E-4</v>
      </c>
      <c r="M94" s="151">
        <v>-4.8000000000000001E-4</v>
      </c>
      <c r="N94" s="151">
        <v>-4.8000000000000001E-4</v>
      </c>
      <c r="O94" s="151">
        <v>-4.8000000000000001E-4</v>
      </c>
      <c r="P94" s="151"/>
    </row>
    <row r="95" spans="1:19" hidden="1" x14ac:dyDescent="0.2">
      <c r="A95" s="145">
        <v>44347</v>
      </c>
      <c r="B95" s="151">
        <v>-5.4200000000000003E-3</v>
      </c>
      <c r="C95" s="151">
        <v>-2.63E-3</v>
      </c>
      <c r="D95" s="151">
        <v>-2.63E-3</v>
      </c>
      <c r="E95" s="151">
        <v>-2.1700000000000001E-3</v>
      </c>
      <c r="F95" s="151">
        <v>-4.1700000000000001E-3</v>
      </c>
      <c r="G95" s="151">
        <v>-4.1700000000000001E-3</v>
      </c>
      <c r="H95" s="151">
        <v>-2.1700000000000001E-3</v>
      </c>
      <c r="I95" s="151">
        <v>-2.63E-3</v>
      </c>
      <c r="J95" s="151">
        <v>-8.0000000000000004E-4</v>
      </c>
      <c r="K95" s="151">
        <v>-8.0000000000000004E-4</v>
      </c>
      <c r="L95" s="151">
        <v>-4.8000000000000001E-4</v>
      </c>
      <c r="M95" s="151">
        <v>-4.8000000000000001E-4</v>
      </c>
      <c r="N95" s="151">
        <v>-4.8000000000000001E-4</v>
      </c>
      <c r="O95" s="151">
        <v>-4.8000000000000001E-4</v>
      </c>
      <c r="P95" s="151"/>
    </row>
    <row r="96" spans="1:19" hidden="1" x14ac:dyDescent="0.2">
      <c r="A96" s="145">
        <v>44377</v>
      </c>
      <c r="B96" s="151">
        <v>-5.4200000000000003E-3</v>
      </c>
      <c r="C96" s="151">
        <v>-2.63E-3</v>
      </c>
      <c r="D96" s="151">
        <v>-2.63E-3</v>
      </c>
      <c r="E96" s="151">
        <v>-2.1700000000000001E-3</v>
      </c>
      <c r="F96" s="151">
        <v>-4.1700000000000001E-3</v>
      </c>
      <c r="G96" s="151">
        <v>-4.1700000000000001E-3</v>
      </c>
      <c r="H96" s="151">
        <v>-2.1700000000000001E-3</v>
      </c>
      <c r="I96" s="151">
        <v>-2.63E-3</v>
      </c>
      <c r="J96" s="151">
        <v>-8.0000000000000004E-4</v>
      </c>
      <c r="K96" s="151">
        <v>-8.0000000000000004E-4</v>
      </c>
      <c r="L96" s="151">
        <v>-4.8000000000000001E-4</v>
      </c>
      <c r="M96" s="151">
        <v>-4.8000000000000001E-4</v>
      </c>
      <c r="N96" s="151">
        <v>-4.8000000000000001E-4</v>
      </c>
      <c r="O96" s="151">
        <v>-4.8000000000000001E-4</v>
      </c>
      <c r="P96" s="151"/>
    </row>
    <row r="97" spans="1:19" hidden="1" x14ac:dyDescent="0.2">
      <c r="A97" s="145">
        <v>44408</v>
      </c>
      <c r="B97" s="151">
        <v>-5.4200000000000003E-3</v>
      </c>
      <c r="C97" s="151">
        <v>-2.63E-3</v>
      </c>
      <c r="D97" s="151">
        <v>-2.63E-3</v>
      </c>
      <c r="E97" s="151">
        <v>-2.1700000000000001E-3</v>
      </c>
      <c r="F97" s="151">
        <v>-4.1700000000000001E-3</v>
      </c>
      <c r="G97" s="151">
        <v>-4.1700000000000001E-3</v>
      </c>
      <c r="H97" s="151">
        <v>-2.1700000000000001E-3</v>
      </c>
      <c r="I97" s="151">
        <v>-2.63E-3</v>
      </c>
      <c r="J97" s="151">
        <v>-8.0000000000000004E-4</v>
      </c>
      <c r="K97" s="151">
        <v>-8.0000000000000004E-4</v>
      </c>
      <c r="L97" s="151">
        <v>-4.8000000000000001E-4</v>
      </c>
      <c r="M97" s="151">
        <v>-4.8000000000000001E-4</v>
      </c>
      <c r="N97" s="151">
        <v>-4.8000000000000001E-4</v>
      </c>
      <c r="O97" s="151">
        <v>-4.8000000000000001E-4</v>
      </c>
      <c r="P97" s="151"/>
    </row>
    <row r="98" spans="1:19" hidden="1" x14ac:dyDescent="0.2">
      <c r="A98" s="145">
        <v>44439</v>
      </c>
      <c r="B98" s="151">
        <v>-5.4200000000000003E-3</v>
      </c>
      <c r="C98" s="151">
        <v>-2.63E-3</v>
      </c>
      <c r="D98" s="151">
        <v>-2.63E-3</v>
      </c>
      <c r="E98" s="151">
        <v>-2.1700000000000001E-3</v>
      </c>
      <c r="F98" s="151">
        <v>-4.1700000000000001E-3</v>
      </c>
      <c r="G98" s="151">
        <v>-4.1700000000000001E-3</v>
      </c>
      <c r="H98" s="151">
        <v>-2.1700000000000001E-3</v>
      </c>
      <c r="I98" s="151">
        <v>-2.63E-3</v>
      </c>
      <c r="J98" s="151">
        <v>-8.0000000000000004E-4</v>
      </c>
      <c r="K98" s="151">
        <v>-8.0000000000000004E-4</v>
      </c>
      <c r="L98" s="151">
        <v>-4.8000000000000001E-4</v>
      </c>
      <c r="M98" s="151">
        <v>-4.8000000000000001E-4</v>
      </c>
      <c r="N98" s="151">
        <v>-4.8000000000000001E-4</v>
      </c>
      <c r="O98" s="151">
        <v>-4.8000000000000001E-4</v>
      </c>
      <c r="P98" s="151"/>
    </row>
    <row r="99" spans="1:19" hidden="1" x14ac:dyDescent="0.2">
      <c r="A99" s="145">
        <v>44469</v>
      </c>
      <c r="B99" s="151">
        <v>-5.4200000000000003E-3</v>
      </c>
      <c r="C99" s="151">
        <v>-2.63E-3</v>
      </c>
      <c r="D99" s="151">
        <v>-2.63E-3</v>
      </c>
      <c r="E99" s="151">
        <v>-2.1700000000000001E-3</v>
      </c>
      <c r="F99" s="151">
        <v>-4.1700000000000001E-3</v>
      </c>
      <c r="G99" s="151">
        <v>-4.1700000000000001E-3</v>
      </c>
      <c r="H99" s="151">
        <v>-2.1700000000000001E-3</v>
      </c>
      <c r="I99" s="151">
        <v>-2.63E-3</v>
      </c>
      <c r="J99" s="151">
        <v>-8.0000000000000004E-4</v>
      </c>
      <c r="K99" s="151">
        <v>-8.0000000000000004E-4</v>
      </c>
      <c r="L99" s="151">
        <v>-4.8000000000000001E-4</v>
      </c>
      <c r="M99" s="151">
        <v>-4.8000000000000001E-4</v>
      </c>
      <c r="N99" s="151">
        <v>-4.8000000000000001E-4</v>
      </c>
      <c r="O99" s="151">
        <v>-4.8000000000000001E-4</v>
      </c>
      <c r="P99" s="151"/>
    </row>
    <row r="100" spans="1:19" x14ac:dyDescent="0.2">
      <c r="A100" s="145">
        <v>44500</v>
      </c>
      <c r="B100" s="151">
        <v>-5.4200000000000003E-3</v>
      </c>
      <c r="C100" s="151">
        <v>-2.63E-3</v>
      </c>
      <c r="D100" s="151">
        <v>-2.63E-3</v>
      </c>
      <c r="E100" s="151">
        <v>-2.1700000000000001E-3</v>
      </c>
      <c r="F100" s="151">
        <v>-4.1700000000000001E-3</v>
      </c>
      <c r="G100" s="151">
        <v>-4.1700000000000001E-3</v>
      </c>
      <c r="H100" s="151">
        <v>-2.1700000000000001E-3</v>
      </c>
      <c r="I100" s="151">
        <v>-2.63E-3</v>
      </c>
      <c r="J100" s="151">
        <v>-8.0000000000000004E-4</v>
      </c>
      <c r="K100" s="151">
        <v>-8.0000000000000004E-4</v>
      </c>
      <c r="L100" s="151">
        <v>-4.8000000000000001E-4</v>
      </c>
      <c r="M100" s="151">
        <v>-4.8000000000000001E-4</v>
      </c>
      <c r="N100" s="151">
        <v>-4.8000000000000001E-4</v>
      </c>
      <c r="O100" s="151">
        <v>-4.8000000000000001E-4</v>
      </c>
      <c r="P100" s="151"/>
    </row>
    <row r="101" spans="1:19" x14ac:dyDescent="0.2">
      <c r="A101" s="145">
        <v>44530</v>
      </c>
      <c r="B101" s="151">
        <v>-5.5300000000000002E-3</v>
      </c>
      <c r="C101" s="151">
        <v>-2.6900000000000001E-3</v>
      </c>
      <c r="D101" s="151">
        <v>-2.6900000000000001E-3</v>
      </c>
      <c r="E101" s="151">
        <v>-2.2100000000000002E-3</v>
      </c>
      <c r="F101" s="151">
        <v>-4.2500000000000003E-3</v>
      </c>
      <c r="G101" s="151">
        <v>-4.2500000000000003E-3</v>
      </c>
      <c r="H101" s="151">
        <v>-2.2100000000000002E-3</v>
      </c>
      <c r="I101" s="151">
        <v>-2.6900000000000001E-3</v>
      </c>
      <c r="J101" s="151">
        <v>-8.1999999999999998E-4</v>
      </c>
      <c r="K101" s="151">
        <v>-8.1999999999999998E-4</v>
      </c>
      <c r="L101" s="151">
        <v>-4.8000000000000001E-4</v>
      </c>
      <c r="M101" s="151">
        <v>-4.8000000000000001E-4</v>
      </c>
      <c r="N101" s="151">
        <v>-4.8000000000000001E-4</v>
      </c>
      <c r="O101" s="151">
        <v>-4.8000000000000001E-4</v>
      </c>
      <c r="P101" s="151"/>
      <c r="R101" s="2" t="s">
        <v>46</v>
      </c>
      <c r="S101" s="2" t="s">
        <v>105</v>
      </c>
    </row>
    <row r="102" spans="1:19" x14ac:dyDescent="0.2">
      <c r="A102" s="145">
        <v>44561</v>
      </c>
      <c r="B102" s="151">
        <v>-5.5300000000000002E-3</v>
      </c>
      <c r="C102" s="151">
        <v>-2.6900000000000001E-3</v>
      </c>
      <c r="D102" s="151">
        <v>-2.6900000000000001E-3</v>
      </c>
      <c r="E102" s="151">
        <v>-2.2100000000000002E-3</v>
      </c>
      <c r="F102" s="151">
        <v>-4.2500000000000003E-3</v>
      </c>
      <c r="G102" s="151">
        <v>-4.2500000000000003E-3</v>
      </c>
      <c r="H102" s="151">
        <v>-2.2100000000000002E-3</v>
      </c>
      <c r="I102" s="151">
        <v>-2.6900000000000001E-3</v>
      </c>
      <c r="J102" s="151">
        <v>-8.1999999999999998E-4</v>
      </c>
      <c r="K102" s="151">
        <v>-8.1999999999999998E-4</v>
      </c>
      <c r="L102" s="151">
        <v>-4.8000000000000001E-4</v>
      </c>
      <c r="M102" s="151">
        <v>-4.8000000000000001E-4</v>
      </c>
      <c r="N102" s="151">
        <v>-4.8000000000000001E-4</v>
      </c>
      <c r="O102" s="151">
        <v>-4.8000000000000001E-4</v>
      </c>
      <c r="P102" s="151"/>
    </row>
    <row r="103" spans="1:19" x14ac:dyDescent="0.2">
      <c r="A103" s="145">
        <v>44592</v>
      </c>
      <c r="B103" s="151">
        <v>-5.5300000000000002E-3</v>
      </c>
      <c r="C103" s="151">
        <v>-2.6900000000000001E-3</v>
      </c>
      <c r="D103" s="151">
        <v>-2.6900000000000001E-3</v>
      </c>
      <c r="E103" s="151">
        <v>-2.2100000000000002E-3</v>
      </c>
      <c r="F103" s="151">
        <v>-4.2500000000000003E-3</v>
      </c>
      <c r="G103" s="151">
        <v>-4.2500000000000003E-3</v>
      </c>
      <c r="H103" s="151">
        <v>-2.2100000000000002E-3</v>
      </c>
      <c r="I103" s="151">
        <v>-2.6900000000000001E-3</v>
      </c>
      <c r="J103" s="151">
        <v>-8.1999999999999998E-4</v>
      </c>
      <c r="K103" s="151">
        <v>-8.1999999999999998E-4</v>
      </c>
      <c r="L103" s="151">
        <v>-4.8000000000000001E-4</v>
      </c>
      <c r="M103" s="151">
        <v>-4.8000000000000001E-4</v>
      </c>
      <c r="N103" s="151">
        <v>-4.8000000000000001E-4</v>
      </c>
      <c r="O103" s="151">
        <v>-4.8000000000000001E-4</v>
      </c>
      <c r="P103" s="151"/>
    </row>
    <row r="104" spans="1:19" x14ac:dyDescent="0.2">
      <c r="A104" s="145">
        <v>44620</v>
      </c>
      <c r="B104" s="151">
        <v>-5.5300000000000002E-3</v>
      </c>
      <c r="C104" s="151">
        <v>-2.6900000000000001E-3</v>
      </c>
      <c r="D104" s="151">
        <v>-2.6900000000000001E-3</v>
      </c>
      <c r="E104" s="151">
        <v>-2.2100000000000002E-3</v>
      </c>
      <c r="F104" s="151">
        <v>-4.2500000000000003E-3</v>
      </c>
      <c r="G104" s="151">
        <v>-4.2500000000000003E-3</v>
      </c>
      <c r="H104" s="151">
        <v>-2.2100000000000002E-3</v>
      </c>
      <c r="I104" s="151">
        <v>-2.6900000000000001E-3</v>
      </c>
      <c r="J104" s="151">
        <v>-8.1999999999999998E-4</v>
      </c>
      <c r="K104" s="151">
        <v>-8.1999999999999998E-4</v>
      </c>
      <c r="L104" s="151">
        <v>-4.8000000000000001E-4</v>
      </c>
      <c r="M104" s="151">
        <v>-4.8000000000000001E-4</v>
      </c>
      <c r="N104" s="151">
        <v>-4.8000000000000001E-4</v>
      </c>
      <c r="O104" s="151">
        <v>-4.8000000000000001E-4</v>
      </c>
      <c r="P104" s="151"/>
    </row>
    <row r="105" spans="1:19" x14ac:dyDescent="0.2">
      <c r="A105" s="145">
        <v>44651</v>
      </c>
      <c r="B105" s="151">
        <v>-5.5300000000000002E-3</v>
      </c>
      <c r="C105" s="151">
        <v>-2.6900000000000001E-3</v>
      </c>
      <c r="D105" s="151">
        <v>-2.6900000000000001E-3</v>
      </c>
      <c r="E105" s="151">
        <v>-2.2100000000000002E-3</v>
      </c>
      <c r="F105" s="151">
        <v>-4.2500000000000003E-3</v>
      </c>
      <c r="G105" s="151">
        <v>-4.2500000000000003E-3</v>
      </c>
      <c r="H105" s="151">
        <v>-2.2100000000000002E-3</v>
      </c>
      <c r="I105" s="151">
        <v>-2.6900000000000001E-3</v>
      </c>
      <c r="J105" s="151">
        <v>-8.1999999999999998E-4</v>
      </c>
      <c r="K105" s="151">
        <v>-8.1999999999999998E-4</v>
      </c>
      <c r="L105" s="151">
        <v>-4.8000000000000001E-4</v>
      </c>
      <c r="M105" s="151">
        <v>-4.8000000000000001E-4</v>
      </c>
      <c r="N105" s="151">
        <v>-4.8000000000000001E-4</v>
      </c>
      <c r="O105" s="151">
        <v>-4.8000000000000001E-4</v>
      </c>
      <c r="P105" s="151"/>
    </row>
    <row r="106" spans="1:19" x14ac:dyDescent="0.2">
      <c r="A106" s="145">
        <v>44681</v>
      </c>
      <c r="B106" s="151">
        <v>-5.5300000000000002E-3</v>
      </c>
      <c r="C106" s="151">
        <v>-2.6900000000000001E-3</v>
      </c>
      <c r="D106" s="151">
        <v>-2.6900000000000001E-3</v>
      </c>
      <c r="E106" s="151">
        <v>-2.2100000000000002E-3</v>
      </c>
      <c r="F106" s="151">
        <v>-4.2500000000000003E-3</v>
      </c>
      <c r="G106" s="151">
        <v>-4.2500000000000003E-3</v>
      </c>
      <c r="H106" s="151">
        <v>-2.2100000000000002E-3</v>
      </c>
      <c r="I106" s="151">
        <v>-2.6900000000000001E-3</v>
      </c>
      <c r="J106" s="151">
        <v>-8.1999999999999998E-4</v>
      </c>
      <c r="K106" s="151">
        <v>-8.1999999999999998E-4</v>
      </c>
      <c r="L106" s="151">
        <v>-4.8000000000000001E-4</v>
      </c>
      <c r="M106" s="151">
        <v>-4.8000000000000001E-4</v>
      </c>
      <c r="N106" s="151">
        <v>-4.8000000000000001E-4</v>
      </c>
      <c r="O106" s="151">
        <v>-4.8000000000000001E-4</v>
      </c>
      <c r="P106" s="151"/>
    </row>
    <row r="107" spans="1:19" x14ac:dyDescent="0.2">
      <c r="A107" s="145">
        <v>44712</v>
      </c>
      <c r="B107" s="151">
        <v>-5.5300000000000002E-3</v>
      </c>
      <c r="C107" s="151">
        <v>-2.6900000000000001E-3</v>
      </c>
      <c r="D107" s="151">
        <v>-2.6900000000000001E-3</v>
      </c>
      <c r="E107" s="151">
        <v>-2.2100000000000002E-3</v>
      </c>
      <c r="F107" s="151">
        <v>-4.2500000000000003E-3</v>
      </c>
      <c r="G107" s="151">
        <v>-4.2500000000000003E-3</v>
      </c>
      <c r="H107" s="151">
        <v>-2.2100000000000002E-3</v>
      </c>
      <c r="I107" s="151">
        <v>-2.6900000000000001E-3</v>
      </c>
      <c r="J107" s="151">
        <v>-8.1999999999999998E-4</v>
      </c>
      <c r="K107" s="151">
        <v>-8.1999999999999998E-4</v>
      </c>
      <c r="L107" s="151">
        <v>-4.8000000000000001E-4</v>
      </c>
      <c r="M107" s="151">
        <v>-4.8000000000000001E-4</v>
      </c>
      <c r="N107" s="151">
        <v>-4.8000000000000001E-4</v>
      </c>
      <c r="O107" s="151">
        <v>-4.8000000000000001E-4</v>
      </c>
      <c r="P107" s="151"/>
    </row>
    <row r="108" spans="1:19" x14ac:dyDescent="0.2">
      <c r="A108" s="145">
        <v>44742</v>
      </c>
      <c r="B108" s="151">
        <v>-5.5300000000000002E-3</v>
      </c>
      <c r="C108" s="151">
        <v>-2.6900000000000001E-3</v>
      </c>
      <c r="D108" s="151">
        <v>-2.6900000000000001E-3</v>
      </c>
      <c r="E108" s="151">
        <v>-2.2100000000000002E-3</v>
      </c>
      <c r="F108" s="151">
        <v>-4.2500000000000003E-3</v>
      </c>
      <c r="G108" s="151">
        <v>-4.2500000000000003E-3</v>
      </c>
      <c r="H108" s="151">
        <v>-2.2100000000000002E-3</v>
      </c>
      <c r="I108" s="151">
        <v>-2.6900000000000001E-3</v>
      </c>
      <c r="J108" s="151">
        <v>-8.1999999999999998E-4</v>
      </c>
      <c r="K108" s="151">
        <v>-8.1999999999999998E-4</v>
      </c>
      <c r="L108" s="151">
        <v>-4.8000000000000001E-4</v>
      </c>
      <c r="M108" s="151">
        <v>-4.8000000000000001E-4</v>
      </c>
      <c r="N108" s="151">
        <v>-4.8000000000000001E-4</v>
      </c>
      <c r="O108" s="151">
        <v>-4.8000000000000001E-4</v>
      </c>
      <c r="P108" s="151"/>
    </row>
    <row r="109" spans="1:19" x14ac:dyDescent="0.2">
      <c r="A109" s="145">
        <v>44773</v>
      </c>
      <c r="B109" s="151">
        <v>-5.5300000000000002E-3</v>
      </c>
      <c r="C109" s="151">
        <v>-2.6900000000000001E-3</v>
      </c>
      <c r="D109" s="151">
        <v>-2.6900000000000001E-3</v>
      </c>
      <c r="E109" s="151">
        <v>-2.2100000000000002E-3</v>
      </c>
      <c r="F109" s="151">
        <v>-4.2500000000000003E-3</v>
      </c>
      <c r="G109" s="151">
        <v>-4.2500000000000003E-3</v>
      </c>
      <c r="H109" s="151">
        <v>-2.2100000000000002E-3</v>
      </c>
      <c r="I109" s="151">
        <v>-2.6900000000000001E-3</v>
      </c>
      <c r="J109" s="151">
        <v>-8.1999999999999998E-4</v>
      </c>
      <c r="K109" s="151">
        <v>-8.1999999999999998E-4</v>
      </c>
      <c r="L109" s="151">
        <v>-4.8000000000000001E-4</v>
      </c>
      <c r="M109" s="151">
        <v>-4.8000000000000001E-4</v>
      </c>
      <c r="N109" s="151">
        <v>-4.8000000000000001E-4</v>
      </c>
      <c r="O109" s="151">
        <v>-4.8000000000000001E-4</v>
      </c>
      <c r="P109" s="151"/>
    </row>
    <row r="110" spans="1:19" x14ac:dyDescent="0.2">
      <c r="A110" s="145">
        <v>44804</v>
      </c>
      <c r="B110" s="151">
        <v>-5.5300000000000002E-3</v>
      </c>
      <c r="C110" s="151">
        <v>-2.6900000000000001E-3</v>
      </c>
      <c r="D110" s="151">
        <v>-2.6900000000000001E-3</v>
      </c>
      <c r="E110" s="151">
        <v>-2.2100000000000002E-3</v>
      </c>
      <c r="F110" s="151">
        <v>-4.2500000000000003E-3</v>
      </c>
      <c r="G110" s="151">
        <v>-4.2500000000000003E-3</v>
      </c>
      <c r="H110" s="151">
        <v>-2.2100000000000002E-3</v>
      </c>
      <c r="I110" s="151">
        <v>-2.6900000000000001E-3</v>
      </c>
      <c r="J110" s="151">
        <v>-8.1999999999999998E-4</v>
      </c>
      <c r="K110" s="151">
        <v>-8.1999999999999998E-4</v>
      </c>
      <c r="L110" s="151">
        <v>-4.8000000000000001E-4</v>
      </c>
      <c r="M110" s="151">
        <v>-4.8000000000000001E-4</v>
      </c>
      <c r="N110" s="151">
        <v>-4.8000000000000001E-4</v>
      </c>
      <c r="O110" s="151">
        <v>-4.8000000000000001E-4</v>
      </c>
      <c r="P110" s="151"/>
    </row>
    <row r="111" spans="1:19" x14ac:dyDescent="0.2">
      <c r="A111" s="145">
        <v>44834</v>
      </c>
      <c r="B111" s="151">
        <v>-5.5300000000000002E-3</v>
      </c>
      <c r="C111" s="151">
        <v>-2.6900000000000001E-3</v>
      </c>
      <c r="D111" s="151">
        <v>-2.6900000000000001E-3</v>
      </c>
      <c r="E111" s="151">
        <v>-2.2100000000000002E-3</v>
      </c>
      <c r="F111" s="151">
        <v>-4.2500000000000003E-3</v>
      </c>
      <c r="G111" s="151">
        <v>-4.2500000000000003E-3</v>
      </c>
      <c r="H111" s="151">
        <v>-2.2100000000000002E-3</v>
      </c>
      <c r="I111" s="151">
        <v>-2.6900000000000001E-3</v>
      </c>
      <c r="J111" s="151">
        <v>-8.1999999999999998E-4</v>
      </c>
      <c r="K111" s="151">
        <v>-8.1999999999999998E-4</v>
      </c>
      <c r="L111" s="151">
        <v>-4.8000000000000001E-4</v>
      </c>
      <c r="M111" s="151">
        <v>-4.8000000000000001E-4</v>
      </c>
      <c r="N111" s="151">
        <v>-4.8000000000000001E-4</v>
      </c>
      <c r="O111" s="151">
        <v>-4.8000000000000001E-4</v>
      </c>
      <c r="P111" s="151"/>
    </row>
    <row r="112" spans="1:19" x14ac:dyDescent="0.2">
      <c r="A112" s="145">
        <v>44865</v>
      </c>
      <c r="B112" s="151">
        <v>-5.5300000000000002E-3</v>
      </c>
      <c r="C112" s="151">
        <v>-2.6900000000000001E-3</v>
      </c>
      <c r="D112" s="151">
        <v>-2.6900000000000001E-3</v>
      </c>
      <c r="E112" s="151">
        <v>-2.2100000000000002E-3</v>
      </c>
      <c r="F112" s="151">
        <v>-4.2500000000000003E-3</v>
      </c>
      <c r="G112" s="151">
        <v>-4.2500000000000003E-3</v>
      </c>
      <c r="H112" s="151">
        <v>-2.2100000000000002E-3</v>
      </c>
      <c r="I112" s="151">
        <v>-2.6900000000000001E-3</v>
      </c>
      <c r="J112" s="151">
        <v>-8.1999999999999998E-4</v>
      </c>
      <c r="K112" s="151">
        <v>-8.1999999999999998E-4</v>
      </c>
      <c r="L112" s="151">
        <v>-4.8000000000000001E-4</v>
      </c>
      <c r="M112" s="151">
        <v>-4.8000000000000001E-4</v>
      </c>
      <c r="N112" s="151">
        <v>-4.8000000000000001E-4</v>
      </c>
      <c r="O112" s="151">
        <v>-4.8000000000000001E-4</v>
      </c>
      <c r="P112" s="151"/>
    </row>
    <row r="114" spans="1:30" x14ac:dyDescent="0.2">
      <c r="B114" s="150"/>
      <c r="C114" s="150"/>
      <c r="D114" s="150"/>
      <c r="E114" s="150"/>
      <c r="F114" s="150"/>
      <c r="G114" s="150"/>
      <c r="H114" s="150"/>
      <c r="I114" s="150"/>
      <c r="J114" s="150"/>
      <c r="K114" s="25"/>
      <c r="L114" s="25"/>
      <c r="M114" s="25"/>
      <c r="N114" s="25"/>
      <c r="O114" s="25"/>
      <c r="P114" s="25"/>
    </row>
    <row r="115" spans="1:30" x14ac:dyDescent="0.2">
      <c r="B115" s="139">
        <v>503</v>
      </c>
      <c r="C115" s="139" t="s">
        <v>38</v>
      </c>
      <c r="D115" s="139">
        <v>505</v>
      </c>
      <c r="E115" s="139">
        <v>511</v>
      </c>
      <c r="F115" s="139" t="s">
        <v>39</v>
      </c>
      <c r="G115" s="139">
        <v>504</v>
      </c>
      <c r="H115" s="139" t="s">
        <v>41</v>
      </c>
      <c r="I115" s="139" t="s">
        <v>38</v>
      </c>
      <c r="J115" s="139">
        <v>570</v>
      </c>
      <c r="K115" s="139">
        <v>570</v>
      </c>
      <c r="L115" s="142" t="s">
        <v>42</v>
      </c>
      <c r="M115" s="142">
        <v>6631</v>
      </c>
      <c r="N115" s="142">
        <v>6633</v>
      </c>
      <c r="O115" s="142">
        <v>6635</v>
      </c>
      <c r="P115" s="142">
        <v>916</v>
      </c>
      <c r="R115" s="144" t="s">
        <v>51</v>
      </c>
      <c r="T115" s="142">
        <v>4800</v>
      </c>
      <c r="U115" s="142">
        <v>4809</v>
      </c>
      <c r="V115" s="142">
        <v>4810</v>
      </c>
      <c r="W115" s="142">
        <v>4811</v>
      </c>
      <c r="X115" s="142">
        <v>4813</v>
      </c>
      <c r="Y115" s="142" t="s">
        <v>12</v>
      </c>
      <c r="Z115" s="142">
        <v>4861</v>
      </c>
      <c r="AA115" s="142">
        <v>4863</v>
      </c>
      <c r="AB115" s="142" t="s">
        <v>14</v>
      </c>
      <c r="AC115" s="144" t="s">
        <v>51</v>
      </c>
    </row>
    <row r="116" spans="1:30" hidden="1" x14ac:dyDescent="0.2">
      <c r="A116" s="145">
        <f>'TAX Interest Rates'!A17</f>
        <v>43343</v>
      </c>
      <c r="B116" s="153">
        <f t="shared" ref="B116:P116" si="9">ROUND(-B4*B62,2)</f>
        <v>4864.8500000000004</v>
      </c>
      <c r="C116" s="153">
        <f t="shared" si="9"/>
        <v>0</v>
      </c>
      <c r="D116" s="153">
        <f t="shared" si="9"/>
        <v>379.37</v>
      </c>
      <c r="E116" s="153">
        <f t="shared" si="9"/>
        <v>172.56</v>
      </c>
      <c r="F116" s="153">
        <f t="shared" si="9"/>
        <v>0.59</v>
      </c>
      <c r="G116" s="153">
        <f t="shared" si="9"/>
        <v>3697.61</v>
      </c>
      <c r="H116" s="153">
        <f t="shared" si="9"/>
        <v>267.77999999999997</v>
      </c>
      <c r="I116" s="153">
        <f t="shared" si="9"/>
        <v>0.85</v>
      </c>
      <c r="J116" s="153">
        <f t="shared" si="9"/>
        <v>0</v>
      </c>
      <c r="K116" s="153">
        <f t="shared" si="9"/>
        <v>67.239999999999995</v>
      </c>
      <c r="L116" s="153">
        <f t="shared" si="9"/>
        <v>11577.74</v>
      </c>
      <c r="M116" s="153">
        <f t="shared" si="9"/>
        <v>0</v>
      </c>
      <c r="N116" s="153">
        <f t="shared" si="9"/>
        <v>5487.89</v>
      </c>
      <c r="O116" s="153">
        <f t="shared" si="9"/>
        <v>2276.1999999999998</v>
      </c>
      <c r="P116" s="153">
        <f t="shared" si="9"/>
        <v>6188.95</v>
      </c>
      <c r="R116" s="2">
        <f t="shared" ref="R116:R127" si="10">SUM(B116:Q116)</f>
        <v>34981.630000000005</v>
      </c>
      <c r="T116" s="2">
        <f>+B116</f>
        <v>4864.8500000000004</v>
      </c>
      <c r="U116" s="2">
        <f>+C116+D116+E116</f>
        <v>551.93000000000006</v>
      </c>
      <c r="V116" s="2">
        <f>+F116+G116+H116</f>
        <v>3965.9800000000005</v>
      </c>
      <c r="W116" s="2">
        <f>+I116+J116</f>
        <v>0.85</v>
      </c>
      <c r="X116" s="2">
        <f>+K116</f>
        <v>67.239999999999995</v>
      </c>
      <c r="Y116" s="2">
        <f>SUM(T116:X116)</f>
        <v>9450.8500000000022</v>
      </c>
      <c r="Z116" s="2">
        <f>+L116</f>
        <v>11577.74</v>
      </c>
      <c r="AA116" s="2">
        <f>+M116+N116+O116+P116</f>
        <v>13953.04</v>
      </c>
      <c r="AB116" s="2">
        <f>SUM(Z116:AA116)</f>
        <v>25530.78</v>
      </c>
      <c r="AC116" s="2">
        <f>+Y116+AB116</f>
        <v>34981.630000000005</v>
      </c>
      <c r="AD116" s="2">
        <f>+R116-Y116-AB116</f>
        <v>0</v>
      </c>
    </row>
    <row r="117" spans="1:30" hidden="1" x14ac:dyDescent="0.2">
      <c r="A117" s="145">
        <f>'TAX Interest Rates'!A18</f>
        <v>43373</v>
      </c>
      <c r="B117" s="153">
        <f t="shared" ref="B117:P117" si="11">ROUND(-B5*B63,2)</f>
        <v>13708.84</v>
      </c>
      <c r="C117" s="153">
        <f t="shared" si="11"/>
        <v>-0.85</v>
      </c>
      <c r="D117" s="153">
        <f t="shared" si="11"/>
        <v>1535.8</v>
      </c>
      <c r="E117" s="153">
        <f t="shared" si="11"/>
        <v>469.97</v>
      </c>
      <c r="F117" s="153">
        <f t="shared" si="11"/>
        <v>1.88</v>
      </c>
      <c r="G117" s="153">
        <f t="shared" si="11"/>
        <v>10440.69</v>
      </c>
      <c r="H117" s="153">
        <f t="shared" si="11"/>
        <v>749.21</v>
      </c>
      <c r="I117" s="153">
        <f t="shared" si="11"/>
        <v>1.3</v>
      </c>
      <c r="J117" s="153">
        <f t="shared" si="11"/>
        <v>0</v>
      </c>
      <c r="K117" s="153">
        <f t="shared" si="11"/>
        <v>85.42</v>
      </c>
      <c r="L117" s="153">
        <f t="shared" si="11"/>
        <v>13098.28</v>
      </c>
      <c r="M117" s="153">
        <f t="shared" si="11"/>
        <v>6584.55</v>
      </c>
      <c r="N117" s="153">
        <f t="shared" si="11"/>
        <v>6183.84</v>
      </c>
      <c r="O117" s="153">
        <f t="shared" si="11"/>
        <v>894.78</v>
      </c>
      <c r="P117" s="153">
        <f t="shared" si="11"/>
        <v>0</v>
      </c>
      <c r="R117" s="2">
        <f t="shared" si="10"/>
        <v>53753.709999999992</v>
      </c>
      <c r="T117" s="2">
        <f t="shared" ref="T117:T127" si="12">+B117</f>
        <v>13708.84</v>
      </c>
      <c r="U117" s="2">
        <f t="shared" ref="U117:U127" si="13">+C117+D117+E117</f>
        <v>2004.92</v>
      </c>
      <c r="V117" s="2">
        <f t="shared" ref="V117:V127" si="14">+F117+G117+H117</f>
        <v>11191.779999999999</v>
      </c>
      <c r="W117" s="2">
        <f t="shared" ref="W117:W127" si="15">+I117+J117</f>
        <v>1.3</v>
      </c>
      <c r="X117" s="2">
        <f t="shared" ref="X117:X127" si="16">+K117</f>
        <v>85.42</v>
      </c>
      <c r="Y117" s="2">
        <f t="shared" ref="Y117:Y127" si="17">SUM(T117:X117)</f>
        <v>26992.26</v>
      </c>
      <c r="Z117" s="2">
        <f t="shared" ref="Z117:Z127" si="18">+L117</f>
        <v>13098.28</v>
      </c>
      <c r="AA117" s="2">
        <f t="shared" ref="AA117:AA127" si="19">+M117+N117+O117+P117</f>
        <v>13663.17</v>
      </c>
      <c r="AB117" s="2">
        <f t="shared" ref="AB117:AB127" si="20">SUM(Z117:AA117)</f>
        <v>26761.45</v>
      </c>
      <c r="AC117" s="2">
        <f t="shared" ref="AC117:AC127" si="21">+Y117+AB117</f>
        <v>53753.71</v>
      </c>
      <c r="AD117" s="2">
        <f t="shared" ref="AD117:AD127" si="22">+R117-Y117-AB117</f>
        <v>0</v>
      </c>
    </row>
    <row r="118" spans="1:30" hidden="1" x14ac:dyDescent="0.2">
      <c r="A118" s="145">
        <f>'TAX Interest Rates'!A19</f>
        <v>43404</v>
      </c>
      <c r="B118" s="153">
        <f t="shared" ref="B118:P118" si="23">ROUND(-B6*B64,2)</f>
        <v>25898.73</v>
      </c>
      <c r="C118" s="153">
        <f t="shared" si="23"/>
        <v>0</v>
      </c>
      <c r="D118" s="153">
        <f t="shared" si="23"/>
        <v>2444.86</v>
      </c>
      <c r="E118" s="153">
        <f t="shared" si="23"/>
        <v>871.9</v>
      </c>
      <c r="F118" s="153">
        <f t="shared" si="23"/>
        <v>7.8</v>
      </c>
      <c r="G118" s="153">
        <f t="shared" si="23"/>
        <v>15974.12</v>
      </c>
      <c r="H118" s="153">
        <f t="shared" si="23"/>
        <v>1315.52</v>
      </c>
      <c r="I118" s="153">
        <f t="shared" si="23"/>
        <v>0.05</v>
      </c>
      <c r="J118" s="153">
        <f t="shared" si="23"/>
        <v>0</v>
      </c>
      <c r="K118" s="153">
        <f t="shared" si="23"/>
        <v>142.37</v>
      </c>
      <c r="L118" s="153">
        <f t="shared" si="23"/>
        <v>13952.89</v>
      </c>
      <c r="M118" s="153">
        <f t="shared" si="23"/>
        <v>3317.15</v>
      </c>
      <c r="N118" s="153">
        <f t="shared" si="23"/>
        <v>1734.66</v>
      </c>
      <c r="O118" s="153">
        <f t="shared" si="23"/>
        <v>860.66</v>
      </c>
      <c r="P118" s="153">
        <f t="shared" si="23"/>
        <v>0</v>
      </c>
      <c r="R118" s="2">
        <f t="shared" si="10"/>
        <v>66520.710000000006</v>
      </c>
      <c r="T118" s="2">
        <f t="shared" si="12"/>
        <v>25898.73</v>
      </c>
      <c r="U118" s="2">
        <f t="shared" si="13"/>
        <v>3316.76</v>
      </c>
      <c r="V118" s="2">
        <f t="shared" si="14"/>
        <v>17297.439999999999</v>
      </c>
      <c r="W118" s="2">
        <f t="shared" si="15"/>
        <v>0.05</v>
      </c>
      <c r="X118" s="2">
        <f t="shared" si="16"/>
        <v>142.37</v>
      </c>
      <c r="Y118" s="2">
        <f t="shared" si="17"/>
        <v>46655.35</v>
      </c>
      <c r="Z118" s="2">
        <f t="shared" si="18"/>
        <v>13952.89</v>
      </c>
      <c r="AA118" s="2">
        <f t="shared" si="19"/>
        <v>5912.47</v>
      </c>
      <c r="AB118" s="2">
        <f t="shared" si="20"/>
        <v>19865.36</v>
      </c>
      <c r="AC118" s="2">
        <f t="shared" si="21"/>
        <v>66520.709999999992</v>
      </c>
      <c r="AD118" s="2">
        <f t="shared" si="22"/>
        <v>0</v>
      </c>
    </row>
    <row r="119" spans="1:30" hidden="1" x14ac:dyDescent="0.2">
      <c r="A119" s="145">
        <f>'TAX Interest Rates'!A20</f>
        <v>43434</v>
      </c>
      <c r="B119" s="153">
        <f t="shared" ref="B119:P119" si="24">ROUND(-B7*B64,2)</f>
        <v>27950.15</v>
      </c>
      <c r="C119" s="153">
        <f t="shared" si="24"/>
        <v>0</v>
      </c>
      <c r="D119" s="153">
        <f t="shared" si="24"/>
        <v>1638.33</v>
      </c>
      <c r="E119" s="153">
        <f t="shared" si="24"/>
        <v>209.54</v>
      </c>
      <c r="F119" s="153">
        <f t="shared" si="24"/>
        <v>0</v>
      </c>
      <c r="G119" s="153">
        <f t="shared" si="24"/>
        <v>15117.56</v>
      </c>
      <c r="H119" s="153">
        <f t="shared" si="24"/>
        <v>896.65</v>
      </c>
      <c r="I119" s="153">
        <f t="shared" si="24"/>
        <v>0</v>
      </c>
      <c r="J119" s="153">
        <f t="shared" si="24"/>
        <v>0</v>
      </c>
      <c r="K119" s="153">
        <f t="shared" si="24"/>
        <v>0</v>
      </c>
      <c r="L119" s="153">
        <f t="shared" si="24"/>
        <v>0</v>
      </c>
      <c r="M119" s="153">
        <f t="shared" si="24"/>
        <v>0</v>
      </c>
      <c r="N119" s="153">
        <f t="shared" si="24"/>
        <v>0</v>
      </c>
      <c r="O119" s="153">
        <f t="shared" si="24"/>
        <v>0</v>
      </c>
      <c r="P119" s="153">
        <f t="shared" si="24"/>
        <v>0</v>
      </c>
      <c r="R119" s="2">
        <f t="shared" ref="R119" si="25">SUM(B119:Q119)</f>
        <v>45812.23</v>
      </c>
      <c r="S119" s="2" t="s">
        <v>45</v>
      </c>
      <c r="T119" s="2">
        <f t="shared" ref="T119" si="26">+B119</f>
        <v>27950.15</v>
      </c>
      <c r="U119" s="2">
        <f t="shared" ref="U119" si="27">+C119+D119+E119</f>
        <v>1847.87</v>
      </c>
      <c r="V119" s="2">
        <f t="shared" ref="V119" si="28">+F119+G119+H119</f>
        <v>16014.21</v>
      </c>
      <c r="W119" s="2">
        <f t="shared" ref="W119" si="29">+I119+J119</f>
        <v>0</v>
      </c>
      <c r="X119" s="2">
        <f t="shared" ref="X119" si="30">+K119</f>
        <v>0</v>
      </c>
      <c r="Y119" s="2">
        <f t="shared" si="17"/>
        <v>45812.229999999996</v>
      </c>
      <c r="Z119" s="2">
        <f t="shared" ref="Z119" si="31">+L119</f>
        <v>0</v>
      </c>
      <c r="AA119" s="2">
        <f t="shared" ref="AA119" si="32">+M119+N119+O119+P119</f>
        <v>0</v>
      </c>
      <c r="AB119" s="2">
        <f t="shared" si="20"/>
        <v>0</v>
      </c>
      <c r="AC119" s="2">
        <f t="shared" si="21"/>
        <v>45812.229999999996</v>
      </c>
      <c r="AD119" s="2">
        <f t="shared" si="22"/>
        <v>7.2759576141834259E-12</v>
      </c>
    </row>
    <row r="120" spans="1:30" hidden="1" x14ac:dyDescent="0.2">
      <c r="A120" s="145">
        <f>'TAX Interest Rates'!A20</f>
        <v>43434</v>
      </c>
      <c r="B120" s="153">
        <f t="shared" ref="B120:P120" si="33">ROUND(-B8*B65,2)</f>
        <v>17492.91</v>
      </c>
      <c r="C120" s="153">
        <f t="shared" si="33"/>
        <v>0.17</v>
      </c>
      <c r="D120" s="153">
        <f t="shared" si="33"/>
        <v>783.96</v>
      </c>
      <c r="E120" s="153">
        <f t="shared" si="33"/>
        <v>167.55</v>
      </c>
      <c r="F120" s="153">
        <f t="shared" si="33"/>
        <v>14.41</v>
      </c>
      <c r="G120" s="153">
        <f t="shared" si="33"/>
        <v>8829.73</v>
      </c>
      <c r="H120" s="153">
        <f t="shared" si="33"/>
        <v>716.96</v>
      </c>
      <c r="I120" s="153">
        <f t="shared" si="33"/>
        <v>0</v>
      </c>
      <c r="J120" s="153">
        <f t="shared" si="33"/>
        <v>0</v>
      </c>
      <c r="K120" s="153">
        <f t="shared" si="33"/>
        <v>174.15</v>
      </c>
      <c r="L120" s="153">
        <f t="shared" si="33"/>
        <v>12455.39</v>
      </c>
      <c r="M120" s="153">
        <f t="shared" si="33"/>
        <v>36.85</v>
      </c>
      <c r="N120" s="153">
        <f t="shared" si="33"/>
        <v>13.54</v>
      </c>
      <c r="O120" s="153">
        <f t="shared" si="33"/>
        <v>16.27</v>
      </c>
      <c r="P120" s="153">
        <f t="shared" si="33"/>
        <v>0</v>
      </c>
      <c r="R120" s="2">
        <f t="shared" si="10"/>
        <v>40701.889999999992</v>
      </c>
      <c r="S120" s="2" t="s">
        <v>46</v>
      </c>
      <c r="T120" s="2">
        <f t="shared" si="12"/>
        <v>17492.91</v>
      </c>
      <c r="U120" s="2">
        <f t="shared" si="13"/>
        <v>951.68000000000006</v>
      </c>
      <c r="V120" s="2">
        <f t="shared" si="14"/>
        <v>9561.0999999999985</v>
      </c>
      <c r="W120" s="2">
        <f t="shared" si="15"/>
        <v>0</v>
      </c>
      <c r="X120" s="2">
        <f t="shared" si="16"/>
        <v>174.15</v>
      </c>
      <c r="Y120" s="2">
        <f t="shared" si="17"/>
        <v>28179.84</v>
      </c>
      <c r="Z120" s="2">
        <f t="shared" si="18"/>
        <v>12455.39</v>
      </c>
      <c r="AA120" s="2">
        <f t="shared" si="19"/>
        <v>66.66</v>
      </c>
      <c r="AB120" s="2">
        <f t="shared" si="20"/>
        <v>12522.05</v>
      </c>
      <c r="AC120" s="2">
        <f t="shared" si="21"/>
        <v>40701.89</v>
      </c>
      <c r="AD120" s="2">
        <f t="shared" si="22"/>
        <v>0</v>
      </c>
    </row>
    <row r="121" spans="1:30" hidden="1" x14ac:dyDescent="0.2">
      <c r="A121" s="145">
        <f>'TAX Interest Rates'!A21</f>
        <v>43465</v>
      </c>
      <c r="B121" s="153">
        <f t="shared" ref="B121:P121" si="34">ROUND(-B9*B66,2)</f>
        <v>92138.8</v>
      </c>
      <c r="C121" s="153">
        <f t="shared" si="34"/>
        <v>-0.17</v>
      </c>
      <c r="D121" s="153">
        <f t="shared" si="34"/>
        <v>3880.02</v>
      </c>
      <c r="E121" s="153">
        <f t="shared" si="34"/>
        <v>659.43</v>
      </c>
      <c r="F121" s="153">
        <f t="shared" si="34"/>
        <v>20.45</v>
      </c>
      <c r="G121" s="153">
        <f t="shared" si="34"/>
        <v>47674.39</v>
      </c>
      <c r="H121" s="153">
        <f t="shared" si="34"/>
        <v>2988.68</v>
      </c>
      <c r="I121" s="153">
        <f t="shared" si="34"/>
        <v>0.37</v>
      </c>
      <c r="J121" s="153">
        <f t="shared" si="34"/>
        <v>0</v>
      </c>
      <c r="K121" s="153">
        <f t="shared" si="34"/>
        <v>208.39</v>
      </c>
      <c r="L121" s="153">
        <f t="shared" si="34"/>
        <v>14086.49</v>
      </c>
      <c r="M121" s="153">
        <f t="shared" si="34"/>
        <v>6903.64</v>
      </c>
      <c r="N121" s="153">
        <f t="shared" si="34"/>
        <v>2136.3000000000002</v>
      </c>
      <c r="O121" s="153">
        <f t="shared" si="34"/>
        <v>27.59</v>
      </c>
      <c r="P121" s="153">
        <f t="shared" si="34"/>
        <v>0</v>
      </c>
      <c r="R121" s="2">
        <f t="shared" si="10"/>
        <v>170724.37999999998</v>
      </c>
      <c r="T121" s="2">
        <f t="shared" si="12"/>
        <v>92138.8</v>
      </c>
      <c r="U121" s="2">
        <f t="shared" si="13"/>
        <v>4539.28</v>
      </c>
      <c r="V121" s="2">
        <f t="shared" si="14"/>
        <v>50683.519999999997</v>
      </c>
      <c r="W121" s="2">
        <f t="shared" si="15"/>
        <v>0.37</v>
      </c>
      <c r="X121" s="2">
        <f t="shared" si="16"/>
        <v>208.39</v>
      </c>
      <c r="Y121" s="2">
        <f t="shared" si="17"/>
        <v>147570.36000000002</v>
      </c>
      <c r="Z121" s="2">
        <f t="shared" si="18"/>
        <v>14086.49</v>
      </c>
      <c r="AA121" s="2">
        <f t="shared" si="19"/>
        <v>9067.5300000000007</v>
      </c>
      <c r="AB121" s="2">
        <f t="shared" si="20"/>
        <v>23154.02</v>
      </c>
      <c r="AC121" s="2">
        <f t="shared" si="21"/>
        <v>170724.38</v>
      </c>
      <c r="AD121" s="2">
        <f t="shared" si="22"/>
        <v>-4.0017766878008842E-11</v>
      </c>
    </row>
    <row r="122" spans="1:30" hidden="1" x14ac:dyDescent="0.2">
      <c r="A122" s="145">
        <f>'TAX Interest Rates'!A22</f>
        <v>43496</v>
      </c>
      <c r="B122" s="153">
        <f t="shared" ref="B122:P122" si="35">ROUND(-B10*B67,2)</f>
        <v>105092.38</v>
      </c>
      <c r="C122" s="153">
        <f t="shared" si="35"/>
        <v>0</v>
      </c>
      <c r="D122" s="153">
        <f t="shared" si="35"/>
        <v>3770.67</v>
      </c>
      <c r="E122" s="153">
        <f t="shared" si="35"/>
        <v>714.86</v>
      </c>
      <c r="F122" s="153">
        <f t="shared" si="35"/>
        <v>19.239999999999998</v>
      </c>
      <c r="G122" s="153">
        <f t="shared" si="35"/>
        <v>54570.74</v>
      </c>
      <c r="H122" s="153">
        <f t="shared" si="35"/>
        <v>3191.7</v>
      </c>
      <c r="I122" s="153">
        <f t="shared" si="35"/>
        <v>0.02</v>
      </c>
      <c r="J122" s="153">
        <f t="shared" si="35"/>
        <v>0</v>
      </c>
      <c r="K122" s="153">
        <f t="shared" si="35"/>
        <v>207.05</v>
      </c>
      <c r="L122" s="153">
        <f t="shared" si="35"/>
        <v>14916.93</v>
      </c>
      <c r="M122" s="153">
        <f t="shared" si="35"/>
        <v>7173.36</v>
      </c>
      <c r="N122" s="153">
        <f t="shared" si="35"/>
        <v>1962.28</v>
      </c>
      <c r="O122" s="153">
        <f t="shared" si="35"/>
        <v>50.92</v>
      </c>
      <c r="P122" s="153">
        <f t="shared" si="35"/>
        <v>0</v>
      </c>
      <c r="R122" s="2">
        <f t="shared" si="10"/>
        <v>191670.15</v>
      </c>
      <c r="T122" s="2">
        <f t="shared" si="12"/>
        <v>105092.38</v>
      </c>
      <c r="U122" s="2">
        <f t="shared" si="13"/>
        <v>4485.53</v>
      </c>
      <c r="V122" s="2">
        <f t="shared" si="14"/>
        <v>57781.679999999993</v>
      </c>
      <c r="W122" s="2">
        <f t="shared" si="15"/>
        <v>0.02</v>
      </c>
      <c r="X122" s="2">
        <f t="shared" si="16"/>
        <v>207.05</v>
      </c>
      <c r="Y122" s="2">
        <f t="shared" si="17"/>
        <v>167566.65999999997</v>
      </c>
      <c r="Z122" s="2">
        <f t="shared" si="18"/>
        <v>14916.93</v>
      </c>
      <c r="AA122" s="2">
        <f t="shared" si="19"/>
        <v>9186.56</v>
      </c>
      <c r="AB122" s="2">
        <f t="shared" si="20"/>
        <v>24103.489999999998</v>
      </c>
      <c r="AC122" s="2">
        <f t="shared" si="21"/>
        <v>191670.14999999997</v>
      </c>
      <c r="AD122" s="2">
        <f t="shared" si="22"/>
        <v>0</v>
      </c>
    </row>
    <row r="123" spans="1:30" hidden="1" x14ac:dyDescent="0.2">
      <c r="A123" s="145">
        <f>'TAX Interest Rates'!A23</f>
        <v>43524</v>
      </c>
      <c r="B123" s="153">
        <f t="shared" ref="B123:P123" si="36">ROUND(-B11*B68,2)</f>
        <v>112671.33</v>
      </c>
      <c r="C123" s="153">
        <f t="shared" si="36"/>
        <v>0</v>
      </c>
      <c r="D123" s="153">
        <f t="shared" si="36"/>
        <v>4250.47</v>
      </c>
      <c r="E123" s="153">
        <f t="shared" si="36"/>
        <v>704.09</v>
      </c>
      <c r="F123" s="153">
        <f t="shared" si="36"/>
        <v>22.82</v>
      </c>
      <c r="G123" s="153">
        <f t="shared" si="36"/>
        <v>58191.02</v>
      </c>
      <c r="H123" s="153">
        <f t="shared" si="36"/>
        <v>3299.39</v>
      </c>
      <c r="I123" s="153">
        <f t="shared" si="36"/>
        <v>0</v>
      </c>
      <c r="J123" s="153">
        <f t="shared" si="36"/>
        <v>0</v>
      </c>
      <c r="K123" s="153">
        <f t="shared" si="36"/>
        <v>216.15</v>
      </c>
      <c r="L123" s="153">
        <f t="shared" si="36"/>
        <v>14508.11</v>
      </c>
      <c r="M123" s="153">
        <f t="shared" si="36"/>
        <v>3556.25</v>
      </c>
      <c r="N123" s="153">
        <f t="shared" si="36"/>
        <v>2806.42</v>
      </c>
      <c r="O123" s="153">
        <f t="shared" si="36"/>
        <v>109.77</v>
      </c>
      <c r="P123" s="153">
        <f t="shared" si="36"/>
        <v>0</v>
      </c>
      <c r="R123" s="2">
        <f t="shared" si="10"/>
        <v>200335.82</v>
      </c>
      <c r="T123" s="2">
        <f t="shared" si="12"/>
        <v>112671.33</v>
      </c>
      <c r="U123" s="2">
        <f t="shared" si="13"/>
        <v>4954.5600000000004</v>
      </c>
      <c r="V123" s="2">
        <f t="shared" si="14"/>
        <v>61513.229999999996</v>
      </c>
      <c r="W123" s="2">
        <f t="shared" si="15"/>
        <v>0</v>
      </c>
      <c r="X123" s="2">
        <f t="shared" si="16"/>
        <v>216.15</v>
      </c>
      <c r="Y123" s="2">
        <f t="shared" si="17"/>
        <v>179355.27</v>
      </c>
      <c r="Z123" s="2">
        <f t="shared" si="18"/>
        <v>14508.11</v>
      </c>
      <c r="AA123" s="2">
        <f t="shared" si="19"/>
        <v>6472.4400000000005</v>
      </c>
      <c r="AB123" s="2">
        <f t="shared" si="20"/>
        <v>20980.550000000003</v>
      </c>
      <c r="AC123" s="2">
        <f t="shared" si="21"/>
        <v>200335.82</v>
      </c>
      <c r="AD123" s="2">
        <f t="shared" si="22"/>
        <v>0</v>
      </c>
    </row>
    <row r="124" spans="1:30" hidden="1" x14ac:dyDescent="0.2">
      <c r="A124" s="145">
        <f>'TAX Interest Rates'!A24</f>
        <v>43555</v>
      </c>
      <c r="B124" s="153">
        <f t="shared" ref="B124:P124" si="37">ROUND(-B12*B69,2)</f>
        <v>121220.12</v>
      </c>
      <c r="C124" s="153">
        <f t="shared" si="37"/>
        <v>0</v>
      </c>
      <c r="D124" s="153">
        <f t="shared" si="37"/>
        <v>4720.1400000000003</v>
      </c>
      <c r="E124" s="153">
        <f t="shared" si="37"/>
        <v>744.01</v>
      </c>
      <c r="F124" s="153">
        <f t="shared" si="37"/>
        <v>14.67</v>
      </c>
      <c r="G124" s="153">
        <f t="shared" si="37"/>
        <v>66317.990000000005</v>
      </c>
      <c r="H124" s="153">
        <f t="shared" si="37"/>
        <v>3564.23</v>
      </c>
      <c r="I124" s="153">
        <f t="shared" si="37"/>
        <v>0</v>
      </c>
      <c r="J124" s="153">
        <f t="shared" si="37"/>
        <v>0</v>
      </c>
      <c r="K124" s="153">
        <f t="shared" si="37"/>
        <v>198.52</v>
      </c>
      <c r="L124" s="153">
        <f t="shared" si="37"/>
        <v>14131.76</v>
      </c>
      <c r="M124" s="153">
        <f t="shared" si="37"/>
        <v>4712.4799999999996</v>
      </c>
      <c r="N124" s="153">
        <f t="shared" si="37"/>
        <v>1482.31</v>
      </c>
      <c r="O124" s="153">
        <f t="shared" si="37"/>
        <v>0</v>
      </c>
      <c r="P124" s="153">
        <f t="shared" si="37"/>
        <v>0</v>
      </c>
      <c r="R124" s="2">
        <f t="shared" si="10"/>
        <v>217106.23</v>
      </c>
      <c r="T124" s="2">
        <f t="shared" si="12"/>
        <v>121220.12</v>
      </c>
      <c r="U124" s="2">
        <f t="shared" si="13"/>
        <v>5464.1500000000005</v>
      </c>
      <c r="V124" s="2">
        <f t="shared" si="14"/>
        <v>69896.89</v>
      </c>
      <c r="W124" s="2">
        <f t="shared" si="15"/>
        <v>0</v>
      </c>
      <c r="X124" s="2">
        <f t="shared" si="16"/>
        <v>198.52</v>
      </c>
      <c r="Y124" s="2">
        <f t="shared" si="17"/>
        <v>196779.67999999996</v>
      </c>
      <c r="Z124" s="2">
        <f t="shared" si="18"/>
        <v>14131.76</v>
      </c>
      <c r="AA124" s="2">
        <f t="shared" si="19"/>
        <v>6194.7899999999991</v>
      </c>
      <c r="AB124" s="2">
        <f t="shared" si="20"/>
        <v>20326.55</v>
      </c>
      <c r="AC124" s="2">
        <f t="shared" si="21"/>
        <v>217106.22999999995</v>
      </c>
      <c r="AD124" s="2">
        <f t="shared" si="22"/>
        <v>4.7293724492192268E-11</v>
      </c>
    </row>
    <row r="125" spans="1:30" hidden="1" x14ac:dyDescent="0.2">
      <c r="A125" s="145">
        <f>'TAX Interest Rates'!A25</f>
        <v>43585</v>
      </c>
      <c r="B125" s="153">
        <f t="shared" ref="B125:P125" si="38">ROUND(-B13*B70,2)</f>
        <v>66339.360000000001</v>
      </c>
      <c r="C125" s="153">
        <f t="shared" si="38"/>
        <v>0</v>
      </c>
      <c r="D125" s="153">
        <f t="shared" si="38"/>
        <v>3501.35</v>
      </c>
      <c r="E125" s="153">
        <f t="shared" si="38"/>
        <v>732.35</v>
      </c>
      <c r="F125" s="153">
        <f t="shared" si="38"/>
        <v>9.39</v>
      </c>
      <c r="G125" s="153">
        <f t="shared" si="38"/>
        <v>37841.64</v>
      </c>
      <c r="H125" s="153">
        <f t="shared" si="38"/>
        <v>2222.29</v>
      </c>
      <c r="I125" s="153">
        <f t="shared" si="38"/>
        <v>0.34</v>
      </c>
      <c r="J125" s="153">
        <f t="shared" si="38"/>
        <v>0</v>
      </c>
      <c r="K125" s="153">
        <f t="shared" si="38"/>
        <v>153.16999999999999</v>
      </c>
      <c r="L125" s="153">
        <f t="shared" si="38"/>
        <v>13348.28</v>
      </c>
      <c r="M125" s="153">
        <f t="shared" si="38"/>
        <v>3645.22</v>
      </c>
      <c r="N125" s="153">
        <f t="shared" si="38"/>
        <v>1224.53</v>
      </c>
      <c r="O125" s="153">
        <f t="shared" si="38"/>
        <v>11.65</v>
      </c>
      <c r="P125" s="153">
        <f t="shared" si="38"/>
        <v>0</v>
      </c>
      <c r="R125" s="2">
        <f t="shared" si="10"/>
        <v>129029.56999999999</v>
      </c>
      <c r="T125" s="2">
        <f t="shared" si="12"/>
        <v>66339.360000000001</v>
      </c>
      <c r="U125" s="2">
        <f t="shared" si="13"/>
        <v>4233.7</v>
      </c>
      <c r="V125" s="2">
        <f t="shared" si="14"/>
        <v>40073.32</v>
      </c>
      <c r="W125" s="2">
        <f t="shared" si="15"/>
        <v>0.34</v>
      </c>
      <c r="X125" s="2">
        <f t="shared" si="16"/>
        <v>153.16999999999999</v>
      </c>
      <c r="Y125" s="2">
        <f t="shared" si="17"/>
        <v>110799.89</v>
      </c>
      <c r="Z125" s="2">
        <f t="shared" si="18"/>
        <v>13348.28</v>
      </c>
      <c r="AA125" s="2">
        <f t="shared" si="19"/>
        <v>4881.3999999999996</v>
      </c>
      <c r="AB125" s="2">
        <f t="shared" si="20"/>
        <v>18229.68</v>
      </c>
      <c r="AC125" s="2">
        <f t="shared" si="21"/>
        <v>129029.57</v>
      </c>
      <c r="AD125" s="2">
        <f t="shared" si="22"/>
        <v>0</v>
      </c>
    </row>
    <row r="126" spans="1:30" hidden="1" x14ac:dyDescent="0.2">
      <c r="A126" s="145">
        <f>'TAX Interest Rates'!A26</f>
        <v>43616</v>
      </c>
      <c r="B126" s="153">
        <f t="shared" ref="B126:P126" si="39">ROUND(-B14*B71,2)</f>
        <v>40085.769999999997</v>
      </c>
      <c r="C126" s="153">
        <f t="shared" si="39"/>
        <v>0</v>
      </c>
      <c r="D126" s="153">
        <f t="shared" si="39"/>
        <v>2077.38</v>
      </c>
      <c r="E126" s="153">
        <f t="shared" si="39"/>
        <v>578.15</v>
      </c>
      <c r="F126" s="153">
        <f t="shared" si="39"/>
        <v>2.68</v>
      </c>
      <c r="G126" s="153">
        <f t="shared" si="39"/>
        <v>22341.4</v>
      </c>
      <c r="H126" s="153">
        <f t="shared" si="39"/>
        <v>1495.16</v>
      </c>
      <c r="I126" s="153">
        <f t="shared" si="39"/>
        <v>0.4</v>
      </c>
      <c r="J126" s="153">
        <f t="shared" si="39"/>
        <v>0</v>
      </c>
      <c r="K126" s="153">
        <f t="shared" si="39"/>
        <v>113.8</v>
      </c>
      <c r="L126" s="153">
        <f t="shared" si="39"/>
        <v>14327</v>
      </c>
      <c r="M126" s="153">
        <f t="shared" si="39"/>
        <v>2563.5100000000002</v>
      </c>
      <c r="N126" s="153">
        <f t="shared" si="39"/>
        <v>183.35</v>
      </c>
      <c r="O126" s="153">
        <f t="shared" si="39"/>
        <v>112.34</v>
      </c>
      <c r="P126" s="153">
        <f t="shared" si="39"/>
        <v>0</v>
      </c>
      <c r="R126" s="2">
        <f t="shared" si="10"/>
        <v>83880.939999999988</v>
      </c>
      <c r="T126" s="2">
        <f t="shared" si="12"/>
        <v>40085.769999999997</v>
      </c>
      <c r="U126" s="2">
        <f t="shared" si="13"/>
        <v>2655.53</v>
      </c>
      <c r="V126" s="2">
        <f t="shared" si="14"/>
        <v>23839.24</v>
      </c>
      <c r="W126" s="2">
        <f t="shared" si="15"/>
        <v>0.4</v>
      </c>
      <c r="X126" s="2">
        <f t="shared" si="16"/>
        <v>113.8</v>
      </c>
      <c r="Y126" s="2">
        <f t="shared" si="17"/>
        <v>66694.739999999991</v>
      </c>
      <c r="Z126" s="2">
        <f t="shared" si="18"/>
        <v>14327</v>
      </c>
      <c r="AA126" s="2">
        <f t="shared" si="19"/>
        <v>2859.2000000000003</v>
      </c>
      <c r="AB126" s="2">
        <f t="shared" si="20"/>
        <v>17186.2</v>
      </c>
      <c r="AC126" s="2">
        <f t="shared" si="21"/>
        <v>83880.939999999988</v>
      </c>
      <c r="AD126" s="2">
        <f t="shared" si="22"/>
        <v>0</v>
      </c>
    </row>
    <row r="127" spans="1:30" hidden="1" x14ac:dyDescent="0.2">
      <c r="A127" s="145">
        <f>'TAX Interest Rates'!A27</f>
        <v>43646</v>
      </c>
      <c r="B127" s="153">
        <f t="shared" ref="B127:P127" si="40">ROUND(-B15*B72,2)</f>
        <v>21892.67</v>
      </c>
      <c r="C127" s="153">
        <f t="shared" si="40"/>
        <v>0</v>
      </c>
      <c r="D127" s="153">
        <f t="shared" si="40"/>
        <v>1522.87</v>
      </c>
      <c r="E127" s="153">
        <f t="shared" si="40"/>
        <v>594.09</v>
      </c>
      <c r="F127" s="153">
        <f t="shared" si="40"/>
        <v>1.53</v>
      </c>
      <c r="G127" s="153">
        <f t="shared" si="40"/>
        <v>14416.41</v>
      </c>
      <c r="H127" s="153">
        <f t="shared" si="40"/>
        <v>1036.68</v>
      </c>
      <c r="I127" s="153">
        <f t="shared" si="40"/>
        <v>0</v>
      </c>
      <c r="J127" s="153">
        <f t="shared" si="40"/>
        <v>0</v>
      </c>
      <c r="K127" s="153">
        <f t="shared" si="40"/>
        <v>88.79</v>
      </c>
      <c r="L127" s="153">
        <f t="shared" si="40"/>
        <v>12988.89</v>
      </c>
      <c r="M127" s="153">
        <f t="shared" si="40"/>
        <v>3755.78</v>
      </c>
      <c r="N127" s="153">
        <f t="shared" si="40"/>
        <v>3252.87</v>
      </c>
      <c r="O127" s="153">
        <f t="shared" si="40"/>
        <v>534.19000000000005</v>
      </c>
      <c r="P127" s="153">
        <f t="shared" si="40"/>
        <v>0</v>
      </c>
      <c r="R127" s="2">
        <f t="shared" si="10"/>
        <v>60084.77</v>
      </c>
      <c r="T127" s="2">
        <f t="shared" si="12"/>
        <v>21892.67</v>
      </c>
      <c r="U127" s="2">
        <f t="shared" si="13"/>
        <v>2116.96</v>
      </c>
      <c r="V127" s="2">
        <f t="shared" si="14"/>
        <v>15454.62</v>
      </c>
      <c r="W127" s="2">
        <f t="shared" si="15"/>
        <v>0</v>
      </c>
      <c r="X127" s="2">
        <f t="shared" si="16"/>
        <v>88.79</v>
      </c>
      <c r="Y127" s="2">
        <f t="shared" si="17"/>
        <v>39553.040000000001</v>
      </c>
      <c r="Z127" s="2">
        <f t="shared" si="18"/>
        <v>12988.89</v>
      </c>
      <c r="AA127" s="2">
        <f t="shared" si="19"/>
        <v>7542.84</v>
      </c>
      <c r="AB127" s="2">
        <f t="shared" si="20"/>
        <v>20531.73</v>
      </c>
      <c r="AC127" s="2">
        <f t="shared" si="21"/>
        <v>60084.770000000004</v>
      </c>
      <c r="AD127" s="2">
        <f t="shared" si="22"/>
        <v>0</v>
      </c>
    </row>
    <row r="128" spans="1:30" hidden="1" x14ac:dyDescent="0.2">
      <c r="A128" s="145">
        <f>'TAX Interest Rates'!A28</f>
        <v>43677</v>
      </c>
      <c r="B128" s="153">
        <f t="shared" ref="B128:P128" si="41">ROUND(-B16*B73,2)</f>
        <v>17406.82</v>
      </c>
      <c r="C128" s="153">
        <f t="shared" si="41"/>
        <v>0</v>
      </c>
      <c r="D128" s="153">
        <f t="shared" si="41"/>
        <v>1412.75</v>
      </c>
      <c r="E128" s="153">
        <f t="shared" si="41"/>
        <v>680.83</v>
      </c>
      <c r="F128" s="153">
        <f t="shared" si="41"/>
        <v>0.64</v>
      </c>
      <c r="G128" s="153">
        <f t="shared" si="41"/>
        <v>12706.84</v>
      </c>
      <c r="H128" s="153">
        <f t="shared" si="41"/>
        <v>877.16</v>
      </c>
      <c r="I128" s="153">
        <f t="shared" si="41"/>
        <v>0.43</v>
      </c>
      <c r="J128" s="153">
        <f t="shared" si="41"/>
        <v>0</v>
      </c>
      <c r="K128" s="153">
        <f t="shared" si="41"/>
        <v>96.02</v>
      </c>
      <c r="L128" s="153">
        <f t="shared" si="41"/>
        <v>12516.15</v>
      </c>
      <c r="M128" s="153">
        <f t="shared" si="41"/>
        <v>6960.57</v>
      </c>
      <c r="N128" s="153">
        <f t="shared" si="41"/>
        <v>6778.96</v>
      </c>
      <c r="O128" s="153">
        <f t="shared" si="41"/>
        <v>2424.2399999999998</v>
      </c>
      <c r="P128" s="153">
        <f t="shared" si="41"/>
        <v>0</v>
      </c>
      <c r="R128" s="2">
        <f t="shared" ref="R128:R134" si="42">SUM(B128:Q128)</f>
        <v>61861.409999999996</v>
      </c>
      <c r="T128" s="2">
        <f t="shared" ref="T128:T134" si="43">+B128</f>
        <v>17406.82</v>
      </c>
      <c r="U128" s="2">
        <f t="shared" ref="U128:U134" si="44">+C128+D128+E128</f>
        <v>2093.58</v>
      </c>
      <c r="V128" s="2">
        <f t="shared" ref="V128:V134" si="45">+F128+G128+H128</f>
        <v>13584.64</v>
      </c>
      <c r="W128" s="2">
        <f t="shared" ref="W128:W134" si="46">+I128+J128</f>
        <v>0.43</v>
      </c>
      <c r="X128" s="2">
        <f t="shared" ref="X128:X134" si="47">+K128</f>
        <v>96.02</v>
      </c>
      <c r="Y128" s="2">
        <f t="shared" ref="Y128:Y134" si="48">SUM(T128:X128)</f>
        <v>33181.49</v>
      </c>
      <c r="Z128" s="2">
        <f t="shared" ref="Z128:Z134" si="49">+L128</f>
        <v>12516.15</v>
      </c>
      <c r="AA128" s="2">
        <f t="shared" ref="AA128:AA134" si="50">+M128+N128+O128+P128</f>
        <v>16163.769999999999</v>
      </c>
      <c r="AB128" s="2">
        <f t="shared" ref="AB128:AB134" si="51">SUM(Z128:AA128)</f>
        <v>28679.919999999998</v>
      </c>
      <c r="AC128" s="2">
        <f t="shared" ref="AC128:AC134" si="52">+Y128+AB128</f>
        <v>61861.409999999996</v>
      </c>
      <c r="AD128" s="2">
        <f t="shared" ref="AD128:AD134" si="53">+R128-Y128-AB128</f>
        <v>0</v>
      </c>
    </row>
    <row r="129" spans="1:30" hidden="1" x14ac:dyDescent="0.2">
      <c r="A129" s="145">
        <f>'TAX Interest Rates'!A29</f>
        <v>43708</v>
      </c>
      <c r="B129" s="153">
        <f t="shared" ref="B129:P129" si="54">ROUND(-B17*B74,2)</f>
        <v>15013.28</v>
      </c>
      <c r="C129" s="153">
        <f t="shared" si="54"/>
        <v>0</v>
      </c>
      <c r="D129" s="153">
        <f t="shared" si="54"/>
        <v>1484.38</v>
      </c>
      <c r="E129" s="153">
        <f t="shared" si="54"/>
        <v>757.75</v>
      </c>
      <c r="F129" s="153">
        <f t="shared" si="54"/>
        <v>0.56999999999999995</v>
      </c>
      <c r="G129" s="153">
        <f t="shared" si="54"/>
        <v>11613.76</v>
      </c>
      <c r="H129" s="153">
        <f t="shared" si="54"/>
        <v>866</v>
      </c>
      <c r="I129" s="153">
        <f t="shared" si="54"/>
        <v>0</v>
      </c>
      <c r="J129" s="153">
        <f t="shared" si="54"/>
        <v>0</v>
      </c>
      <c r="K129" s="153">
        <f t="shared" si="54"/>
        <v>74.900000000000006</v>
      </c>
      <c r="L129" s="153">
        <f t="shared" si="54"/>
        <v>13531.74</v>
      </c>
      <c r="M129" s="153">
        <f t="shared" si="54"/>
        <v>7759.05</v>
      </c>
      <c r="N129" s="153">
        <f t="shared" si="54"/>
        <v>7490.54</v>
      </c>
      <c r="O129" s="153">
        <f t="shared" si="54"/>
        <v>4560.46</v>
      </c>
      <c r="P129" s="153">
        <f t="shared" si="54"/>
        <v>0</v>
      </c>
      <c r="R129" s="2">
        <f t="shared" si="42"/>
        <v>63152.43</v>
      </c>
      <c r="T129" s="2">
        <f t="shared" si="43"/>
        <v>15013.28</v>
      </c>
      <c r="U129" s="2">
        <f t="shared" si="44"/>
        <v>2242.13</v>
      </c>
      <c r="V129" s="2">
        <f t="shared" si="45"/>
        <v>12480.33</v>
      </c>
      <c r="W129" s="2">
        <f t="shared" si="46"/>
        <v>0</v>
      </c>
      <c r="X129" s="2">
        <f t="shared" si="47"/>
        <v>74.900000000000006</v>
      </c>
      <c r="Y129" s="2">
        <f t="shared" si="48"/>
        <v>29810.639999999999</v>
      </c>
      <c r="Z129" s="2">
        <f t="shared" si="49"/>
        <v>13531.74</v>
      </c>
      <c r="AA129" s="2">
        <f t="shared" si="50"/>
        <v>19810.05</v>
      </c>
      <c r="AB129" s="2">
        <f t="shared" si="51"/>
        <v>33341.79</v>
      </c>
      <c r="AC129" s="2">
        <f t="shared" si="52"/>
        <v>63152.43</v>
      </c>
      <c r="AD129" s="2">
        <f t="shared" si="53"/>
        <v>0</v>
      </c>
    </row>
    <row r="130" spans="1:30" hidden="1" x14ac:dyDescent="0.2">
      <c r="A130" s="145">
        <f>'TAX Interest Rates'!A30</f>
        <v>43738</v>
      </c>
      <c r="B130" s="153">
        <f t="shared" ref="B130:P130" si="55">ROUND(-B18*B75,2)</f>
        <v>14562.89</v>
      </c>
      <c r="C130" s="153">
        <f t="shared" si="55"/>
        <v>0</v>
      </c>
      <c r="D130" s="153">
        <f t="shared" si="55"/>
        <v>1714.72</v>
      </c>
      <c r="E130" s="153">
        <f t="shared" si="55"/>
        <v>670.92</v>
      </c>
      <c r="F130" s="153">
        <f t="shared" si="55"/>
        <v>2.58</v>
      </c>
      <c r="G130" s="153">
        <f t="shared" si="55"/>
        <v>11118.39</v>
      </c>
      <c r="H130" s="153">
        <f t="shared" si="55"/>
        <v>749.17</v>
      </c>
      <c r="I130" s="153">
        <f t="shared" si="55"/>
        <v>1.08</v>
      </c>
      <c r="J130" s="153">
        <f t="shared" si="55"/>
        <v>0</v>
      </c>
      <c r="K130" s="153">
        <f t="shared" si="55"/>
        <v>89.15</v>
      </c>
      <c r="L130" s="153">
        <f t="shared" si="55"/>
        <v>15078.08</v>
      </c>
      <c r="M130" s="153">
        <f t="shared" si="55"/>
        <v>7513.9</v>
      </c>
      <c r="N130" s="153">
        <f t="shared" si="55"/>
        <v>6966.16</v>
      </c>
      <c r="O130" s="153">
        <f t="shared" si="55"/>
        <v>2329.23</v>
      </c>
      <c r="P130" s="153">
        <f t="shared" si="55"/>
        <v>0</v>
      </c>
      <c r="R130" s="2">
        <f t="shared" si="42"/>
        <v>60796.270000000011</v>
      </c>
      <c r="T130" s="2">
        <f t="shared" si="43"/>
        <v>14562.89</v>
      </c>
      <c r="U130" s="2">
        <f t="shared" si="44"/>
        <v>2385.64</v>
      </c>
      <c r="V130" s="2">
        <f t="shared" si="45"/>
        <v>11870.14</v>
      </c>
      <c r="W130" s="2">
        <f t="shared" si="46"/>
        <v>1.08</v>
      </c>
      <c r="X130" s="2">
        <f t="shared" si="47"/>
        <v>89.15</v>
      </c>
      <c r="Y130" s="2">
        <f t="shared" si="48"/>
        <v>28908.9</v>
      </c>
      <c r="Z130" s="2">
        <f t="shared" si="49"/>
        <v>15078.08</v>
      </c>
      <c r="AA130" s="2">
        <f t="shared" si="50"/>
        <v>16809.29</v>
      </c>
      <c r="AB130" s="2">
        <f t="shared" si="51"/>
        <v>31887.370000000003</v>
      </c>
      <c r="AC130" s="2">
        <f t="shared" si="52"/>
        <v>60796.270000000004</v>
      </c>
      <c r="AD130" s="2">
        <f t="shared" si="53"/>
        <v>0</v>
      </c>
    </row>
    <row r="131" spans="1:30" hidden="1" x14ac:dyDescent="0.2">
      <c r="A131" s="145">
        <f>'TAX Interest Rates'!A31</f>
        <v>43769</v>
      </c>
      <c r="B131" s="153">
        <f t="shared" ref="B131:P131" si="56">ROUND(-B19*B76,2)</f>
        <v>34442.589999999997</v>
      </c>
      <c r="C131" s="153">
        <f t="shared" si="56"/>
        <v>0</v>
      </c>
      <c r="D131" s="153">
        <f t="shared" si="56"/>
        <v>3351.55</v>
      </c>
      <c r="E131" s="153">
        <f t="shared" si="56"/>
        <v>892.68</v>
      </c>
      <c r="F131" s="153">
        <f t="shared" si="56"/>
        <v>12.29</v>
      </c>
      <c r="G131" s="153">
        <f t="shared" si="56"/>
        <v>20190.36</v>
      </c>
      <c r="H131" s="153">
        <f t="shared" si="56"/>
        <v>4379.87</v>
      </c>
      <c r="I131" s="153">
        <f t="shared" si="56"/>
        <v>0.83</v>
      </c>
      <c r="J131" s="153">
        <f t="shared" si="56"/>
        <v>0</v>
      </c>
      <c r="K131" s="153">
        <f t="shared" si="56"/>
        <v>186.26</v>
      </c>
      <c r="L131" s="153">
        <f t="shared" si="56"/>
        <v>16516.59</v>
      </c>
      <c r="M131" s="153">
        <f t="shared" si="56"/>
        <v>5311.85</v>
      </c>
      <c r="N131" s="153">
        <f t="shared" si="56"/>
        <v>320.23</v>
      </c>
      <c r="O131" s="153">
        <f t="shared" si="56"/>
        <v>430.75</v>
      </c>
      <c r="P131" s="153">
        <f t="shared" si="56"/>
        <v>0</v>
      </c>
      <c r="R131" s="2">
        <f t="shared" si="42"/>
        <v>86035.85</v>
      </c>
      <c r="T131" s="2">
        <f t="shared" si="43"/>
        <v>34442.589999999997</v>
      </c>
      <c r="U131" s="2">
        <f t="shared" si="44"/>
        <v>4244.2300000000005</v>
      </c>
      <c r="V131" s="2">
        <f t="shared" si="45"/>
        <v>24582.52</v>
      </c>
      <c r="W131" s="2">
        <f t="shared" si="46"/>
        <v>0.83</v>
      </c>
      <c r="X131" s="2">
        <f t="shared" si="47"/>
        <v>186.26</v>
      </c>
      <c r="Y131" s="2">
        <f t="shared" si="48"/>
        <v>63456.43</v>
      </c>
      <c r="Z131" s="2">
        <f t="shared" si="49"/>
        <v>16516.59</v>
      </c>
      <c r="AA131" s="2">
        <f t="shared" si="50"/>
        <v>6062.83</v>
      </c>
      <c r="AB131" s="2">
        <f t="shared" si="51"/>
        <v>22579.42</v>
      </c>
      <c r="AC131" s="2">
        <f t="shared" si="52"/>
        <v>86035.85</v>
      </c>
      <c r="AD131" s="2">
        <f t="shared" si="53"/>
        <v>0</v>
      </c>
    </row>
    <row r="132" spans="1:30" hidden="1" x14ac:dyDescent="0.2">
      <c r="A132" s="145">
        <f>'TAX Interest Rates'!A32</f>
        <v>43799</v>
      </c>
      <c r="B132" s="153">
        <f>ROUND(-B20*B76,2)</f>
        <v>41235.74</v>
      </c>
      <c r="C132" s="153">
        <f t="shared" ref="C132:P132" si="57">ROUND(-C20*C76,2)</f>
        <v>0</v>
      </c>
      <c r="D132" s="153">
        <f t="shared" si="57"/>
        <v>2120.9699999999998</v>
      </c>
      <c r="E132" s="153">
        <f t="shared" si="57"/>
        <v>631.29999999999995</v>
      </c>
      <c r="F132" s="153">
        <f t="shared" si="57"/>
        <v>0</v>
      </c>
      <c r="G132" s="153">
        <f t="shared" si="57"/>
        <v>22127.61</v>
      </c>
      <c r="H132" s="153">
        <f t="shared" si="57"/>
        <v>1354.04</v>
      </c>
      <c r="I132" s="153">
        <f t="shared" si="57"/>
        <v>0</v>
      </c>
      <c r="J132" s="153">
        <f t="shared" si="57"/>
        <v>0</v>
      </c>
      <c r="K132" s="153">
        <f t="shared" si="57"/>
        <v>0</v>
      </c>
      <c r="L132" s="153">
        <f t="shared" si="57"/>
        <v>0.06</v>
      </c>
      <c r="M132" s="153">
        <f t="shared" si="57"/>
        <v>0</v>
      </c>
      <c r="N132" s="153">
        <f t="shared" si="57"/>
        <v>0</v>
      </c>
      <c r="O132" s="153">
        <f t="shared" si="57"/>
        <v>0</v>
      </c>
      <c r="P132" s="153">
        <f t="shared" si="57"/>
        <v>0</v>
      </c>
      <c r="R132" s="2">
        <f t="shared" si="42"/>
        <v>67469.719999999987</v>
      </c>
      <c r="S132" s="2" t="s">
        <v>45</v>
      </c>
      <c r="T132" s="2">
        <f t="shared" si="43"/>
        <v>41235.74</v>
      </c>
      <c r="U132" s="2">
        <f t="shared" si="44"/>
        <v>2752.2699999999995</v>
      </c>
      <c r="V132" s="2">
        <f t="shared" si="45"/>
        <v>23481.65</v>
      </c>
      <c r="W132" s="2">
        <f t="shared" si="46"/>
        <v>0</v>
      </c>
      <c r="X132" s="2">
        <f t="shared" si="47"/>
        <v>0</v>
      </c>
      <c r="Y132" s="2">
        <f t="shared" si="48"/>
        <v>67469.66</v>
      </c>
      <c r="Z132" s="2">
        <f t="shared" si="49"/>
        <v>0.06</v>
      </c>
      <c r="AA132" s="2">
        <f t="shared" si="50"/>
        <v>0</v>
      </c>
      <c r="AB132" s="2">
        <f t="shared" si="51"/>
        <v>0.06</v>
      </c>
      <c r="AC132" s="2">
        <f t="shared" si="52"/>
        <v>67469.72</v>
      </c>
      <c r="AD132" s="2">
        <f t="shared" si="53"/>
        <v>-1.6880219444459499E-11</v>
      </c>
    </row>
    <row r="133" spans="1:30" hidden="1" x14ac:dyDescent="0.2">
      <c r="A133" s="145">
        <v>43799</v>
      </c>
      <c r="B133" s="153">
        <f>ROUND(-B21*B77,2)</f>
        <v>24401.62</v>
      </c>
      <c r="C133" s="153">
        <f t="shared" ref="C133:P133" si="58">ROUND(-C21*C77,2)</f>
        <v>0</v>
      </c>
      <c r="D133" s="153">
        <f t="shared" si="58"/>
        <v>1042.42</v>
      </c>
      <c r="E133" s="153">
        <f t="shared" si="58"/>
        <v>466.2</v>
      </c>
      <c r="F133" s="153">
        <f t="shared" si="58"/>
        <v>18.48</v>
      </c>
      <c r="G133" s="153">
        <f t="shared" si="58"/>
        <v>12093.11</v>
      </c>
      <c r="H133" s="153">
        <f t="shared" si="58"/>
        <v>4619.54</v>
      </c>
      <c r="I133" s="153">
        <f t="shared" si="58"/>
        <v>1.45</v>
      </c>
      <c r="J133" s="153">
        <f t="shared" si="58"/>
        <v>0</v>
      </c>
      <c r="K133" s="153">
        <f t="shared" si="58"/>
        <v>207.21</v>
      </c>
      <c r="L133" s="153">
        <f t="shared" si="58"/>
        <v>16086.88</v>
      </c>
      <c r="M133" s="153">
        <f t="shared" si="58"/>
        <v>6857.48</v>
      </c>
      <c r="N133" s="153">
        <f t="shared" si="58"/>
        <v>3216.24</v>
      </c>
      <c r="O133" s="153">
        <f t="shared" si="58"/>
        <v>114.09</v>
      </c>
      <c r="P133" s="153">
        <f t="shared" si="58"/>
        <v>0</v>
      </c>
      <c r="R133" s="2">
        <f t="shared" si="42"/>
        <v>69124.72</v>
      </c>
      <c r="S133" s="2" t="s">
        <v>46</v>
      </c>
      <c r="T133" s="2">
        <f t="shared" ref="T133" si="59">+B133</f>
        <v>24401.62</v>
      </c>
      <c r="U133" s="2">
        <f t="shared" ref="U133" si="60">+C133+D133+E133</f>
        <v>1508.6200000000001</v>
      </c>
      <c r="V133" s="2">
        <f t="shared" ref="V133" si="61">+F133+G133+H133</f>
        <v>16731.13</v>
      </c>
      <c r="W133" s="2">
        <f t="shared" ref="W133" si="62">+I133+J133</f>
        <v>1.45</v>
      </c>
      <c r="X133" s="2">
        <f t="shared" ref="X133" si="63">+K133</f>
        <v>207.21</v>
      </c>
      <c r="Y133" s="2">
        <f t="shared" ref="Y133" si="64">SUM(T133:X133)</f>
        <v>42850.029999999992</v>
      </c>
      <c r="Z133" s="2">
        <f t="shared" ref="Z133" si="65">+L133</f>
        <v>16086.88</v>
      </c>
      <c r="AA133" s="2">
        <f t="shared" ref="AA133" si="66">+M133+N133+O133+P133</f>
        <v>10187.81</v>
      </c>
      <c r="AB133" s="2">
        <f t="shared" ref="AB133" si="67">SUM(Z133:AA133)</f>
        <v>26274.69</v>
      </c>
      <c r="AC133" s="2">
        <f t="shared" ref="AC133" si="68">+Y133+AB133</f>
        <v>69124.719999999987</v>
      </c>
      <c r="AD133" s="2">
        <f t="shared" ref="AD133" si="69">+R133-Y133-AB133</f>
        <v>0</v>
      </c>
    </row>
    <row r="134" spans="1:30" hidden="1" x14ac:dyDescent="0.2">
      <c r="A134" s="145">
        <f>'TAX Interest Rates'!A33</f>
        <v>43830</v>
      </c>
      <c r="B134" s="153">
        <f t="shared" ref="B134:P134" si="70">ROUND(-B22*B78,2)</f>
        <v>107491.65</v>
      </c>
      <c r="C134" s="153">
        <f t="shared" si="70"/>
        <v>0</v>
      </c>
      <c r="D134" s="153">
        <f t="shared" si="70"/>
        <v>4211</v>
      </c>
      <c r="E134" s="153">
        <f t="shared" si="70"/>
        <v>892.15</v>
      </c>
      <c r="F134" s="153">
        <f t="shared" si="70"/>
        <v>21.26</v>
      </c>
      <c r="G134" s="153">
        <f t="shared" si="70"/>
        <v>55931.22</v>
      </c>
      <c r="H134" s="153">
        <f t="shared" si="70"/>
        <v>7161.16</v>
      </c>
      <c r="I134" s="153">
        <f t="shared" si="70"/>
        <v>0.77</v>
      </c>
      <c r="J134" s="153">
        <f t="shared" si="70"/>
        <v>0</v>
      </c>
      <c r="K134" s="153">
        <f t="shared" si="70"/>
        <v>228.61</v>
      </c>
      <c r="L134" s="153">
        <f t="shared" si="70"/>
        <v>17073.38</v>
      </c>
      <c r="M134" s="153">
        <f t="shared" si="70"/>
        <v>7653.93</v>
      </c>
      <c r="N134" s="153">
        <f t="shared" si="70"/>
        <v>7498.97</v>
      </c>
      <c r="O134" s="153">
        <f t="shared" si="70"/>
        <v>700.7</v>
      </c>
      <c r="P134" s="153">
        <f t="shared" si="70"/>
        <v>0</v>
      </c>
      <c r="R134" s="2">
        <f t="shared" si="42"/>
        <v>208864.79999999996</v>
      </c>
      <c r="T134" s="2">
        <f t="shared" si="43"/>
        <v>107491.65</v>
      </c>
      <c r="U134" s="2">
        <f t="shared" si="44"/>
        <v>5103.1499999999996</v>
      </c>
      <c r="V134" s="2">
        <f t="shared" si="45"/>
        <v>63113.64</v>
      </c>
      <c r="W134" s="2">
        <f t="shared" si="46"/>
        <v>0.77</v>
      </c>
      <c r="X134" s="2">
        <f t="shared" si="47"/>
        <v>228.61</v>
      </c>
      <c r="Y134" s="2">
        <f t="shared" si="48"/>
        <v>175937.81999999998</v>
      </c>
      <c r="Z134" s="2">
        <f t="shared" si="49"/>
        <v>17073.38</v>
      </c>
      <c r="AA134" s="2">
        <f t="shared" si="50"/>
        <v>15853.600000000002</v>
      </c>
      <c r="AB134" s="2">
        <f t="shared" si="51"/>
        <v>32926.980000000003</v>
      </c>
      <c r="AC134" s="2">
        <f t="shared" si="52"/>
        <v>208864.8</v>
      </c>
      <c r="AD134" s="2">
        <f t="shared" si="53"/>
        <v>0</v>
      </c>
    </row>
    <row r="135" spans="1:30" hidden="1" x14ac:dyDescent="0.2">
      <c r="A135" s="145">
        <f>'TAX Interest Rates'!A34</f>
        <v>43861</v>
      </c>
      <c r="B135" s="153">
        <f t="shared" ref="B135:P135" si="71">ROUND(-B23*B79,2)</f>
        <v>130591.57</v>
      </c>
      <c r="C135" s="153">
        <f t="shared" si="71"/>
        <v>0</v>
      </c>
      <c r="D135" s="153">
        <f t="shared" si="71"/>
        <v>4507.3599999999997</v>
      </c>
      <c r="E135" s="153">
        <f t="shared" si="71"/>
        <v>1043.6199999999999</v>
      </c>
      <c r="F135" s="153">
        <f t="shared" si="71"/>
        <v>22.82</v>
      </c>
      <c r="G135" s="153">
        <f t="shared" si="71"/>
        <v>67615.570000000007</v>
      </c>
      <c r="H135" s="153">
        <f t="shared" si="71"/>
        <v>8009.02</v>
      </c>
      <c r="I135" s="153">
        <f t="shared" si="71"/>
        <v>0.25</v>
      </c>
      <c r="J135" s="153">
        <f t="shared" si="71"/>
        <v>0</v>
      </c>
      <c r="K135" s="153">
        <f t="shared" si="71"/>
        <v>230.58</v>
      </c>
      <c r="L135" s="153">
        <f t="shared" si="71"/>
        <v>17532.57</v>
      </c>
      <c r="M135" s="153">
        <f t="shared" si="71"/>
        <v>6599</v>
      </c>
      <c r="N135" s="153">
        <f t="shared" si="71"/>
        <v>5234.42</v>
      </c>
      <c r="O135" s="153">
        <f t="shared" si="71"/>
        <v>195.66</v>
      </c>
      <c r="P135" s="153">
        <f t="shared" si="71"/>
        <v>0</v>
      </c>
      <c r="R135" s="2">
        <f t="shared" ref="R135:R147" si="72">SUM(B135:Q135)</f>
        <v>241582.44</v>
      </c>
      <c r="T135" s="2">
        <f t="shared" ref="T135:T147" si="73">+B135</f>
        <v>130591.57</v>
      </c>
      <c r="U135" s="2">
        <f t="shared" ref="U135:U147" si="74">+C135+D135+E135</f>
        <v>5550.98</v>
      </c>
      <c r="V135" s="2">
        <f t="shared" ref="V135:V147" si="75">+F135+G135+H135</f>
        <v>75647.410000000018</v>
      </c>
      <c r="W135" s="2">
        <f t="shared" ref="W135:W147" si="76">+I135+J135</f>
        <v>0.25</v>
      </c>
      <c r="X135" s="2">
        <f t="shared" ref="X135:X147" si="77">+K135</f>
        <v>230.58</v>
      </c>
      <c r="Y135" s="2">
        <f t="shared" ref="Y135:Y147" si="78">SUM(T135:X135)</f>
        <v>212020.79</v>
      </c>
      <c r="Z135" s="2">
        <f t="shared" ref="Z135:Z147" si="79">+L135</f>
        <v>17532.57</v>
      </c>
      <c r="AA135" s="2">
        <f t="shared" ref="AA135:AA147" si="80">+M135+N135+O135+P135</f>
        <v>12029.08</v>
      </c>
      <c r="AB135" s="2">
        <f t="shared" ref="AB135:AB147" si="81">SUM(Z135:AA135)</f>
        <v>29561.65</v>
      </c>
      <c r="AC135" s="2">
        <f t="shared" ref="AC135:AC147" si="82">+Y135+AB135</f>
        <v>241582.44</v>
      </c>
      <c r="AD135" s="2">
        <f t="shared" ref="AD135:AD147" si="83">+R135-Y135-AB135</f>
        <v>0</v>
      </c>
    </row>
    <row r="136" spans="1:30" hidden="1" x14ac:dyDescent="0.2">
      <c r="A136" s="145">
        <f>'TAX Interest Rates'!A35</f>
        <v>43890</v>
      </c>
      <c r="B136" s="153">
        <f t="shared" ref="B136:P136" si="84">ROUND(-B24*B80,2)</f>
        <v>106616.26</v>
      </c>
      <c r="C136" s="153">
        <f t="shared" si="84"/>
        <v>0</v>
      </c>
      <c r="D136" s="153">
        <f t="shared" si="84"/>
        <v>3914.59</v>
      </c>
      <c r="E136" s="153">
        <f t="shared" si="84"/>
        <v>951.96</v>
      </c>
      <c r="F136" s="153">
        <f t="shared" si="84"/>
        <v>21.72</v>
      </c>
      <c r="G136" s="153">
        <f t="shared" si="84"/>
        <v>55904.11</v>
      </c>
      <c r="H136" s="153">
        <f t="shared" si="84"/>
        <v>6992.52</v>
      </c>
      <c r="I136" s="153">
        <f t="shared" si="84"/>
        <v>1.01</v>
      </c>
      <c r="J136" s="153">
        <f t="shared" si="84"/>
        <v>0</v>
      </c>
      <c r="K136" s="153">
        <f t="shared" si="84"/>
        <v>206.09</v>
      </c>
      <c r="L136" s="153">
        <f t="shared" si="84"/>
        <v>16392.080000000002</v>
      </c>
      <c r="M136" s="153">
        <f t="shared" si="84"/>
        <v>6424.62</v>
      </c>
      <c r="N136" s="153">
        <f t="shared" si="84"/>
        <v>4016.91</v>
      </c>
      <c r="O136" s="153">
        <f t="shared" si="84"/>
        <v>411.29</v>
      </c>
      <c r="P136" s="153">
        <f t="shared" si="84"/>
        <v>0</v>
      </c>
      <c r="R136" s="2">
        <f t="shared" si="72"/>
        <v>201853.16000000003</v>
      </c>
      <c r="T136" s="2">
        <f t="shared" si="73"/>
        <v>106616.26</v>
      </c>
      <c r="U136" s="2">
        <f t="shared" si="74"/>
        <v>4866.55</v>
      </c>
      <c r="V136" s="2">
        <f t="shared" si="75"/>
        <v>62918.350000000006</v>
      </c>
      <c r="W136" s="2">
        <f t="shared" si="76"/>
        <v>1.01</v>
      </c>
      <c r="X136" s="2">
        <f t="shared" si="77"/>
        <v>206.09</v>
      </c>
      <c r="Y136" s="2">
        <f t="shared" si="78"/>
        <v>174608.26</v>
      </c>
      <c r="Z136" s="2">
        <f t="shared" si="79"/>
        <v>16392.080000000002</v>
      </c>
      <c r="AA136" s="2">
        <f t="shared" si="80"/>
        <v>10852.82</v>
      </c>
      <c r="AB136" s="2">
        <f t="shared" si="81"/>
        <v>27244.9</v>
      </c>
      <c r="AC136" s="2">
        <f t="shared" si="82"/>
        <v>201853.16</v>
      </c>
      <c r="AD136" s="2">
        <f t="shared" si="83"/>
        <v>0</v>
      </c>
    </row>
    <row r="137" spans="1:30" hidden="1" x14ac:dyDescent="0.2">
      <c r="A137" s="145">
        <f>'TAX Interest Rates'!A36</f>
        <v>43921</v>
      </c>
      <c r="B137" s="153">
        <f t="shared" ref="B137:P137" si="85">ROUND(-B25*B81,2)</f>
        <v>107402.09</v>
      </c>
      <c r="C137" s="153">
        <f t="shared" si="85"/>
        <v>0</v>
      </c>
      <c r="D137" s="153">
        <f t="shared" si="85"/>
        <v>4014.57</v>
      </c>
      <c r="E137" s="153">
        <f t="shared" si="85"/>
        <v>720.12</v>
      </c>
      <c r="F137" s="153">
        <f t="shared" si="85"/>
        <v>22.9</v>
      </c>
      <c r="G137" s="153">
        <f t="shared" si="85"/>
        <v>55166.53</v>
      </c>
      <c r="H137" s="153">
        <f t="shared" si="85"/>
        <v>7341.55</v>
      </c>
      <c r="I137" s="153">
        <f t="shared" si="85"/>
        <v>0.54</v>
      </c>
      <c r="J137" s="153">
        <f t="shared" si="85"/>
        <v>0</v>
      </c>
      <c r="K137" s="153">
        <f t="shared" si="85"/>
        <v>206.34</v>
      </c>
      <c r="L137" s="153">
        <f t="shared" si="85"/>
        <v>17607.57</v>
      </c>
      <c r="M137" s="153">
        <f t="shared" si="85"/>
        <v>8462.25</v>
      </c>
      <c r="N137" s="153">
        <f t="shared" si="85"/>
        <v>7683.73</v>
      </c>
      <c r="O137" s="153">
        <f t="shared" si="85"/>
        <v>1622.63</v>
      </c>
      <c r="P137" s="153">
        <f t="shared" si="85"/>
        <v>0</v>
      </c>
      <c r="R137" s="2">
        <f t="shared" si="72"/>
        <v>210250.82</v>
      </c>
      <c r="T137" s="2">
        <f t="shared" si="73"/>
        <v>107402.09</v>
      </c>
      <c r="U137" s="2">
        <f t="shared" si="74"/>
        <v>4734.6900000000005</v>
      </c>
      <c r="V137" s="2">
        <f t="shared" si="75"/>
        <v>62530.98</v>
      </c>
      <c r="W137" s="2">
        <f t="shared" si="76"/>
        <v>0.54</v>
      </c>
      <c r="X137" s="2">
        <f t="shared" si="77"/>
        <v>206.34</v>
      </c>
      <c r="Y137" s="2">
        <f t="shared" si="78"/>
        <v>174874.64</v>
      </c>
      <c r="Z137" s="2">
        <f t="shared" si="79"/>
        <v>17607.57</v>
      </c>
      <c r="AA137" s="2">
        <f t="shared" si="80"/>
        <v>17768.61</v>
      </c>
      <c r="AB137" s="2">
        <f t="shared" si="81"/>
        <v>35376.18</v>
      </c>
      <c r="AC137" s="2">
        <f t="shared" si="82"/>
        <v>210250.82</v>
      </c>
      <c r="AD137" s="2">
        <f t="shared" si="83"/>
        <v>0</v>
      </c>
    </row>
    <row r="138" spans="1:30" hidden="1" x14ac:dyDescent="0.2">
      <c r="A138" s="145">
        <f>'TAX Interest Rates'!A37</f>
        <v>43951</v>
      </c>
      <c r="B138" s="153">
        <f t="shared" ref="B138:P138" si="86">ROUND(-B26*B82,2)</f>
        <v>84835.520000000004</v>
      </c>
      <c r="C138" s="153">
        <f t="shared" si="86"/>
        <v>0</v>
      </c>
      <c r="D138" s="153">
        <f t="shared" si="86"/>
        <v>3340.12</v>
      </c>
      <c r="E138" s="153">
        <f t="shared" si="86"/>
        <v>1301.3900000000001</v>
      </c>
      <c r="F138" s="153">
        <f t="shared" si="86"/>
        <v>18.16</v>
      </c>
      <c r="G138" s="153">
        <f t="shared" si="86"/>
        <v>39949.81</v>
      </c>
      <c r="H138" s="153">
        <f t="shared" si="86"/>
        <v>5754.69</v>
      </c>
      <c r="I138" s="153">
        <f t="shared" si="86"/>
        <v>0.56999999999999995</v>
      </c>
      <c r="J138" s="153">
        <f t="shared" si="86"/>
        <v>0</v>
      </c>
      <c r="K138" s="153">
        <f t="shared" si="86"/>
        <v>170.57</v>
      </c>
      <c r="L138" s="153">
        <f t="shared" si="86"/>
        <v>14662.95</v>
      </c>
      <c r="M138" s="153">
        <f t="shared" si="86"/>
        <v>7327.66</v>
      </c>
      <c r="N138" s="153">
        <f t="shared" si="86"/>
        <v>5941.05</v>
      </c>
      <c r="O138" s="153">
        <f t="shared" si="86"/>
        <v>1852.66</v>
      </c>
      <c r="P138" s="153">
        <f t="shared" si="86"/>
        <v>0</v>
      </c>
      <c r="R138" s="2">
        <f t="shared" si="72"/>
        <v>165155.15000000002</v>
      </c>
      <c r="T138" s="2">
        <f t="shared" si="73"/>
        <v>84835.520000000004</v>
      </c>
      <c r="U138" s="2">
        <f t="shared" si="74"/>
        <v>4641.51</v>
      </c>
      <c r="V138" s="2">
        <f t="shared" si="75"/>
        <v>45722.66</v>
      </c>
      <c r="W138" s="2">
        <f t="shared" si="76"/>
        <v>0.56999999999999995</v>
      </c>
      <c r="X138" s="2">
        <f t="shared" si="77"/>
        <v>170.57</v>
      </c>
      <c r="Y138" s="2">
        <f t="shared" si="78"/>
        <v>135370.83000000002</v>
      </c>
      <c r="Z138" s="2">
        <f t="shared" si="79"/>
        <v>14662.95</v>
      </c>
      <c r="AA138" s="2">
        <f t="shared" si="80"/>
        <v>15121.369999999999</v>
      </c>
      <c r="AB138" s="2">
        <f t="shared" si="81"/>
        <v>29784.32</v>
      </c>
      <c r="AC138" s="2">
        <f t="shared" si="82"/>
        <v>165155.15000000002</v>
      </c>
      <c r="AD138" s="2">
        <f t="shared" si="83"/>
        <v>0</v>
      </c>
    </row>
    <row r="139" spans="1:30" hidden="1" x14ac:dyDescent="0.2">
      <c r="A139" s="145">
        <f>'TAX Interest Rates'!A38</f>
        <v>43982</v>
      </c>
      <c r="B139" s="153">
        <f t="shared" ref="B139:P139" si="87">ROUND(-B27*B83,2)</f>
        <v>41469.870000000003</v>
      </c>
      <c r="C139" s="153">
        <f t="shared" si="87"/>
        <v>0</v>
      </c>
      <c r="D139" s="153">
        <f t="shared" si="87"/>
        <v>2111.1</v>
      </c>
      <c r="E139" s="153">
        <f t="shared" si="87"/>
        <v>539.54</v>
      </c>
      <c r="F139" s="153">
        <f t="shared" si="87"/>
        <v>10.36</v>
      </c>
      <c r="G139" s="153">
        <f t="shared" si="87"/>
        <v>19277.38</v>
      </c>
      <c r="H139" s="153">
        <f t="shared" si="87"/>
        <v>3605.01</v>
      </c>
      <c r="I139" s="153">
        <f t="shared" si="87"/>
        <v>0</v>
      </c>
      <c r="J139" s="153">
        <f t="shared" si="87"/>
        <v>0</v>
      </c>
      <c r="K139" s="153">
        <f t="shared" si="87"/>
        <v>125.53</v>
      </c>
      <c r="L139" s="153">
        <f t="shared" si="87"/>
        <v>15779.25</v>
      </c>
      <c r="M139" s="153">
        <f t="shared" si="87"/>
        <v>1187.42</v>
      </c>
      <c r="N139" s="153">
        <f t="shared" si="87"/>
        <v>427.46</v>
      </c>
      <c r="O139" s="153">
        <f t="shared" si="87"/>
        <v>241.8</v>
      </c>
      <c r="P139" s="153">
        <f t="shared" si="87"/>
        <v>0</v>
      </c>
      <c r="R139" s="2">
        <f t="shared" si="72"/>
        <v>84774.720000000001</v>
      </c>
      <c r="T139" s="2">
        <f t="shared" si="73"/>
        <v>41469.870000000003</v>
      </c>
      <c r="U139" s="2">
        <f t="shared" si="74"/>
        <v>2650.64</v>
      </c>
      <c r="V139" s="2">
        <f t="shared" si="75"/>
        <v>22892.75</v>
      </c>
      <c r="W139" s="2">
        <f t="shared" si="76"/>
        <v>0</v>
      </c>
      <c r="X139" s="2">
        <f t="shared" si="77"/>
        <v>125.53</v>
      </c>
      <c r="Y139" s="2">
        <f t="shared" si="78"/>
        <v>67138.790000000008</v>
      </c>
      <c r="Z139" s="2">
        <f t="shared" si="79"/>
        <v>15779.25</v>
      </c>
      <c r="AA139" s="2">
        <f t="shared" si="80"/>
        <v>1856.68</v>
      </c>
      <c r="AB139" s="2">
        <f t="shared" si="81"/>
        <v>17635.93</v>
      </c>
      <c r="AC139" s="2">
        <f t="shared" si="82"/>
        <v>84774.720000000001</v>
      </c>
      <c r="AD139" s="2">
        <f t="shared" si="83"/>
        <v>0</v>
      </c>
    </row>
    <row r="140" spans="1:30" hidden="1" x14ac:dyDescent="0.2">
      <c r="A140" s="145">
        <f>'TAX Interest Rates'!A39</f>
        <v>44012</v>
      </c>
      <c r="B140" s="153">
        <f t="shared" ref="B140:P140" si="88">ROUND(-B28*B84,2)</f>
        <v>30483.37</v>
      </c>
      <c r="C140" s="153">
        <f t="shared" si="88"/>
        <v>0</v>
      </c>
      <c r="D140" s="153">
        <f t="shared" si="88"/>
        <v>1886.2</v>
      </c>
      <c r="E140" s="153">
        <f t="shared" si="88"/>
        <v>1049.21</v>
      </c>
      <c r="F140" s="153">
        <f t="shared" si="88"/>
        <v>9.8000000000000007</v>
      </c>
      <c r="G140" s="153">
        <f t="shared" si="88"/>
        <v>14751.99</v>
      </c>
      <c r="H140" s="153">
        <f t="shared" si="88"/>
        <v>2943.29</v>
      </c>
      <c r="I140" s="153">
        <f t="shared" si="88"/>
        <v>0</v>
      </c>
      <c r="J140" s="153">
        <f t="shared" si="88"/>
        <v>0</v>
      </c>
      <c r="K140" s="153">
        <f t="shared" si="88"/>
        <v>98.55</v>
      </c>
      <c r="L140" s="153">
        <f t="shared" si="88"/>
        <v>14937.47</v>
      </c>
      <c r="M140" s="153">
        <f t="shared" si="88"/>
        <v>1628.59</v>
      </c>
      <c r="N140" s="153">
        <f t="shared" si="88"/>
        <v>705.75</v>
      </c>
      <c r="O140" s="153">
        <f t="shared" si="88"/>
        <v>397.66</v>
      </c>
      <c r="P140" s="153">
        <f t="shared" si="88"/>
        <v>0</v>
      </c>
      <c r="R140" s="2">
        <f t="shared" si="72"/>
        <v>68891.88</v>
      </c>
      <c r="T140" s="2">
        <f t="shared" si="73"/>
        <v>30483.37</v>
      </c>
      <c r="U140" s="2">
        <f t="shared" si="74"/>
        <v>2935.41</v>
      </c>
      <c r="V140" s="2">
        <f t="shared" si="75"/>
        <v>17705.079999999998</v>
      </c>
      <c r="W140" s="2">
        <f t="shared" si="76"/>
        <v>0</v>
      </c>
      <c r="X140" s="2">
        <f t="shared" si="77"/>
        <v>98.55</v>
      </c>
      <c r="Y140" s="2">
        <f t="shared" si="78"/>
        <v>51222.41</v>
      </c>
      <c r="Z140" s="2">
        <f t="shared" si="79"/>
        <v>14937.47</v>
      </c>
      <c r="AA140" s="2">
        <f t="shared" si="80"/>
        <v>2732</v>
      </c>
      <c r="AB140" s="2">
        <f t="shared" si="81"/>
        <v>17669.47</v>
      </c>
      <c r="AC140" s="2">
        <f t="shared" si="82"/>
        <v>68891.88</v>
      </c>
      <c r="AD140" s="2">
        <f t="shared" si="83"/>
        <v>0</v>
      </c>
    </row>
    <row r="141" spans="1:30" hidden="1" x14ac:dyDescent="0.2">
      <c r="A141" s="145">
        <f>'TAX Interest Rates'!A40</f>
        <v>44043</v>
      </c>
      <c r="B141" s="153">
        <f t="shared" ref="B141:P141" si="89">ROUND(-B29*B85,2)</f>
        <v>24511.42</v>
      </c>
      <c r="C141" s="153">
        <f t="shared" si="89"/>
        <v>0</v>
      </c>
      <c r="D141" s="153">
        <f t="shared" si="89"/>
        <v>1664.89</v>
      </c>
      <c r="E141" s="153">
        <f t="shared" si="89"/>
        <v>811.37</v>
      </c>
      <c r="F141" s="153">
        <f t="shared" si="89"/>
        <v>4.4000000000000004</v>
      </c>
      <c r="G141" s="153">
        <f t="shared" si="89"/>
        <v>13246.33</v>
      </c>
      <c r="H141" s="153">
        <f t="shared" si="89"/>
        <v>2946.11</v>
      </c>
      <c r="I141" s="153">
        <f t="shared" si="89"/>
        <v>0</v>
      </c>
      <c r="J141" s="153">
        <f t="shared" si="89"/>
        <v>0</v>
      </c>
      <c r="K141" s="153">
        <f t="shared" si="89"/>
        <v>95.74</v>
      </c>
      <c r="L141" s="153">
        <f t="shared" si="89"/>
        <v>15642.13</v>
      </c>
      <c r="M141" s="153">
        <f t="shared" si="89"/>
        <v>5332.02</v>
      </c>
      <c r="N141" s="153">
        <f t="shared" si="89"/>
        <v>2797.32</v>
      </c>
      <c r="O141" s="153">
        <f t="shared" si="89"/>
        <v>1071.51</v>
      </c>
      <c r="P141" s="153">
        <f t="shared" si="89"/>
        <v>0</v>
      </c>
      <c r="R141" s="2">
        <f t="shared" si="72"/>
        <v>68123.239999999991</v>
      </c>
      <c r="T141" s="2">
        <f t="shared" si="73"/>
        <v>24511.42</v>
      </c>
      <c r="U141" s="2">
        <f t="shared" si="74"/>
        <v>2476.2600000000002</v>
      </c>
      <c r="V141" s="2">
        <f t="shared" si="75"/>
        <v>16196.84</v>
      </c>
      <c r="W141" s="2">
        <f t="shared" si="76"/>
        <v>0</v>
      </c>
      <c r="X141" s="2">
        <f t="shared" si="77"/>
        <v>95.74</v>
      </c>
      <c r="Y141" s="2">
        <f t="shared" si="78"/>
        <v>43280.26</v>
      </c>
      <c r="Z141" s="2">
        <f t="shared" si="79"/>
        <v>15642.13</v>
      </c>
      <c r="AA141" s="2">
        <f t="shared" si="80"/>
        <v>9200.85</v>
      </c>
      <c r="AB141" s="2">
        <f t="shared" si="81"/>
        <v>24842.98</v>
      </c>
      <c r="AC141" s="2">
        <f t="shared" si="82"/>
        <v>68123.240000000005</v>
      </c>
      <c r="AD141" s="2">
        <f t="shared" si="83"/>
        <v>0</v>
      </c>
    </row>
    <row r="142" spans="1:30" hidden="1" x14ac:dyDescent="0.2">
      <c r="A142" s="145">
        <f>'TAX Interest Rates'!A41</f>
        <v>44074</v>
      </c>
      <c r="B142" s="153">
        <f t="shared" ref="B142:P142" si="90">ROUND(-B30*B86,2)</f>
        <v>16640.09</v>
      </c>
      <c r="C142" s="153">
        <f t="shared" si="90"/>
        <v>0</v>
      </c>
      <c r="D142" s="153">
        <f t="shared" si="90"/>
        <v>1472.13</v>
      </c>
      <c r="E142" s="153">
        <f t="shared" si="90"/>
        <v>722.95</v>
      </c>
      <c r="F142" s="153">
        <f t="shared" si="90"/>
        <v>3.81</v>
      </c>
      <c r="G142" s="153">
        <f t="shared" si="90"/>
        <v>10114.26</v>
      </c>
      <c r="H142" s="153">
        <f t="shared" si="90"/>
        <v>2315.79</v>
      </c>
      <c r="I142" s="153">
        <f t="shared" si="90"/>
        <v>0</v>
      </c>
      <c r="J142" s="153">
        <f t="shared" si="90"/>
        <v>0</v>
      </c>
      <c r="K142" s="153">
        <f t="shared" si="90"/>
        <v>90.45</v>
      </c>
      <c r="L142" s="153">
        <f t="shared" si="90"/>
        <v>17463.98</v>
      </c>
      <c r="M142" s="153">
        <f t="shared" si="90"/>
        <v>7104.86</v>
      </c>
      <c r="N142" s="153">
        <f t="shared" si="90"/>
        <v>5550.21</v>
      </c>
      <c r="O142" s="153">
        <f t="shared" si="90"/>
        <v>2340.88</v>
      </c>
      <c r="P142" s="153">
        <f t="shared" si="90"/>
        <v>0</v>
      </c>
      <c r="R142" s="2">
        <f t="shared" si="72"/>
        <v>63819.41</v>
      </c>
      <c r="T142" s="2">
        <f t="shared" si="73"/>
        <v>16640.09</v>
      </c>
      <c r="U142" s="2">
        <f t="shared" si="74"/>
        <v>2195.08</v>
      </c>
      <c r="V142" s="2">
        <f t="shared" si="75"/>
        <v>12433.86</v>
      </c>
      <c r="W142" s="2">
        <f t="shared" si="76"/>
        <v>0</v>
      </c>
      <c r="X142" s="2">
        <f t="shared" si="77"/>
        <v>90.45</v>
      </c>
      <c r="Y142" s="2">
        <f t="shared" si="78"/>
        <v>31359.48</v>
      </c>
      <c r="Z142" s="2">
        <f t="shared" si="79"/>
        <v>17463.98</v>
      </c>
      <c r="AA142" s="2">
        <f t="shared" si="80"/>
        <v>14995.95</v>
      </c>
      <c r="AB142" s="2">
        <f t="shared" si="81"/>
        <v>32459.93</v>
      </c>
      <c r="AC142" s="2">
        <f t="shared" si="82"/>
        <v>63819.41</v>
      </c>
      <c r="AD142" s="2">
        <f t="shared" si="83"/>
        <v>0</v>
      </c>
    </row>
    <row r="143" spans="1:30" hidden="1" x14ac:dyDescent="0.2">
      <c r="A143" s="145">
        <f>'TAX Interest Rates'!A42</f>
        <v>44104</v>
      </c>
      <c r="B143" s="153">
        <f t="shared" ref="B143:P143" si="91">ROUND(-B31*B87,2)</f>
        <v>17956.240000000002</v>
      </c>
      <c r="C143" s="153">
        <f t="shared" si="91"/>
        <v>0</v>
      </c>
      <c r="D143" s="153">
        <f t="shared" si="91"/>
        <v>1837.56</v>
      </c>
      <c r="E143" s="153">
        <f t="shared" si="91"/>
        <v>827.08</v>
      </c>
      <c r="F143" s="153">
        <f t="shared" si="91"/>
        <v>3</v>
      </c>
      <c r="G143" s="153">
        <f t="shared" si="91"/>
        <v>11443.31</v>
      </c>
      <c r="H143" s="153">
        <f t="shared" si="91"/>
        <v>2259.21</v>
      </c>
      <c r="I143" s="153">
        <f t="shared" si="91"/>
        <v>0</v>
      </c>
      <c r="J143" s="153">
        <f t="shared" si="91"/>
        <v>0</v>
      </c>
      <c r="K143" s="153">
        <f t="shared" si="91"/>
        <v>85.1</v>
      </c>
      <c r="L143" s="153">
        <f t="shared" si="91"/>
        <v>18489.95</v>
      </c>
      <c r="M143" s="153">
        <f t="shared" si="91"/>
        <v>7593.32</v>
      </c>
      <c r="N143" s="153">
        <f t="shared" si="91"/>
        <v>6790.56</v>
      </c>
      <c r="O143" s="153">
        <f t="shared" si="91"/>
        <v>2935.39</v>
      </c>
      <c r="P143" s="153">
        <f t="shared" si="91"/>
        <v>0</v>
      </c>
      <c r="R143" s="2">
        <f t="shared" si="72"/>
        <v>70220.72</v>
      </c>
      <c r="T143" s="2">
        <f t="shared" si="73"/>
        <v>17956.240000000002</v>
      </c>
      <c r="U143" s="2">
        <f t="shared" si="74"/>
        <v>2664.64</v>
      </c>
      <c r="V143" s="2">
        <f t="shared" si="75"/>
        <v>13705.52</v>
      </c>
      <c r="W143" s="2">
        <f t="shared" si="76"/>
        <v>0</v>
      </c>
      <c r="X143" s="2">
        <f t="shared" si="77"/>
        <v>85.1</v>
      </c>
      <c r="Y143" s="2">
        <f t="shared" si="78"/>
        <v>34411.5</v>
      </c>
      <c r="Z143" s="2">
        <f t="shared" si="79"/>
        <v>18489.95</v>
      </c>
      <c r="AA143" s="2">
        <f t="shared" si="80"/>
        <v>17319.27</v>
      </c>
      <c r="AB143" s="2">
        <f t="shared" si="81"/>
        <v>35809.22</v>
      </c>
      <c r="AC143" s="2">
        <f t="shared" si="82"/>
        <v>70220.72</v>
      </c>
      <c r="AD143" s="2">
        <f t="shared" si="83"/>
        <v>0</v>
      </c>
    </row>
    <row r="144" spans="1:30" hidden="1" x14ac:dyDescent="0.2">
      <c r="A144" s="145">
        <f>'TAX Interest Rates'!A43</f>
        <v>44135</v>
      </c>
      <c r="B144" s="153">
        <f t="shared" ref="B144:P144" si="92">ROUND(-B32*B88,2)</f>
        <v>25775.69</v>
      </c>
      <c r="C144" s="153">
        <f t="shared" si="92"/>
        <v>0</v>
      </c>
      <c r="D144" s="153">
        <f t="shared" si="92"/>
        <v>2962.19</v>
      </c>
      <c r="E144" s="153">
        <f t="shared" si="92"/>
        <v>905.1</v>
      </c>
      <c r="F144" s="153">
        <f t="shared" si="92"/>
        <v>15.36</v>
      </c>
      <c r="G144" s="153">
        <f t="shared" si="92"/>
        <v>14867.41</v>
      </c>
      <c r="H144" s="153">
        <f t="shared" si="92"/>
        <v>1225.6099999999999</v>
      </c>
      <c r="I144" s="153">
        <f t="shared" si="92"/>
        <v>0</v>
      </c>
      <c r="J144" s="153">
        <f t="shared" si="92"/>
        <v>0</v>
      </c>
      <c r="K144" s="153">
        <f t="shared" si="92"/>
        <v>160.96</v>
      </c>
      <c r="L144" s="153">
        <f t="shared" si="92"/>
        <v>19920.669999999998</v>
      </c>
      <c r="M144" s="153">
        <f t="shared" si="92"/>
        <v>5107.8900000000003</v>
      </c>
      <c r="N144" s="153">
        <f t="shared" si="92"/>
        <v>4464.88</v>
      </c>
      <c r="O144" s="153">
        <f t="shared" si="92"/>
        <v>858.93</v>
      </c>
      <c r="P144" s="153">
        <f t="shared" si="92"/>
        <v>0</v>
      </c>
      <c r="R144" s="2">
        <f t="shared" si="72"/>
        <v>76264.689999999988</v>
      </c>
      <c r="T144" s="2">
        <f t="shared" si="73"/>
        <v>25775.69</v>
      </c>
      <c r="U144" s="2">
        <f t="shared" si="74"/>
        <v>3867.29</v>
      </c>
      <c r="V144" s="2">
        <f t="shared" si="75"/>
        <v>16108.380000000001</v>
      </c>
      <c r="W144" s="2">
        <f t="shared" si="76"/>
        <v>0</v>
      </c>
      <c r="X144" s="2">
        <f t="shared" si="77"/>
        <v>160.96</v>
      </c>
      <c r="Y144" s="2">
        <f t="shared" si="78"/>
        <v>45912.32</v>
      </c>
      <c r="Z144" s="2">
        <f t="shared" si="79"/>
        <v>19920.669999999998</v>
      </c>
      <c r="AA144" s="2">
        <f t="shared" si="80"/>
        <v>10431.700000000001</v>
      </c>
      <c r="AB144" s="2">
        <f t="shared" si="81"/>
        <v>30352.37</v>
      </c>
      <c r="AC144" s="2">
        <f t="shared" si="82"/>
        <v>76264.69</v>
      </c>
      <c r="AD144" s="2">
        <f t="shared" si="83"/>
        <v>0</v>
      </c>
    </row>
    <row r="145" spans="1:30" hidden="1" x14ac:dyDescent="0.2">
      <c r="A145" s="145">
        <f>'TAX Interest Rates'!A44</f>
        <v>44165</v>
      </c>
      <c r="B145" s="153">
        <f>ROUND(-B33*B88,2)</f>
        <v>41941.53</v>
      </c>
      <c r="C145" s="153">
        <f t="shared" ref="C145:P145" si="93">ROUND(-C33*C88,2)</f>
        <v>0</v>
      </c>
      <c r="D145" s="153">
        <f t="shared" si="93"/>
        <v>1821.1</v>
      </c>
      <c r="E145" s="153">
        <f t="shared" si="93"/>
        <v>542.24</v>
      </c>
      <c r="F145" s="153">
        <f t="shared" si="93"/>
        <v>0</v>
      </c>
      <c r="G145" s="153">
        <f t="shared" si="93"/>
        <v>20680.55</v>
      </c>
      <c r="H145" s="153">
        <f t="shared" si="93"/>
        <v>1381.03</v>
      </c>
      <c r="I145" s="153">
        <f t="shared" si="93"/>
        <v>0</v>
      </c>
      <c r="J145" s="153">
        <f t="shared" si="93"/>
        <v>0</v>
      </c>
      <c r="K145" s="153">
        <f t="shared" si="93"/>
        <v>0</v>
      </c>
      <c r="L145" s="153">
        <f t="shared" si="93"/>
        <v>-23.24</v>
      </c>
      <c r="M145" s="153">
        <f t="shared" si="93"/>
        <v>0</v>
      </c>
      <c r="N145" s="153">
        <f t="shared" si="93"/>
        <v>0</v>
      </c>
      <c r="O145" s="153">
        <f t="shared" si="93"/>
        <v>0</v>
      </c>
      <c r="P145" s="153">
        <f t="shared" si="93"/>
        <v>0</v>
      </c>
      <c r="R145" s="2">
        <f t="shared" si="72"/>
        <v>66343.209999999992</v>
      </c>
      <c r="S145" s="2" t="s">
        <v>45</v>
      </c>
      <c r="T145" s="2">
        <f t="shared" si="73"/>
        <v>41941.53</v>
      </c>
      <c r="U145" s="2">
        <f t="shared" si="74"/>
        <v>2363.34</v>
      </c>
      <c r="V145" s="2">
        <f t="shared" si="75"/>
        <v>22061.579999999998</v>
      </c>
      <c r="W145" s="2">
        <f t="shared" si="76"/>
        <v>0</v>
      </c>
      <c r="X145" s="2">
        <f t="shared" si="77"/>
        <v>0</v>
      </c>
      <c r="Y145" s="2">
        <f t="shared" si="78"/>
        <v>66366.45</v>
      </c>
      <c r="Z145" s="2">
        <f t="shared" si="79"/>
        <v>-23.24</v>
      </c>
      <c r="AA145" s="2">
        <f t="shared" si="80"/>
        <v>0</v>
      </c>
      <c r="AB145" s="2">
        <f t="shared" si="81"/>
        <v>-23.24</v>
      </c>
      <c r="AC145" s="2">
        <f t="shared" si="82"/>
        <v>66343.209999999992</v>
      </c>
      <c r="AD145" s="2">
        <f t="shared" si="83"/>
        <v>-5.2402526762307389E-12</v>
      </c>
    </row>
    <row r="146" spans="1:30" hidden="1" x14ac:dyDescent="0.2">
      <c r="A146" s="145">
        <f>'TAX Interest Rates'!A44</f>
        <v>44165</v>
      </c>
      <c r="B146" s="153">
        <f>ROUND(-B34*B89,2)</f>
        <v>19322.09</v>
      </c>
      <c r="C146" s="153">
        <f t="shared" ref="C146:P146" si="94">ROUND(-C34*C89,2)</f>
        <v>0</v>
      </c>
      <c r="D146" s="153">
        <f t="shared" si="94"/>
        <v>670.79</v>
      </c>
      <c r="E146" s="153">
        <f t="shared" si="94"/>
        <v>235.26</v>
      </c>
      <c r="F146" s="153">
        <f t="shared" si="94"/>
        <v>23.59</v>
      </c>
      <c r="G146" s="153">
        <f t="shared" si="94"/>
        <v>8589.5400000000009</v>
      </c>
      <c r="H146" s="153">
        <f t="shared" si="94"/>
        <v>740.7</v>
      </c>
      <c r="I146" s="153">
        <f t="shared" si="94"/>
        <v>0</v>
      </c>
      <c r="J146" s="153">
        <f t="shared" si="94"/>
        <v>0</v>
      </c>
      <c r="K146" s="153">
        <f t="shared" si="94"/>
        <v>176.25</v>
      </c>
      <c r="L146" s="153">
        <f t="shared" si="94"/>
        <v>18337.82</v>
      </c>
      <c r="M146" s="153">
        <f t="shared" si="94"/>
        <v>3607.91</v>
      </c>
      <c r="N146" s="153">
        <f t="shared" si="94"/>
        <v>1161.24</v>
      </c>
      <c r="O146" s="153">
        <f t="shared" si="94"/>
        <v>439.88</v>
      </c>
      <c r="P146" s="153">
        <f t="shared" si="94"/>
        <v>0</v>
      </c>
      <c r="R146" s="2">
        <f t="shared" si="72"/>
        <v>53305.069999999992</v>
      </c>
      <c r="S146" s="2" t="s">
        <v>46</v>
      </c>
      <c r="T146" s="2">
        <f t="shared" ref="T146" si="95">+B146</f>
        <v>19322.09</v>
      </c>
      <c r="U146" s="2">
        <f t="shared" ref="U146" si="96">+C146+D146+E146</f>
        <v>906.05</v>
      </c>
      <c r="V146" s="2">
        <f t="shared" ref="V146" si="97">+F146+G146+H146</f>
        <v>9353.8300000000017</v>
      </c>
      <c r="W146" s="2">
        <f t="shared" ref="W146" si="98">+I146+J146</f>
        <v>0</v>
      </c>
      <c r="X146" s="2">
        <f t="shared" ref="X146" si="99">+K146</f>
        <v>176.25</v>
      </c>
      <c r="Y146" s="2">
        <f t="shared" ref="Y146" si="100">SUM(T146:X146)</f>
        <v>29758.22</v>
      </c>
      <c r="Z146" s="2">
        <f t="shared" ref="Z146" si="101">+L146</f>
        <v>18337.82</v>
      </c>
      <c r="AA146" s="2">
        <f t="shared" ref="AA146" si="102">+M146+N146+O146+P146</f>
        <v>5209.03</v>
      </c>
      <c r="AB146" s="2">
        <f t="shared" ref="AB146" si="103">SUM(Z146:AA146)</f>
        <v>23546.85</v>
      </c>
      <c r="AC146" s="2">
        <f t="shared" ref="AC146" si="104">+Y146+AB146</f>
        <v>53305.07</v>
      </c>
      <c r="AD146" s="2">
        <f t="shared" ref="AD146" si="105">+R146-Y146-AB146</f>
        <v>0</v>
      </c>
    </row>
    <row r="147" spans="1:30" hidden="1" x14ac:dyDescent="0.2">
      <c r="A147" s="145">
        <f>'TAX Interest Rates'!A45</f>
        <v>44196</v>
      </c>
      <c r="B147" s="153">
        <f>ROUND(-B35*B90,2)</f>
        <v>100136.42</v>
      </c>
      <c r="C147" s="153">
        <f t="shared" ref="C147:P147" si="106">ROUND(-C35*C90,2)</f>
        <v>0</v>
      </c>
      <c r="D147" s="153">
        <f t="shared" si="106"/>
        <v>3567.13</v>
      </c>
      <c r="E147" s="153">
        <f t="shared" si="106"/>
        <v>911.35</v>
      </c>
      <c r="F147" s="153">
        <f t="shared" si="106"/>
        <v>31.42</v>
      </c>
      <c r="G147" s="153">
        <f t="shared" si="106"/>
        <v>50255.16</v>
      </c>
      <c r="H147" s="153">
        <f t="shared" si="106"/>
        <v>3259.85</v>
      </c>
      <c r="I147" s="153">
        <f t="shared" si="106"/>
        <v>0</v>
      </c>
      <c r="J147" s="153">
        <f t="shared" si="106"/>
        <v>0</v>
      </c>
      <c r="K147" s="153">
        <f t="shared" si="106"/>
        <v>195.58</v>
      </c>
      <c r="L147" s="153">
        <f t="shared" si="106"/>
        <v>17877.11</v>
      </c>
      <c r="M147" s="153">
        <f t="shared" si="106"/>
        <v>6409.54</v>
      </c>
      <c r="N147" s="153">
        <f t="shared" si="106"/>
        <v>4404.79</v>
      </c>
      <c r="O147" s="153">
        <f t="shared" si="106"/>
        <v>366.94</v>
      </c>
      <c r="P147" s="153">
        <f t="shared" si="106"/>
        <v>0</v>
      </c>
      <c r="R147" s="2">
        <f t="shared" si="72"/>
        <v>187415.29000000004</v>
      </c>
      <c r="T147" s="2">
        <f t="shared" si="73"/>
        <v>100136.42</v>
      </c>
      <c r="U147" s="2">
        <f t="shared" si="74"/>
        <v>4478.4800000000005</v>
      </c>
      <c r="V147" s="2">
        <f t="shared" si="75"/>
        <v>53546.43</v>
      </c>
      <c r="W147" s="2">
        <f t="shared" si="76"/>
        <v>0</v>
      </c>
      <c r="X147" s="2">
        <f t="shared" si="77"/>
        <v>195.58</v>
      </c>
      <c r="Y147" s="2">
        <f t="shared" si="78"/>
        <v>158356.90999999997</v>
      </c>
      <c r="Z147" s="2">
        <f t="shared" si="79"/>
        <v>17877.11</v>
      </c>
      <c r="AA147" s="2">
        <f t="shared" si="80"/>
        <v>11181.27</v>
      </c>
      <c r="AB147" s="2">
        <f t="shared" si="81"/>
        <v>29058.38</v>
      </c>
      <c r="AC147" s="2">
        <f t="shared" si="82"/>
        <v>187415.28999999998</v>
      </c>
      <c r="AD147" s="2">
        <f t="shared" si="83"/>
        <v>6.184563972055912E-11</v>
      </c>
    </row>
    <row r="148" spans="1:30" hidden="1" x14ac:dyDescent="0.2">
      <c r="A148" s="145">
        <f>'TAX Interest Rates'!A46</f>
        <v>44227</v>
      </c>
      <c r="B148" s="153">
        <f t="shared" ref="B148:P148" si="107">ROUND(-B36*B91,2)</f>
        <v>106694.32</v>
      </c>
      <c r="C148" s="153">
        <f t="shared" si="107"/>
        <v>0</v>
      </c>
      <c r="D148" s="153">
        <f t="shared" si="107"/>
        <v>3325.58</v>
      </c>
      <c r="E148" s="153">
        <f t="shared" si="107"/>
        <v>936.07</v>
      </c>
      <c r="F148" s="153">
        <f t="shared" si="107"/>
        <v>52.93</v>
      </c>
      <c r="G148" s="153">
        <f t="shared" si="107"/>
        <v>53584.44</v>
      </c>
      <c r="H148" s="153">
        <f t="shared" si="107"/>
        <v>3168.25</v>
      </c>
      <c r="I148" s="153">
        <f t="shared" si="107"/>
        <v>0</v>
      </c>
      <c r="J148" s="153">
        <f t="shared" si="107"/>
        <v>0</v>
      </c>
      <c r="K148" s="153">
        <f t="shared" si="107"/>
        <v>198.92</v>
      </c>
      <c r="L148" s="153">
        <f t="shared" si="107"/>
        <v>18976.54</v>
      </c>
      <c r="M148" s="153">
        <f t="shared" si="107"/>
        <v>5919.94</v>
      </c>
      <c r="N148" s="153">
        <f t="shared" si="107"/>
        <v>2491.5700000000002</v>
      </c>
      <c r="O148" s="153">
        <f t="shared" si="107"/>
        <v>121.26</v>
      </c>
      <c r="P148" s="153">
        <f t="shared" si="107"/>
        <v>0</v>
      </c>
      <c r="R148" s="2">
        <f t="shared" ref="R148:R160" si="108">SUM(B148:Q148)</f>
        <v>195469.82000000007</v>
      </c>
      <c r="T148" s="2">
        <f t="shared" ref="T148:T160" si="109">+B148</f>
        <v>106694.32</v>
      </c>
      <c r="U148" s="2">
        <f t="shared" ref="U148:U160" si="110">+C148+D148+E148</f>
        <v>4261.6499999999996</v>
      </c>
      <c r="V148" s="2">
        <f t="shared" ref="V148:V160" si="111">+F148+G148+H148</f>
        <v>56805.62</v>
      </c>
      <c r="W148" s="2">
        <f t="shared" ref="W148:W160" si="112">+I148+J148</f>
        <v>0</v>
      </c>
      <c r="X148" s="2">
        <f t="shared" ref="X148:X160" si="113">+K148</f>
        <v>198.92</v>
      </c>
      <c r="Y148" s="2">
        <f t="shared" ref="Y148:Y160" si="114">SUM(T148:X148)</f>
        <v>167960.51</v>
      </c>
      <c r="Z148" s="2">
        <f t="shared" ref="Z148:Z160" si="115">+L148</f>
        <v>18976.54</v>
      </c>
      <c r="AA148" s="2">
        <f t="shared" ref="AA148:AA160" si="116">+M148+N148+O148+P148</f>
        <v>8532.77</v>
      </c>
      <c r="AB148" s="2">
        <f t="shared" ref="AB148:AB160" si="117">SUM(Z148:AA148)</f>
        <v>27509.31</v>
      </c>
      <c r="AC148" s="2">
        <f t="shared" ref="AC148:AC160" si="118">+Y148+AB148</f>
        <v>195469.82</v>
      </c>
      <c r="AD148" s="2">
        <f t="shared" ref="AD148:AD160" si="119">+R148-Y148-AB148</f>
        <v>5.4569682106375694E-11</v>
      </c>
    </row>
    <row r="149" spans="1:30" hidden="1" x14ac:dyDescent="0.2">
      <c r="A149" s="145">
        <f>'TAX Interest Rates'!A47</f>
        <v>44255</v>
      </c>
      <c r="B149" s="153">
        <f t="shared" ref="B149:P149" si="120">ROUND(-B37*B92,2)</f>
        <v>100809.47</v>
      </c>
      <c r="C149" s="153">
        <f t="shared" si="120"/>
        <v>0</v>
      </c>
      <c r="D149" s="153">
        <f t="shared" si="120"/>
        <v>3224.73</v>
      </c>
      <c r="E149" s="153">
        <f t="shared" si="120"/>
        <v>808.33</v>
      </c>
      <c r="F149" s="153">
        <f t="shared" si="120"/>
        <v>31.5</v>
      </c>
      <c r="G149" s="153">
        <f t="shared" si="120"/>
        <v>50249.63</v>
      </c>
      <c r="H149" s="153">
        <f t="shared" si="120"/>
        <v>3067.68</v>
      </c>
      <c r="I149" s="153">
        <f t="shared" si="120"/>
        <v>0</v>
      </c>
      <c r="J149" s="153">
        <f t="shared" si="120"/>
        <v>0</v>
      </c>
      <c r="K149" s="153">
        <f t="shared" si="120"/>
        <v>191.88</v>
      </c>
      <c r="L149" s="153">
        <f t="shared" si="120"/>
        <v>17399.77</v>
      </c>
      <c r="M149" s="153">
        <f t="shared" si="120"/>
        <v>5026.5200000000004</v>
      </c>
      <c r="N149" s="153">
        <f t="shared" si="120"/>
        <v>2583.4699999999998</v>
      </c>
      <c r="O149" s="153">
        <f t="shared" si="120"/>
        <v>471.5</v>
      </c>
      <c r="P149" s="153">
        <f t="shared" si="120"/>
        <v>0</v>
      </c>
      <c r="R149" s="2">
        <f t="shared" si="108"/>
        <v>183864.47999999998</v>
      </c>
      <c r="T149" s="2">
        <f t="shared" si="109"/>
        <v>100809.47</v>
      </c>
      <c r="U149" s="2">
        <f t="shared" si="110"/>
        <v>4033.06</v>
      </c>
      <c r="V149" s="2">
        <f t="shared" si="111"/>
        <v>53348.81</v>
      </c>
      <c r="W149" s="2">
        <f t="shared" si="112"/>
        <v>0</v>
      </c>
      <c r="X149" s="2">
        <f t="shared" si="113"/>
        <v>191.88</v>
      </c>
      <c r="Y149" s="2">
        <f t="shared" si="114"/>
        <v>158383.22</v>
      </c>
      <c r="Z149" s="2">
        <f t="shared" si="115"/>
        <v>17399.77</v>
      </c>
      <c r="AA149" s="2">
        <f t="shared" si="116"/>
        <v>8081.49</v>
      </c>
      <c r="AB149" s="2">
        <f t="shared" si="117"/>
        <v>25481.260000000002</v>
      </c>
      <c r="AC149" s="2">
        <f t="shared" si="118"/>
        <v>183864.48</v>
      </c>
      <c r="AD149" s="2">
        <f t="shared" si="119"/>
        <v>0</v>
      </c>
    </row>
    <row r="150" spans="1:30" hidden="1" x14ac:dyDescent="0.2">
      <c r="A150" s="145">
        <f>'TAX Interest Rates'!A48</f>
        <v>44286</v>
      </c>
      <c r="B150" s="153">
        <f t="shared" ref="B150:P150" si="121">ROUND(-B38*B93,2)</f>
        <v>106648.02</v>
      </c>
      <c r="C150" s="153">
        <f>ROUND(-C38*C93,2)</f>
        <v>0</v>
      </c>
      <c r="D150" s="153">
        <f t="shared" si="121"/>
        <v>3584.03</v>
      </c>
      <c r="E150" s="153">
        <f t="shared" si="121"/>
        <v>989.72</v>
      </c>
      <c r="F150" s="153">
        <f t="shared" si="121"/>
        <v>16.670000000000002</v>
      </c>
      <c r="G150" s="153">
        <f t="shared" si="121"/>
        <v>54872.99</v>
      </c>
      <c r="H150" s="153">
        <f t="shared" si="121"/>
        <v>3221.23</v>
      </c>
      <c r="I150" s="153">
        <f t="shared" si="121"/>
        <v>0</v>
      </c>
      <c r="J150" s="153">
        <f t="shared" si="121"/>
        <v>0</v>
      </c>
      <c r="K150" s="153">
        <f t="shared" si="121"/>
        <v>187.67</v>
      </c>
      <c r="L150" s="153">
        <f t="shared" si="121"/>
        <v>18594.23</v>
      </c>
      <c r="M150" s="153">
        <f t="shared" si="121"/>
        <v>7224.24</v>
      </c>
      <c r="N150" s="153">
        <f t="shared" si="121"/>
        <v>5267.47</v>
      </c>
      <c r="O150" s="153">
        <f t="shared" si="121"/>
        <v>993.14</v>
      </c>
      <c r="P150" s="153">
        <f t="shared" si="121"/>
        <v>0</v>
      </c>
      <c r="R150" s="2">
        <f t="shared" si="108"/>
        <v>201599.41000000003</v>
      </c>
      <c r="T150" s="2">
        <f t="shared" si="109"/>
        <v>106648.02</v>
      </c>
      <c r="U150" s="2">
        <f t="shared" si="110"/>
        <v>4573.75</v>
      </c>
      <c r="V150" s="2">
        <f t="shared" si="111"/>
        <v>58110.89</v>
      </c>
      <c r="W150" s="2">
        <f t="shared" si="112"/>
        <v>0</v>
      </c>
      <c r="X150" s="2">
        <f t="shared" si="113"/>
        <v>187.67</v>
      </c>
      <c r="Y150" s="2">
        <f t="shared" si="114"/>
        <v>169520.33000000002</v>
      </c>
      <c r="Z150" s="2">
        <f t="shared" si="115"/>
        <v>18594.23</v>
      </c>
      <c r="AA150" s="2">
        <f t="shared" si="116"/>
        <v>13484.849999999999</v>
      </c>
      <c r="AB150" s="2">
        <f t="shared" si="117"/>
        <v>32079.079999999998</v>
      </c>
      <c r="AC150" s="2">
        <f t="shared" si="118"/>
        <v>201599.41</v>
      </c>
      <c r="AD150" s="2">
        <f t="shared" si="119"/>
        <v>0</v>
      </c>
    </row>
    <row r="151" spans="1:30" hidden="1" x14ac:dyDescent="0.2">
      <c r="A151" s="145">
        <f>'TAX Interest Rates'!A49</f>
        <v>44316</v>
      </c>
      <c r="B151" s="153">
        <f t="shared" ref="B151:P151" si="122">ROUND(-B39*B94,2)</f>
        <v>73537.38</v>
      </c>
      <c r="C151" s="153">
        <f t="shared" si="122"/>
        <v>0</v>
      </c>
      <c r="D151" s="153">
        <f t="shared" si="122"/>
        <v>2806.08</v>
      </c>
      <c r="E151" s="153">
        <f t="shared" si="122"/>
        <v>924.89</v>
      </c>
      <c r="F151" s="153">
        <f t="shared" si="122"/>
        <v>9.17</v>
      </c>
      <c r="G151" s="153">
        <f t="shared" si="122"/>
        <v>38172.46</v>
      </c>
      <c r="H151" s="153">
        <f t="shared" si="122"/>
        <v>2462.16</v>
      </c>
      <c r="I151" s="153">
        <f t="shared" si="122"/>
        <v>0</v>
      </c>
      <c r="J151" s="153">
        <f t="shared" si="122"/>
        <v>0</v>
      </c>
      <c r="K151" s="153">
        <f t="shared" si="122"/>
        <v>144.46</v>
      </c>
      <c r="L151" s="153">
        <f t="shared" si="122"/>
        <v>17381.23</v>
      </c>
      <c r="M151" s="153">
        <f t="shared" si="122"/>
        <v>3150.1</v>
      </c>
      <c r="N151" s="153">
        <f t="shared" si="122"/>
        <v>6190.51</v>
      </c>
      <c r="O151" s="153">
        <f t="shared" si="122"/>
        <v>4021.54</v>
      </c>
      <c r="P151" s="153">
        <f t="shared" si="122"/>
        <v>0</v>
      </c>
      <c r="R151" s="2">
        <f t="shared" si="108"/>
        <v>148799.98000000004</v>
      </c>
      <c r="T151" s="2">
        <f t="shared" si="109"/>
        <v>73537.38</v>
      </c>
      <c r="U151" s="2">
        <f t="shared" si="110"/>
        <v>3730.97</v>
      </c>
      <c r="V151" s="2">
        <f t="shared" si="111"/>
        <v>40643.789999999994</v>
      </c>
      <c r="W151" s="2">
        <f t="shared" si="112"/>
        <v>0</v>
      </c>
      <c r="X151" s="2">
        <f t="shared" si="113"/>
        <v>144.46</v>
      </c>
      <c r="Y151" s="2">
        <f t="shared" si="114"/>
        <v>118056.6</v>
      </c>
      <c r="Z151" s="2">
        <f t="shared" si="115"/>
        <v>17381.23</v>
      </c>
      <c r="AA151" s="2">
        <f t="shared" si="116"/>
        <v>13362.150000000001</v>
      </c>
      <c r="AB151" s="2">
        <f t="shared" si="117"/>
        <v>30743.38</v>
      </c>
      <c r="AC151" s="2">
        <f t="shared" si="118"/>
        <v>148799.98000000001</v>
      </c>
      <c r="AD151" s="2">
        <f t="shared" si="119"/>
        <v>3.2741809263825417E-11</v>
      </c>
    </row>
    <row r="152" spans="1:30" hidden="1" x14ac:dyDescent="0.2">
      <c r="A152" s="145">
        <f>'TAX Interest Rates'!A50</f>
        <v>44347</v>
      </c>
      <c r="B152" s="153">
        <f t="shared" ref="B152:P152" si="123">ROUND(-B40*B95,2)</f>
        <v>35898.629999999997</v>
      </c>
      <c r="C152" s="153">
        <f t="shared" si="123"/>
        <v>0</v>
      </c>
      <c r="D152" s="153">
        <f t="shared" si="123"/>
        <v>1788.63</v>
      </c>
      <c r="E152" s="153">
        <f t="shared" si="123"/>
        <v>621.1</v>
      </c>
      <c r="F152" s="153">
        <f t="shared" si="123"/>
        <v>15.02</v>
      </c>
      <c r="G152" s="153">
        <f t="shared" si="123"/>
        <v>20562.080000000002</v>
      </c>
      <c r="H152" s="153">
        <f t="shared" si="123"/>
        <v>1391.78</v>
      </c>
      <c r="I152" s="153">
        <f t="shared" si="123"/>
        <v>0</v>
      </c>
      <c r="J152" s="153">
        <f t="shared" si="123"/>
        <v>0</v>
      </c>
      <c r="K152" s="153">
        <f t="shared" si="123"/>
        <v>115.03</v>
      </c>
      <c r="L152" s="153">
        <f t="shared" si="123"/>
        <v>16388.77</v>
      </c>
      <c r="M152" s="153">
        <f t="shared" si="123"/>
        <v>0.17</v>
      </c>
      <c r="N152" s="153">
        <f t="shared" si="123"/>
        <v>2818.24</v>
      </c>
      <c r="O152" s="153">
        <f t="shared" si="123"/>
        <v>1393.8</v>
      </c>
      <c r="P152" s="153">
        <f t="shared" si="123"/>
        <v>0</v>
      </c>
      <c r="R152" s="2">
        <f t="shared" si="108"/>
        <v>80993.25</v>
      </c>
      <c r="T152" s="2">
        <f t="shared" si="109"/>
        <v>35898.629999999997</v>
      </c>
      <c r="U152" s="2">
        <f t="shared" si="110"/>
        <v>2409.73</v>
      </c>
      <c r="V152" s="2">
        <f t="shared" si="111"/>
        <v>21968.880000000001</v>
      </c>
      <c r="W152" s="2">
        <f t="shared" si="112"/>
        <v>0</v>
      </c>
      <c r="X152" s="2">
        <f t="shared" si="113"/>
        <v>115.03</v>
      </c>
      <c r="Y152" s="2">
        <f t="shared" si="114"/>
        <v>60392.270000000004</v>
      </c>
      <c r="Z152" s="2">
        <f t="shared" si="115"/>
        <v>16388.77</v>
      </c>
      <c r="AA152" s="2">
        <f t="shared" si="116"/>
        <v>4212.21</v>
      </c>
      <c r="AB152" s="2">
        <f t="shared" si="117"/>
        <v>20600.98</v>
      </c>
      <c r="AC152" s="2">
        <f t="shared" si="118"/>
        <v>80993.25</v>
      </c>
      <c r="AD152" s="2">
        <f t="shared" si="119"/>
        <v>0</v>
      </c>
    </row>
    <row r="153" spans="1:30" hidden="1" x14ac:dyDescent="0.2">
      <c r="A153" s="145">
        <f>'TAX Interest Rates'!A51</f>
        <v>44377</v>
      </c>
      <c r="B153" s="153">
        <f t="shared" ref="B153:P153" si="124">ROUND(-B41*B96,2)</f>
        <v>27996.9</v>
      </c>
      <c r="C153" s="153">
        <f t="shared" si="124"/>
        <v>0</v>
      </c>
      <c r="D153" s="153">
        <f t="shared" si="124"/>
        <v>1538.8</v>
      </c>
      <c r="E153" s="153">
        <f t="shared" si="124"/>
        <v>972.46</v>
      </c>
      <c r="F153" s="153">
        <f t="shared" si="124"/>
        <v>6.31</v>
      </c>
      <c r="G153" s="153">
        <f t="shared" si="124"/>
        <v>16752.88</v>
      </c>
      <c r="H153" s="153">
        <f t="shared" si="124"/>
        <v>1107.1300000000001</v>
      </c>
      <c r="I153" s="153">
        <f t="shared" si="124"/>
        <v>0</v>
      </c>
      <c r="J153" s="153">
        <f t="shared" si="124"/>
        <v>0</v>
      </c>
      <c r="K153" s="153">
        <f t="shared" si="124"/>
        <v>83.61</v>
      </c>
      <c r="L153" s="153">
        <f t="shared" si="124"/>
        <v>15695.63</v>
      </c>
      <c r="M153" s="153">
        <f t="shared" si="124"/>
        <v>5078.8100000000004</v>
      </c>
      <c r="N153" s="153">
        <f t="shared" si="124"/>
        <v>4463</v>
      </c>
      <c r="O153" s="153">
        <f t="shared" si="124"/>
        <v>2576.94</v>
      </c>
      <c r="P153" s="153">
        <f t="shared" si="124"/>
        <v>0</v>
      </c>
      <c r="R153" s="2">
        <f t="shared" si="108"/>
        <v>76272.47</v>
      </c>
      <c r="T153" s="2">
        <f t="shared" si="109"/>
        <v>27996.9</v>
      </c>
      <c r="U153" s="2">
        <f t="shared" si="110"/>
        <v>2511.2600000000002</v>
      </c>
      <c r="V153" s="2">
        <f t="shared" si="111"/>
        <v>17866.320000000003</v>
      </c>
      <c r="W153" s="2">
        <f t="shared" si="112"/>
        <v>0</v>
      </c>
      <c r="X153" s="2">
        <f t="shared" si="113"/>
        <v>83.61</v>
      </c>
      <c r="Y153" s="2">
        <f t="shared" si="114"/>
        <v>48458.090000000011</v>
      </c>
      <c r="Z153" s="2">
        <f t="shared" si="115"/>
        <v>15695.63</v>
      </c>
      <c r="AA153" s="2">
        <f t="shared" si="116"/>
        <v>12118.750000000002</v>
      </c>
      <c r="AB153" s="2">
        <f t="shared" si="117"/>
        <v>27814.38</v>
      </c>
      <c r="AC153" s="2">
        <f t="shared" si="118"/>
        <v>76272.470000000016</v>
      </c>
      <c r="AD153" s="2">
        <f t="shared" si="119"/>
        <v>0</v>
      </c>
    </row>
    <row r="154" spans="1:30" hidden="1" x14ac:dyDescent="0.2">
      <c r="A154" s="145">
        <f>'TAX Interest Rates'!A52</f>
        <v>44408</v>
      </c>
      <c r="B154" s="153">
        <f t="shared" ref="B154:P154" si="125">ROUND(-B42*B97,2)</f>
        <v>16497.080000000002</v>
      </c>
      <c r="C154" s="153">
        <f t="shared" si="125"/>
        <v>0</v>
      </c>
      <c r="D154" s="153">
        <f t="shared" si="125"/>
        <v>1305.48</v>
      </c>
      <c r="E154" s="153">
        <f t="shared" si="125"/>
        <v>564.28</v>
      </c>
      <c r="F154" s="153">
        <f t="shared" si="125"/>
        <v>5.0199999999999996</v>
      </c>
      <c r="G154" s="153">
        <f t="shared" si="125"/>
        <v>11390.46</v>
      </c>
      <c r="H154" s="153">
        <f t="shared" si="125"/>
        <v>723.32</v>
      </c>
      <c r="I154" s="153">
        <f t="shared" si="125"/>
        <v>0</v>
      </c>
      <c r="J154" s="153">
        <f t="shared" si="125"/>
        <v>0</v>
      </c>
      <c r="K154" s="153">
        <f t="shared" si="125"/>
        <v>71.05</v>
      </c>
      <c r="L154" s="153">
        <f t="shared" si="125"/>
        <v>14227.78</v>
      </c>
      <c r="M154" s="153">
        <f t="shared" si="125"/>
        <v>7056.84</v>
      </c>
      <c r="N154" s="153">
        <f t="shared" si="125"/>
        <v>5864.18</v>
      </c>
      <c r="O154" s="153">
        <f t="shared" si="125"/>
        <v>4137.7299999999996</v>
      </c>
      <c r="P154" s="153">
        <f t="shared" si="125"/>
        <v>0</v>
      </c>
      <c r="R154" s="2">
        <f t="shared" si="108"/>
        <v>61843.22</v>
      </c>
      <c r="T154" s="2">
        <f t="shared" si="109"/>
        <v>16497.080000000002</v>
      </c>
      <c r="U154" s="2">
        <f t="shared" si="110"/>
        <v>1869.76</v>
      </c>
      <c r="V154" s="2">
        <f t="shared" si="111"/>
        <v>12118.8</v>
      </c>
      <c r="W154" s="2">
        <f t="shared" si="112"/>
        <v>0</v>
      </c>
      <c r="X154" s="2">
        <f t="shared" si="113"/>
        <v>71.05</v>
      </c>
      <c r="Y154" s="2">
        <f t="shared" si="114"/>
        <v>30556.69</v>
      </c>
      <c r="Z154" s="2">
        <f t="shared" si="115"/>
        <v>14227.78</v>
      </c>
      <c r="AA154" s="2">
        <f t="shared" si="116"/>
        <v>17058.75</v>
      </c>
      <c r="AB154" s="2">
        <f t="shared" si="117"/>
        <v>31286.53</v>
      </c>
      <c r="AC154" s="2">
        <f t="shared" si="118"/>
        <v>61843.22</v>
      </c>
      <c r="AD154" s="2">
        <f t="shared" si="119"/>
        <v>0</v>
      </c>
    </row>
    <row r="155" spans="1:30" hidden="1" x14ac:dyDescent="0.2">
      <c r="A155" s="145">
        <f>'TAX Interest Rates'!A53</f>
        <v>44439</v>
      </c>
      <c r="B155" s="153">
        <f t="shared" ref="B155:P155" si="126">ROUND(-B43*B98,2)</f>
        <v>14409.96</v>
      </c>
      <c r="C155" s="153">
        <f t="shared" si="126"/>
        <v>0</v>
      </c>
      <c r="D155" s="153">
        <f t="shared" si="126"/>
        <v>1224.49</v>
      </c>
      <c r="E155" s="153">
        <f t="shared" si="126"/>
        <v>684.71</v>
      </c>
      <c r="F155" s="153">
        <f t="shared" si="126"/>
        <v>7.65</v>
      </c>
      <c r="G155" s="153">
        <f t="shared" si="126"/>
        <v>10729.04</v>
      </c>
      <c r="H155" s="153">
        <f t="shared" si="126"/>
        <v>660.13</v>
      </c>
      <c r="I155" s="153">
        <f t="shared" si="126"/>
        <v>0</v>
      </c>
      <c r="J155" s="153">
        <f t="shared" si="126"/>
        <v>0</v>
      </c>
      <c r="K155" s="153">
        <f t="shared" si="126"/>
        <v>82.43</v>
      </c>
      <c r="L155" s="153">
        <f t="shared" si="126"/>
        <v>14569.01</v>
      </c>
      <c r="M155" s="153">
        <f t="shared" si="126"/>
        <v>7127.71</v>
      </c>
      <c r="N155" s="153">
        <f t="shared" si="126"/>
        <v>5938.34</v>
      </c>
      <c r="O155" s="153">
        <f t="shared" si="126"/>
        <v>3249.3</v>
      </c>
      <c r="P155" s="153">
        <f t="shared" si="126"/>
        <v>0</v>
      </c>
      <c r="R155" s="2">
        <f t="shared" si="108"/>
        <v>58682.770000000004</v>
      </c>
      <c r="T155" s="2">
        <f t="shared" si="109"/>
        <v>14409.96</v>
      </c>
      <c r="U155" s="2">
        <f t="shared" si="110"/>
        <v>1909.2</v>
      </c>
      <c r="V155" s="2">
        <f t="shared" si="111"/>
        <v>11396.82</v>
      </c>
      <c r="W155" s="2">
        <f t="shared" si="112"/>
        <v>0</v>
      </c>
      <c r="X155" s="2">
        <f t="shared" si="113"/>
        <v>82.43</v>
      </c>
      <c r="Y155" s="2">
        <f t="shared" si="114"/>
        <v>27798.41</v>
      </c>
      <c r="Z155" s="2">
        <f t="shared" si="115"/>
        <v>14569.01</v>
      </c>
      <c r="AA155" s="2">
        <f t="shared" si="116"/>
        <v>16315.349999999999</v>
      </c>
      <c r="AB155" s="2">
        <f t="shared" si="117"/>
        <v>30884.36</v>
      </c>
      <c r="AC155" s="2">
        <f t="shared" si="118"/>
        <v>58682.770000000004</v>
      </c>
      <c r="AD155" s="2">
        <f t="shared" si="119"/>
        <v>0</v>
      </c>
    </row>
    <row r="156" spans="1:30" hidden="1" x14ac:dyDescent="0.2">
      <c r="A156" s="145">
        <f>'TAX Interest Rates'!A54</f>
        <v>44469</v>
      </c>
      <c r="B156" s="153">
        <f t="shared" ref="B156:P156" si="127">ROUND(-B44*B99,2)</f>
        <v>16393.259999999998</v>
      </c>
      <c r="C156" s="153">
        <f t="shared" si="127"/>
        <v>0</v>
      </c>
      <c r="D156" s="153">
        <f t="shared" si="127"/>
        <v>1539.23</v>
      </c>
      <c r="E156" s="153">
        <f t="shared" si="127"/>
        <v>635.17999999999995</v>
      </c>
      <c r="F156" s="153">
        <f t="shared" si="127"/>
        <v>9.24</v>
      </c>
      <c r="G156" s="153">
        <f t="shared" si="127"/>
        <v>11611.04</v>
      </c>
      <c r="H156" s="153">
        <f t="shared" si="127"/>
        <v>701.51</v>
      </c>
      <c r="I156" s="153">
        <f t="shared" si="127"/>
        <v>0</v>
      </c>
      <c r="J156" s="153">
        <f t="shared" si="127"/>
        <v>0</v>
      </c>
      <c r="K156" s="153">
        <f t="shared" si="127"/>
        <v>102</v>
      </c>
      <c r="L156" s="153">
        <f t="shared" si="127"/>
        <v>15475.95</v>
      </c>
      <c r="M156" s="153">
        <f t="shared" si="127"/>
        <v>6714.39</v>
      </c>
      <c r="N156" s="153">
        <f t="shared" si="127"/>
        <v>6683.2</v>
      </c>
      <c r="O156" s="153">
        <f t="shared" si="127"/>
        <v>2194.02</v>
      </c>
      <c r="P156" s="153">
        <f t="shared" si="127"/>
        <v>0</v>
      </c>
      <c r="R156" s="2">
        <f t="shared" si="108"/>
        <v>62059.02</v>
      </c>
      <c r="T156" s="2">
        <f t="shared" si="109"/>
        <v>16393.259999999998</v>
      </c>
      <c r="U156" s="2">
        <f t="shared" si="110"/>
        <v>2174.41</v>
      </c>
      <c r="V156" s="2">
        <f t="shared" si="111"/>
        <v>12321.79</v>
      </c>
      <c r="W156" s="2">
        <f t="shared" si="112"/>
        <v>0</v>
      </c>
      <c r="X156" s="2">
        <f t="shared" si="113"/>
        <v>102</v>
      </c>
      <c r="Y156" s="2">
        <f t="shared" si="114"/>
        <v>30991.46</v>
      </c>
      <c r="Z156" s="2">
        <f t="shared" si="115"/>
        <v>15475.95</v>
      </c>
      <c r="AA156" s="2">
        <f t="shared" si="116"/>
        <v>15591.61</v>
      </c>
      <c r="AB156" s="2">
        <f t="shared" si="117"/>
        <v>31067.56</v>
      </c>
      <c r="AC156" s="2">
        <f t="shared" si="118"/>
        <v>62059.020000000004</v>
      </c>
      <c r="AD156" s="2">
        <f t="shared" si="119"/>
        <v>0</v>
      </c>
    </row>
    <row r="157" spans="1:30" hidden="1" x14ac:dyDescent="0.2">
      <c r="A157" s="145">
        <f>'TAX Interest Rates'!A55</f>
        <v>44500</v>
      </c>
      <c r="B157" s="153">
        <f t="shared" ref="B157:P157" si="128">ROUND(-B45*B100,2)</f>
        <v>28740.75</v>
      </c>
      <c r="C157" s="153">
        <f t="shared" si="128"/>
        <v>0</v>
      </c>
      <c r="D157" s="153">
        <f t="shared" si="128"/>
        <v>3207.09</v>
      </c>
      <c r="E157" s="153">
        <f t="shared" si="128"/>
        <v>726.35</v>
      </c>
      <c r="F157" s="153">
        <f t="shared" si="128"/>
        <v>12.79</v>
      </c>
      <c r="G157" s="153">
        <f t="shared" si="128"/>
        <v>16550.18</v>
      </c>
      <c r="H157" s="153">
        <f t="shared" si="128"/>
        <v>1148.78</v>
      </c>
      <c r="I157" s="153">
        <f t="shared" si="128"/>
        <v>0</v>
      </c>
      <c r="J157" s="153">
        <f t="shared" si="128"/>
        <v>0</v>
      </c>
      <c r="K157" s="153">
        <f t="shared" si="128"/>
        <v>150.63</v>
      </c>
      <c r="L157" s="153">
        <f t="shared" si="128"/>
        <v>17350.97</v>
      </c>
      <c r="M157" s="153">
        <f t="shared" si="128"/>
        <v>4880.59</v>
      </c>
      <c r="N157" s="153">
        <f t="shared" si="128"/>
        <v>4941.7700000000004</v>
      </c>
      <c r="O157" s="153">
        <f t="shared" si="128"/>
        <v>2006.95</v>
      </c>
      <c r="P157" s="153">
        <f t="shared" si="128"/>
        <v>0</v>
      </c>
      <c r="R157" s="2">
        <f t="shared" si="108"/>
        <v>79716.850000000006</v>
      </c>
      <c r="T157" s="2">
        <f t="shared" si="109"/>
        <v>28740.75</v>
      </c>
      <c r="U157" s="2">
        <f t="shared" si="110"/>
        <v>3933.44</v>
      </c>
      <c r="V157" s="2">
        <f t="shared" si="111"/>
        <v>17711.75</v>
      </c>
      <c r="W157" s="2">
        <f t="shared" si="112"/>
        <v>0</v>
      </c>
      <c r="X157" s="2">
        <f t="shared" si="113"/>
        <v>150.63</v>
      </c>
      <c r="Y157" s="2">
        <f t="shared" si="114"/>
        <v>50536.57</v>
      </c>
      <c r="Z157" s="2">
        <f t="shared" si="115"/>
        <v>17350.97</v>
      </c>
      <c r="AA157" s="2">
        <f t="shared" si="116"/>
        <v>11829.310000000001</v>
      </c>
      <c r="AB157" s="2">
        <f t="shared" si="117"/>
        <v>29180.280000000002</v>
      </c>
      <c r="AC157" s="2">
        <f t="shared" si="118"/>
        <v>79716.850000000006</v>
      </c>
      <c r="AD157" s="2">
        <f t="shared" si="119"/>
        <v>0</v>
      </c>
    </row>
    <row r="158" spans="1:30" x14ac:dyDescent="0.2">
      <c r="A158" s="145">
        <f>'TAX Interest Rates'!A56</f>
        <v>44530</v>
      </c>
      <c r="B158" s="153">
        <f>ROUND(-B46*B100,2)</f>
        <v>37263.32</v>
      </c>
      <c r="C158" s="153">
        <f t="shared" ref="C158:P158" si="129">ROUND(-C46*C100,2)</f>
        <v>0</v>
      </c>
      <c r="D158" s="153">
        <f t="shared" si="129"/>
        <v>1806.93</v>
      </c>
      <c r="E158" s="153">
        <f t="shared" si="129"/>
        <v>595</v>
      </c>
      <c r="F158" s="153">
        <f t="shared" si="129"/>
        <v>0</v>
      </c>
      <c r="G158" s="153">
        <f t="shared" si="129"/>
        <v>19384.939999999999</v>
      </c>
      <c r="H158" s="153">
        <f t="shared" si="129"/>
        <v>1202.6600000000001</v>
      </c>
      <c r="I158" s="153">
        <f t="shared" si="129"/>
        <v>0</v>
      </c>
      <c r="J158" s="153">
        <f t="shared" si="129"/>
        <v>0</v>
      </c>
      <c r="K158" s="153">
        <f t="shared" si="129"/>
        <v>0</v>
      </c>
      <c r="L158" s="153">
        <f t="shared" si="129"/>
        <v>0</v>
      </c>
      <c r="M158" s="153">
        <f t="shared" si="129"/>
        <v>0</v>
      </c>
      <c r="N158" s="153">
        <f t="shared" si="129"/>
        <v>0</v>
      </c>
      <c r="O158" s="153">
        <f t="shared" si="129"/>
        <v>146.84</v>
      </c>
      <c r="P158" s="153">
        <f t="shared" si="129"/>
        <v>0</v>
      </c>
      <c r="R158" s="24">
        <f t="shared" si="108"/>
        <v>60399.69</v>
      </c>
      <c r="S158" s="2" t="s">
        <v>45</v>
      </c>
      <c r="T158" s="2">
        <f t="shared" si="109"/>
        <v>37263.32</v>
      </c>
      <c r="U158" s="2">
        <f t="shared" si="110"/>
        <v>2401.9300000000003</v>
      </c>
      <c r="V158" s="2">
        <f t="shared" si="111"/>
        <v>20587.599999999999</v>
      </c>
      <c r="W158" s="2">
        <f t="shared" si="112"/>
        <v>0</v>
      </c>
      <c r="X158" s="2">
        <f t="shared" si="113"/>
        <v>0</v>
      </c>
      <c r="Y158" s="2">
        <f t="shared" si="114"/>
        <v>60252.85</v>
      </c>
      <c r="Z158" s="2">
        <f t="shared" si="115"/>
        <v>0</v>
      </c>
      <c r="AA158" s="2">
        <f t="shared" si="116"/>
        <v>146.84</v>
      </c>
      <c r="AB158" s="2">
        <f t="shared" si="117"/>
        <v>146.84</v>
      </c>
      <c r="AC158" s="2">
        <f t="shared" si="118"/>
        <v>60399.689999999995</v>
      </c>
      <c r="AD158" s="2">
        <f t="shared" si="119"/>
        <v>3.780087354243733E-12</v>
      </c>
    </row>
    <row r="159" spans="1:30" x14ac:dyDescent="0.2">
      <c r="A159" s="145">
        <f>'TAX Interest Rates'!A56</f>
        <v>44530</v>
      </c>
      <c r="B159" s="153">
        <f>ROUND(-B47*B101,2)</f>
        <v>16896.46</v>
      </c>
      <c r="C159" s="153">
        <f t="shared" ref="C159:P159" si="130">ROUND(-C47*C101,2)</f>
        <v>0</v>
      </c>
      <c r="D159" s="153">
        <f t="shared" si="130"/>
        <v>650.42999999999995</v>
      </c>
      <c r="E159" s="153">
        <f t="shared" si="130"/>
        <v>216.68</v>
      </c>
      <c r="F159" s="153">
        <f t="shared" si="130"/>
        <v>21.47</v>
      </c>
      <c r="G159" s="153">
        <f t="shared" si="130"/>
        <v>7798.53</v>
      </c>
      <c r="H159" s="153">
        <f t="shared" si="130"/>
        <v>694.25</v>
      </c>
      <c r="I159" s="153">
        <f t="shared" si="130"/>
        <v>0</v>
      </c>
      <c r="J159" s="153">
        <f t="shared" si="130"/>
        <v>0</v>
      </c>
      <c r="K159" s="153">
        <f t="shared" si="130"/>
        <v>176.6</v>
      </c>
      <c r="L159" s="153">
        <f t="shared" si="130"/>
        <v>16646.02</v>
      </c>
      <c r="M159" s="153">
        <f t="shared" si="130"/>
        <v>6490.74</v>
      </c>
      <c r="N159" s="153">
        <f t="shared" si="130"/>
        <v>3820.92</v>
      </c>
      <c r="O159" s="153">
        <f t="shared" si="130"/>
        <v>215.74</v>
      </c>
      <c r="P159" s="153">
        <f t="shared" si="130"/>
        <v>0</v>
      </c>
      <c r="R159" s="24">
        <f t="shared" si="108"/>
        <v>53627.839999999997</v>
      </c>
      <c r="S159" s="2" t="s">
        <v>46</v>
      </c>
      <c r="T159" s="2">
        <f t="shared" si="109"/>
        <v>16896.46</v>
      </c>
      <c r="U159" s="2">
        <f t="shared" si="110"/>
        <v>867.1099999999999</v>
      </c>
      <c r="V159" s="2">
        <f t="shared" si="111"/>
        <v>8514.25</v>
      </c>
      <c r="W159" s="2">
        <f t="shared" si="112"/>
        <v>0</v>
      </c>
      <c r="X159" s="2">
        <f t="shared" si="113"/>
        <v>176.6</v>
      </c>
      <c r="Y159" s="2">
        <f t="shared" si="114"/>
        <v>26454.42</v>
      </c>
      <c r="Z159" s="2">
        <f t="shared" si="115"/>
        <v>16646.02</v>
      </c>
      <c r="AA159" s="2">
        <f t="shared" si="116"/>
        <v>10527.4</v>
      </c>
      <c r="AB159" s="2">
        <f t="shared" si="117"/>
        <v>27173.42</v>
      </c>
      <c r="AC159" s="2">
        <f t="shared" si="118"/>
        <v>53627.839999999997</v>
      </c>
      <c r="AD159" s="2">
        <f t="shared" si="119"/>
        <v>0</v>
      </c>
    </row>
    <row r="160" spans="1:30" x14ac:dyDescent="0.2">
      <c r="A160" s="145">
        <f>'TAX Interest Rates'!A57</f>
        <v>44561</v>
      </c>
      <c r="B160" s="24">
        <f>ROUND(-B48*B102,2)</f>
        <v>90690.79</v>
      </c>
      <c r="C160" s="24">
        <f t="shared" ref="C160:P160" si="131">ROUND(-C48*C102,2)</f>
        <v>0</v>
      </c>
      <c r="D160" s="24">
        <f t="shared" si="131"/>
        <v>3690.6</v>
      </c>
      <c r="E160" s="24">
        <f t="shared" si="131"/>
        <v>1009.61</v>
      </c>
      <c r="F160" s="24">
        <f t="shared" si="131"/>
        <v>59.64</v>
      </c>
      <c r="G160" s="24">
        <f t="shared" si="131"/>
        <v>45770.879999999997</v>
      </c>
      <c r="H160" s="24">
        <f t="shared" si="131"/>
        <v>2759.57</v>
      </c>
      <c r="I160" s="24">
        <f t="shared" si="131"/>
        <v>0</v>
      </c>
      <c r="J160" s="24">
        <f t="shared" si="131"/>
        <v>0</v>
      </c>
      <c r="K160" s="24">
        <f t="shared" si="131"/>
        <v>222.38</v>
      </c>
      <c r="L160" s="24">
        <f t="shared" si="131"/>
        <v>16306.32</v>
      </c>
      <c r="M160" s="24">
        <f t="shared" si="131"/>
        <v>4979.01</v>
      </c>
      <c r="N160" s="24">
        <f t="shared" si="131"/>
        <v>4108.53</v>
      </c>
      <c r="O160" s="24">
        <f t="shared" si="131"/>
        <v>235.55</v>
      </c>
      <c r="P160" s="24">
        <f t="shared" si="131"/>
        <v>0</v>
      </c>
      <c r="Q160" s="24"/>
      <c r="R160" s="24">
        <f t="shared" si="108"/>
        <v>169832.88</v>
      </c>
      <c r="S160" s="24"/>
      <c r="T160" s="24">
        <f t="shared" si="109"/>
        <v>90690.79</v>
      </c>
      <c r="U160" s="24">
        <f t="shared" si="110"/>
        <v>4700.21</v>
      </c>
      <c r="V160" s="24">
        <f t="shared" si="111"/>
        <v>48590.09</v>
      </c>
      <c r="W160" s="24">
        <f t="shared" si="112"/>
        <v>0</v>
      </c>
      <c r="X160" s="24">
        <f t="shared" si="113"/>
        <v>222.38</v>
      </c>
      <c r="Y160" s="24">
        <f t="shared" si="114"/>
        <v>144203.47</v>
      </c>
      <c r="Z160" s="24">
        <f t="shared" si="115"/>
        <v>16306.32</v>
      </c>
      <c r="AA160" s="24">
        <f t="shared" si="116"/>
        <v>9323.09</v>
      </c>
      <c r="AB160" s="24">
        <f t="shared" si="117"/>
        <v>25629.41</v>
      </c>
      <c r="AC160" s="24">
        <f t="shared" si="118"/>
        <v>169832.88</v>
      </c>
      <c r="AD160" s="24">
        <f t="shared" si="119"/>
        <v>0</v>
      </c>
    </row>
    <row r="161" spans="1:30" x14ac:dyDescent="0.2">
      <c r="A161" s="145">
        <f>'TAX Interest Rates'!A58</f>
        <v>44592</v>
      </c>
      <c r="B161" s="24">
        <f t="shared" ref="B161:P161" si="132">ROUND(-B49*B103,2)</f>
        <v>142332.48000000001</v>
      </c>
      <c r="C161" s="24">
        <f t="shared" si="132"/>
        <v>0</v>
      </c>
      <c r="D161" s="24">
        <f t="shared" si="132"/>
        <v>4584.43</v>
      </c>
      <c r="E161" s="24">
        <f t="shared" si="132"/>
        <v>1113.3499999999999</v>
      </c>
      <c r="F161" s="24">
        <f t="shared" si="132"/>
        <v>54.03</v>
      </c>
      <c r="G161" s="24">
        <f t="shared" si="132"/>
        <v>74075.66</v>
      </c>
      <c r="H161" s="24">
        <f t="shared" si="132"/>
        <v>4273.49</v>
      </c>
      <c r="I161" s="24">
        <f t="shared" si="132"/>
        <v>0</v>
      </c>
      <c r="J161" s="24">
        <f t="shared" si="132"/>
        <v>0</v>
      </c>
      <c r="K161" s="24">
        <f t="shared" si="132"/>
        <v>210.96</v>
      </c>
      <c r="L161" s="24">
        <f t="shared" si="132"/>
        <v>18793.32</v>
      </c>
      <c r="M161" s="24">
        <f t="shared" si="132"/>
        <v>1335.87</v>
      </c>
      <c r="N161" s="24">
        <f t="shared" si="132"/>
        <v>2600.8000000000002</v>
      </c>
      <c r="O161" s="24">
        <f t="shared" si="132"/>
        <v>230.1</v>
      </c>
      <c r="P161" s="24">
        <f t="shared" si="132"/>
        <v>0</v>
      </c>
      <c r="Q161" s="24"/>
      <c r="R161" s="24">
        <f t="shared" ref="R161:R170" si="133">SUM(B161:Q161)</f>
        <v>249604.49</v>
      </c>
      <c r="S161" s="24"/>
      <c r="T161" s="24">
        <f t="shared" ref="T161:T170" si="134">+B161</f>
        <v>142332.48000000001</v>
      </c>
      <c r="U161" s="24">
        <f t="shared" ref="U161:U170" si="135">+C161+D161+E161</f>
        <v>5697.7800000000007</v>
      </c>
      <c r="V161" s="24">
        <f t="shared" ref="V161:V170" si="136">+F161+G161+H161</f>
        <v>78403.180000000008</v>
      </c>
      <c r="W161" s="24">
        <f t="shared" ref="W161:W170" si="137">+I161+J161</f>
        <v>0</v>
      </c>
      <c r="X161" s="24">
        <f t="shared" ref="X161:X170" si="138">+K161</f>
        <v>210.96</v>
      </c>
      <c r="Y161" s="24">
        <f t="shared" ref="Y161:Y170" si="139">SUM(T161:X161)</f>
        <v>226644.4</v>
      </c>
      <c r="Z161" s="24">
        <f t="shared" ref="Z161:Z170" si="140">+L161</f>
        <v>18793.32</v>
      </c>
      <c r="AA161" s="24">
        <f t="shared" ref="AA161:AA170" si="141">+M161+N161+O161+P161</f>
        <v>4166.7700000000004</v>
      </c>
      <c r="AB161" s="24">
        <f t="shared" ref="AB161:AB170" si="142">SUM(Z161:AA161)</f>
        <v>22960.09</v>
      </c>
      <c r="AC161" s="24">
        <f t="shared" ref="AC161:AC170" si="143">+Y161+AB161</f>
        <v>249604.49</v>
      </c>
      <c r="AD161" s="24">
        <f t="shared" ref="AD161:AD170" si="144">+R161-Y161-AB161</f>
        <v>0</v>
      </c>
    </row>
    <row r="162" spans="1:30" x14ac:dyDescent="0.2">
      <c r="A162" s="145">
        <f>'TAX Interest Rates'!A59</f>
        <v>44620</v>
      </c>
      <c r="B162" s="24">
        <f t="shared" ref="B162:P162" si="145">ROUND(-B50*B104,2)</f>
        <v>108002.41</v>
      </c>
      <c r="C162" s="24">
        <f t="shared" si="145"/>
        <v>0</v>
      </c>
      <c r="D162" s="24">
        <f t="shared" si="145"/>
        <v>3672.33</v>
      </c>
      <c r="E162" s="24">
        <f t="shared" si="145"/>
        <v>969.03</v>
      </c>
      <c r="F162" s="24">
        <f t="shared" si="145"/>
        <v>28.23</v>
      </c>
      <c r="G162" s="24">
        <f t="shared" si="145"/>
        <v>58891.199999999997</v>
      </c>
      <c r="H162" s="24">
        <f t="shared" si="145"/>
        <v>3057.42</v>
      </c>
      <c r="I162" s="24">
        <f t="shared" si="145"/>
        <v>0</v>
      </c>
      <c r="J162" s="24">
        <f t="shared" si="145"/>
        <v>0</v>
      </c>
      <c r="K162" s="24">
        <f t="shared" si="145"/>
        <v>186.58</v>
      </c>
      <c r="L162" s="24">
        <f t="shared" si="145"/>
        <v>16880.52</v>
      </c>
      <c r="M162" s="24">
        <f t="shared" si="145"/>
        <v>4310.71</v>
      </c>
      <c r="N162" s="24">
        <f t="shared" si="145"/>
        <v>1733.06</v>
      </c>
      <c r="O162" s="24">
        <f t="shared" si="145"/>
        <v>216</v>
      </c>
      <c r="P162" s="24">
        <f t="shared" si="145"/>
        <v>0</v>
      </c>
      <c r="Q162" s="24"/>
      <c r="R162" s="24">
        <f t="shared" si="133"/>
        <v>197947.49</v>
      </c>
      <c r="S162" s="24"/>
      <c r="T162" s="24">
        <f t="shared" si="134"/>
        <v>108002.41</v>
      </c>
      <c r="U162" s="24">
        <f t="shared" si="135"/>
        <v>4641.3599999999997</v>
      </c>
      <c r="V162" s="24">
        <f t="shared" si="136"/>
        <v>61976.85</v>
      </c>
      <c r="W162" s="24">
        <f t="shared" si="137"/>
        <v>0</v>
      </c>
      <c r="X162" s="24">
        <f t="shared" si="138"/>
        <v>186.58</v>
      </c>
      <c r="Y162" s="24">
        <f t="shared" si="139"/>
        <v>174807.19999999998</v>
      </c>
      <c r="Z162" s="24">
        <f t="shared" si="140"/>
        <v>16880.52</v>
      </c>
      <c r="AA162" s="24">
        <f t="shared" si="141"/>
        <v>6259.77</v>
      </c>
      <c r="AB162" s="24">
        <f t="shared" si="142"/>
        <v>23140.29</v>
      </c>
      <c r="AC162" s="24">
        <f t="shared" si="143"/>
        <v>197947.49</v>
      </c>
      <c r="AD162" s="24">
        <f t="shared" si="144"/>
        <v>0</v>
      </c>
    </row>
    <row r="163" spans="1:30" x14ac:dyDescent="0.2">
      <c r="A163" s="145">
        <f>'TAX Interest Rates'!A60</f>
        <v>44651</v>
      </c>
      <c r="B163" s="24">
        <f t="shared" ref="B163:P163" si="146">ROUND(-B51*B105,2)</f>
        <v>104312.99</v>
      </c>
      <c r="C163" s="24">
        <f t="shared" si="146"/>
        <v>0</v>
      </c>
      <c r="D163" s="24">
        <f t="shared" si="146"/>
        <v>4155.75</v>
      </c>
      <c r="E163" s="24">
        <f t="shared" si="146"/>
        <v>1121.83</v>
      </c>
      <c r="F163" s="24">
        <f t="shared" si="146"/>
        <v>24.09</v>
      </c>
      <c r="G163" s="24">
        <f t="shared" si="146"/>
        <v>56754.2</v>
      </c>
      <c r="H163" s="24">
        <f t="shared" si="146"/>
        <v>3066.17</v>
      </c>
      <c r="I163" s="24">
        <f t="shared" si="146"/>
        <v>0</v>
      </c>
      <c r="J163" s="24">
        <f t="shared" si="146"/>
        <v>0</v>
      </c>
      <c r="K163" s="24">
        <f t="shared" si="146"/>
        <v>181.16</v>
      </c>
      <c r="L163" s="24">
        <f t="shared" si="146"/>
        <v>18021.919999999998</v>
      </c>
      <c r="M163" s="24">
        <f t="shared" si="146"/>
        <v>5151.5200000000004</v>
      </c>
      <c r="N163" s="24">
        <f t="shared" si="146"/>
        <v>191.82</v>
      </c>
      <c r="O163" s="24">
        <f t="shared" si="146"/>
        <v>77.849999999999994</v>
      </c>
      <c r="P163" s="24">
        <f t="shared" si="146"/>
        <v>0</v>
      </c>
      <c r="Q163" s="24"/>
      <c r="R163" s="24">
        <f t="shared" si="133"/>
        <v>193059.3</v>
      </c>
      <c r="S163" s="24"/>
      <c r="T163" s="24">
        <f t="shared" si="134"/>
        <v>104312.99</v>
      </c>
      <c r="U163" s="24">
        <f t="shared" si="135"/>
        <v>5277.58</v>
      </c>
      <c r="V163" s="24">
        <f t="shared" si="136"/>
        <v>59844.459999999992</v>
      </c>
      <c r="W163" s="24">
        <f t="shared" si="137"/>
        <v>0</v>
      </c>
      <c r="X163" s="24">
        <f t="shared" si="138"/>
        <v>181.16</v>
      </c>
      <c r="Y163" s="24">
        <f t="shared" si="139"/>
        <v>169616.19</v>
      </c>
      <c r="Z163" s="24">
        <f t="shared" si="140"/>
        <v>18021.919999999998</v>
      </c>
      <c r="AA163" s="24">
        <f t="shared" si="141"/>
        <v>5421.1900000000005</v>
      </c>
      <c r="AB163" s="24">
        <f t="shared" si="142"/>
        <v>23443.11</v>
      </c>
      <c r="AC163" s="24">
        <f t="shared" si="143"/>
        <v>193059.3</v>
      </c>
      <c r="AD163" s="24">
        <f t="shared" si="144"/>
        <v>0</v>
      </c>
    </row>
    <row r="164" spans="1:30" x14ac:dyDescent="0.2">
      <c r="A164" s="145">
        <f>'TAX Interest Rates'!A61</f>
        <v>44681</v>
      </c>
      <c r="B164" s="24">
        <f t="shared" ref="B164:P164" si="147">ROUND(-B52*B106,2)</f>
        <v>68765</v>
      </c>
      <c r="C164" s="24">
        <f t="shared" si="147"/>
        <v>0</v>
      </c>
      <c r="D164" s="24">
        <f t="shared" si="147"/>
        <v>2787.27</v>
      </c>
      <c r="E164" s="24">
        <f t="shared" si="147"/>
        <v>834.83</v>
      </c>
      <c r="F164" s="24">
        <f t="shared" si="147"/>
        <v>46.58</v>
      </c>
      <c r="G164" s="24">
        <f t="shared" si="147"/>
        <v>36739.93</v>
      </c>
      <c r="H164" s="24">
        <f t="shared" si="147"/>
        <v>2171.36</v>
      </c>
      <c r="I164" s="24">
        <f t="shared" si="147"/>
        <v>0</v>
      </c>
      <c r="J164" s="24">
        <f t="shared" si="147"/>
        <v>0</v>
      </c>
      <c r="K164" s="24">
        <f t="shared" si="147"/>
        <v>173.58</v>
      </c>
      <c r="L164" s="24">
        <f t="shared" si="147"/>
        <v>17875.21</v>
      </c>
      <c r="M164" s="24">
        <f t="shared" si="147"/>
        <v>4167.13</v>
      </c>
      <c r="N164" s="24">
        <f t="shared" si="147"/>
        <v>0</v>
      </c>
      <c r="O164" s="24">
        <f t="shared" si="147"/>
        <v>2117.6799999999998</v>
      </c>
      <c r="P164" s="24">
        <f t="shared" si="147"/>
        <v>0</v>
      </c>
      <c r="Q164" s="24"/>
      <c r="R164" s="24">
        <f t="shared" si="133"/>
        <v>135678.57</v>
      </c>
      <c r="S164" s="24"/>
      <c r="T164" s="24">
        <f t="shared" si="134"/>
        <v>68765</v>
      </c>
      <c r="U164" s="24">
        <f t="shared" si="135"/>
        <v>3622.1</v>
      </c>
      <c r="V164" s="24">
        <f t="shared" si="136"/>
        <v>38957.870000000003</v>
      </c>
      <c r="W164" s="24">
        <f t="shared" si="137"/>
        <v>0</v>
      </c>
      <c r="X164" s="24">
        <f t="shared" si="138"/>
        <v>173.58</v>
      </c>
      <c r="Y164" s="24">
        <f t="shared" si="139"/>
        <v>111518.55</v>
      </c>
      <c r="Z164" s="24">
        <f t="shared" si="140"/>
        <v>17875.21</v>
      </c>
      <c r="AA164" s="24">
        <f t="shared" si="141"/>
        <v>6284.8099999999995</v>
      </c>
      <c r="AB164" s="24">
        <f t="shared" si="142"/>
        <v>24160.019999999997</v>
      </c>
      <c r="AC164" s="24">
        <f t="shared" si="143"/>
        <v>135678.57</v>
      </c>
      <c r="AD164" s="24">
        <f t="shared" si="144"/>
        <v>0</v>
      </c>
    </row>
    <row r="165" spans="1:30" x14ac:dyDescent="0.2">
      <c r="A165" s="145">
        <f>'TAX Interest Rates'!A62</f>
        <v>44712</v>
      </c>
      <c r="B165" s="24">
        <f t="shared" ref="B165:P165" si="148">ROUND(-B53*B107,2)</f>
        <v>58043.45</v>
      </c>
      <c r="C165" s="24">
        <f t="shared" si="148"/>
        <v>0</v>
      </c>
      <c r="D165" s="24">
        <f t="shared" si="148"/>
        <v>2714.09</v>
      </c>
      <c r="E165" s="24">
        <f t="shared" si="148"/>
        <v>724.9</v>
      </c>
      <c r="F165" s="24">
        <f t="shared" si="148"/>
        <v>25.01</v>
      </c>
      <c r="G165" s="24">
        <f t="shared" si="148"/>
        <v>32184.46</v>
      </c>
      <c r="H165" s="24">
        <f t="shared" si="148"/>
        <v>1901.9</v>
      </c>
      <c r="I165" s="24">
        <f t="shared" si="148"/>
        <v>0</v>
      </c>
      <c r="J165" s="24">
        <f t="shared" si="148"/>
        <v>0</v>
      </c>
      <c r="K165" s="24">
        <f t="shared" si="148"/>
        <v>147.47</v>
      </c>
      <c r="L165" s="24">
        <f t="shared" si="148"/>
        <v>16922.09</v>
      </c>
      <c r="M165" s="24">
        <f t="shared" si="148"/>
        <v>3350.96</v>
      </c>
      <c r="N165" s="24">
        <f t="shared" si="148"/>
        <v>0</v>
      </c>
      <c r="O165" s="24">
        <f t="shared" si="148"/>
        <v>375.72</v>
      </c>
      <c r="P165" s="24">
        <f t="shared" si="148"/>
        <v>0</v>
      </c>
      <c r="Q165" s="24"/>
      <c r="R165" s="24">
        <f t="shared" si="133"/>
        <v>116390.05</v>
      </c>
      <c r="S165" s="24"/>
      <c r="T165" s="24">
        <f t="shared" si="134"/>
        <v>58043.45</v>
      </c>
      <c r="U165" s="24">
        <f t="shared" si="135"/>
        <v>3438.9900000000002</v>
      </c>
      <c r="V165" s="24">
        <f t="shared" si="136"/>
        <v>34111.369999999995</v>
      </c>
      <c r="W165" s="24">
        <f t="shared" si="137"/>
        <v>0</v>
      </c>
      <c r="X165" s="24">
        <f t="shared" si="138"/>
        <v>147.47</v>
      </c>
      <c r="Y165" s="24">
        <f t="shared" si="139"/>
        <v>95741.28</v>
      </c>
      <c r="Z165" s="24">
        <f t="shared" si="140"/>
        <v>16922.09</v>
      </c>
      <c r="AA165" s="24">
        <f t="shared" si="141"/>
        <v>3726.6800000000003</v>
      </c>
      <c r="AB165" s="24">
        <f t="shared" si="142"/>
        <v>20648.77</v>
      </c>
      <c r="AC165" s="24">
        <f t="shared" si="143"/>
        <v>116390.05</v>
      </c>
      <c r="AD165" s="24">
        <f t="shared" si="144"/>
        <v>0</v>
      </c>
    </row>
    <row r="166" spans="1:30" x14ac:dyDescent="0.2">
      <c r="A166" s="145">
        <f>'TAX Interest Rates'!A63</f>
        <v>44742</v>
      </c>
      <c r="B166" s="24">
        <f t="shared" ref="B166:P166" si="149">ROUND(-B54*B108,2)</f>
        <v>35002</v>
      </c>
      <c r="C166" s="24">
        <f t="shared" si="149"/>
        <v>0</v>
      </c>
      <c r="D166" s="24">
        <f t="shared" si="149"/>
        <v>2036.62</v>
      </c>
      <c r="E166" s="24">
        <f t="shared" si="149"/>
        <v>856.22</v>
      </c>
      <c r="F166" s="24">
        <f t="shared" si="149"/>
        <v>11.08</v>
      </c>
      <c r="G166" s="24">
        <f t="shared" si="149"/>
        <v>21065.43</v>
      </c>
      <c r="H166" s="24">
        <f t="shared" si="149"/>
        <v>1304.46</v>
      </c>
      <c r="I166" s="24">
        <f t="shared" si="149"/>
        <v>0</v>
      </c>
      <c r="J166" s="24">
        <f t="shared" si="149"/>
        <v>0</v>
      </c>
      <c r="K166" s="24">
        <f t="shared" si="149"/>
        <v>94.39</v>
      </c>
      <c r="L166" s="24">
        <f t="shared" si="149"/>
        <v>15022.08</v>
      </c>
      <c r="M166" s="24">
        <f t="shared" si="149"/>
        <v>653.5</v>
      </c>
      <c r="N166" s="24">
        <f t="shared" si="149"/>
        <v>584.37</v>
      </c>
      <c r="O166" s="24">
        <f t="shared" si="149"/>
        <v>298.22000000000003</v>
      </c>
      <c r="P166" s="24">
        <f t="shared" si="149"/>
        <v>0</v>
      </c>
      <c r="Q166" s="24"/>
      <c r="R166" s="24">
        <f t="shared" si="133"/>
        <v>76928.37</v>
      </c>
      <c r="S166" s="24"/>
      <c r="T166" s="24">
        <f t="shared" si="134"/>
        <v>35002</v>
      </c>
      <c r="U166" s="24">
        <f t="shared" si="135"/>
        <v>2892.84</v>
      </c>
      <c r="V166" s="24">
        <f t="shared" si="136"/>
        <v>22380.97</v>
      </c>
      <c r="W166" s="24">
        <f t="shared" si="137"/>
        <v>0</v>
      </c>
      <c r="X166" s="24">
        <f t="shared" si="138"/>
        <v>94.39</v>
      </c>
      <c r="Y166" s="24">
        <f t="shared" si="139"/>
        <v>60370.2</v>
      </c>
      <c r="Z166" s="24">
        <f t="shared" si="140"/>
        <v>15022.08</v>
      </c>
      <c r="AA166" s="24">
        <f t="shared" si="141"/>
        <v>1536.09</v>
      </c>
      <c r="AB166" s="24">
        <f t="shared" si="142"/>
        <v>16558.169999999998</v>
      </c>
      <c r="AC166" s="24">
        <f t="shared" si="143"/>
        <v>76928.37</v>
      </c>
      <c r="AD166" s="24">
        <f t="shared" si="144"/>
        <v>0</v>
      </c>
    </row>
    <row r="167" spans="1:30" x14ac:dyDescent="0.2">
      <c r="A167" s="145">
        <f>'TAX Interest Rates'!A64</f>
        <v>44773</v>
      </c>
      <c r="B167" s="24">
        <f t="shared" ref="B167:P167" si="150">ROUND(-B55*B109,2)</f>
        <v>26130.36</v>
      </c>
      <c r="C167" s="24">
        <f t="shared" si="150"/>
        <v>0</v>
      </c>
      <c r="D167" s="24">
        <f t="shared" si="150"/>
        <v>1373.58</v>
      </c>
      <c r="E167" s="24">
        <f t="shared" si="150"/>
        <v>840.87</v>
      </c>
      <c r="F167" s="24">
        <f t="shared" si="150"/>
        <v>5.97</v>
      </c>
      <c r="G167" s="24">
        <f t="shared" si="150"/>
        <v>18106.25</v>
      </c>
      <c r="H167" s="24">
        <f t="shared" si="150"/>
        <v>802.1</v>
      </c>
      <c r="I167" s="24">
        <f t="shared" si="150"/>
        <v>0</v>
      </c>
      <c r="J167" s="24">
        <f t="shared" si="150"/>
        <v>0</v>
      </c>
      <c r="K167" s="24">
        <f t="shared" si="150"/>
        <v>72.88</v>
      </c>
      <c r="L167" s="24">
        <f t="shared" si="150"/>
        <v>14265.78</v>
      </c>
      <c r="M167" s="24">
        <f t="shared" si="150"/>
        <v>6323.84</v>
      </c>
      <c r="N167" s="24">
        <f t="shared" si="150"/>
        <v>3531.15</v>
      </c>
      <c r="O167" s="24">
        <f t="shared" si="150"/>
        <v>0</v>
      </c>
      <c r="P167" s="24">
        <f t="shared" si="150"/>
        <v>0</v>
      </c>
      <c r="Q167" s="24"/>
      <c r="R167" s="166">
        <f>SUM(B167:Q167)-0.01</f>
        <v>71452.76999999999</v>
      </c>
      <c r="S167" s="24"/>
      <c r="T167" s="24">
        <f t="shared" si="134"/>
        <v>26130.36</v>
      </c>
      <c r="U167" s="24">
        <f t="shared" si="135"/>
        <v>2214.4499999999998</v>
      </c>
      <c r="V167" s="24">
        <f t="shared" si="136"/>
        <v>18914.32</v>
      </c>
      <c r="W167" s="24">
        <f t="shared" si="137"/>
        <v>0</v>
      </c>
      <c r="X167" s="24">
        <f t="shared" si="138"/>
        <v>72.88</v>
      </c>
      <c r="Y167" s="24">
        <f t="shared" si="139"/>
        <v>47332.01</v>
      </c>
      <c r="Z167" s="24">
        <f t="shared" si="140"/>
        <v>14265.78</v>
      </c>
      <c r="AA167" s="24">
        <f t="shared" si="141"/>
        <v>9854.99</v>
      </c>
      <c r="AB167" s="24">
        <f t="shared" si="142"/>
        <v>24120.77</v>
      </c>
      <c r="AC167" s="24">
        <f t="shared" si="143"/>
        <v>71452.78</v>
      </c>
      <c r="AD167" s="24">
        <f t="shared" si="144"/>
        <v>-1.0000000012951205E-2</v>
      </c>
    </row>
    <row r="168" spans="1:30" x14ac:dyDescent="0.2">
      <c r="A168" s="145">
        <f>'TAX Interest Rates'!A65</f>
        <v>44804</v>
      </c>
      <c r="B168" s="24">
        <f>ROUND(-B56*B110,2)</f>
        <v>16204.06</v>
      </c>
      <c r="C168" s="24">
        <f t="shared" ref="C168:P168" si="151">ROUND(-C56*C110,2)</f>
        <v>0</v>
      </c>
      <c r="D168" s="24">
        <f t="shared" si="151"/>
        <v>1284.5999999999999</v>
      </c>
      <c r="E168" s="24">
        <f t="shared" si="151"/>
        <v>780.82</v>
      </c>
      <c r="F168" s="24">
        <f t="shared" si="151"/>
        <v>6.51</v>
      </c>
      <c r="G168" s="24">
        <f t="shared" si="151"/>
        <v>12594.84</v>
      </c>
      <c r="H168" s="24">
        <f t="shared" si="151"/>
        <v>736.86</v>
      </c>
      <c r="I168" s="24">
        <f t="shared" si="151"/>
        <v>0</v>
      </c>
      <c r="J168" s="24">
        <f t="shared" si="151"/>
        <v>0</v>
      </c>
      <c r="K168" s="24">
        <f t="shared" si="151"/>
        <v>83.3</v>
      </c>
      <c r="L168" s="24">
        <f>ROUND(-L56*L110,2)</f>
        <v>15929.28</v>
      </c>
      <c r="M168" s="24">
        <f t="shared" si="151"/>
        <v>8748.6200000000008</v>
      </c>
      <c r="N168" s="24">
        <f>ROUND(-N56*N110,2)</f>
        <v>5114.79</v>
      </c>
      <c r="O168" s="24">
        <f t="shared" si="151"/>
        <v>0</v>
      </c>
      <c r="P168" s="24">
        <f t="shared" si="151"/>
        <v>0</v>
      </c>
      <c r="Q168" s="24"/>
      <c r="R168" s="24">
        <f t="shared" si="133"/>
        <v>61483.68</v>
      </c>
      <c r="S168" s="24"/>
      <c r="T168" s="24">
        <f t="shared" si="134"/>
        <v>16204.06</v>
      </c>
      <c r="U168" s="24">
        <f t="shared" si="135"/>
        <v>2065.42</v>
      </c>
      <c r="V168" s="24">
        <f t="shared" si="136"/>
        <v>13338.210000000001</v>
      </c>
      <c r="W168" s="24">
        <f t="shared" si="137"/>
        <v>0</v>
      </c>
      <c r="X168" s="24">
        <f t="shared" si="138"/>
        <v>83.3</v>
      </c>
      <c r="Y168" s="24">
        <f t="shared" si="139"/>
        <v>31690.99</v>
      </c>
      <c r="Z168" s="24">
        <f t="shared" si="140"/>
        <v>15929.28</v>
      </c>
      <c r="AA168" s="24">
        <f t="shared" si="141"/>
        <v>13863.41</v>
      </c>
      <c r="AB168" s="24">
        <f t="shared" si="142"/>
        <v>29792.690000000002</v>
      </c>
      <c r="AC168" s="24">
        <f t="shared" si="143"/>
        <v>61483.680000000008</v>
      </c>
      <c r="AD168" s="24">
        <f t="shared" si="144"/>
        <v>0</v>
      </c>
    </row>
    <row r="169" spans="1:30" x14ac:dyDescent="0.2">
      <c r="A169" s="145">
        <f>'TAX Interest Rates'!A66</f>
        <v>44834</v>
      </c>
      <c r="B169" s="24">
        <f t="shared" ref="B169:P169" si="152">ROUND(-B57*B111,2)</f>
        <v>-7019.46</v>
      </c>
      <c r="C169" s="24">
        <f t="shared" si="152"/>
        <v>0</v>
      </c>
      <c r="D169" s="24">
        <f t="shared" si="152"/>
        <v>0</v>
      </c>
      <c r="E169" s="24">
        <f t="shared" si="152"/>
        <v>0</v>
      </c>
      <c r="F169" s="24">
        <f t="shared" si="152"/>
        <v>-6.51</v>
      </c>
      <c r="G169" s="24">
        <f t="shared" si="152"/>
        <v>-5789.03</v>
      </c>
      <c r="H169" s="24">
        <f t="shared" si="152"/>
        <v>-16.239999999999998</v>
      </c>
      <c r="I169" s="24">
        <f t="shared" si="152"/>
        <v>0</v>
      </c>
      <c r="J169" s="24">
        <f t="shared" si="152"/>
        <v>0</v>
      </c>
      <c r="K169" s="24">
        <f t="shared" si="152"/>
        <v>-83.3</v>
      </c>
      <c r="L169" s="24">
        <f t="shared" si="152"/>
        <v>-15929.28</v>
      </c>
      <c r="M169" s="24">
        <f t="shared" si="152"/>
        <v>-8748.6200000000008</v>
      </c>
      <c r="N169" s="24">
        <f t="shared" si="152"/>
        <v>-5114.79</v>
      </c>
      <c r="O169" s="24">
        <f t="shared" si="152"/>
        <v>0</v>
      </c>
      <c r="P169" s="24">
        <f t="shared" si="152"/>
        <v>0</v>
      </c>
      <c r="Q169" s="24"/>
      <c r="R169" s="24">
        <f t="shared" si="133"/>
        <v>-42707.23</v>
      </c>
      <c r="S169" s="24"/>
      <c r="T169" s="24">
        <f t="shared" si="134"/>
        <v>-7019.46</v>
      </c>
      <c r="U169" s="24">
        <f t="shared" si="135"/>
        <v>0</v>
      </c>
      <c r="V169" s="24">
        <f t="shared" si="136"/>
        <v>-5811.78</v>
      </c>
      <c r="W169" s="24">
        <f t="shared" si="137"/>
        <v>0</v>
      </c>
      <c r="X169" s="24">
        <f t="shared" si="138"/>
        <v>-83.3</v>
      </c>
      <c r="Y169" s="24">
        <f t="shared" si="139"/>
        <v>-12914.539999999999</v>
      </c>
      <c r="Z169" s="24">
        <f t="shared" si="140"/>
        <v>-15929.28</v>
      </c>
      <c r="AA169" s="24">
        <f t="shared" si="141"/>
        <v>-13863.41</v>
      </c>
      <c r="AB169" s="24">
        <f t="shared" si="142"/>
        <v>-29792.690000000002</v>
      </c>
      <c r="AC169" s="24">
        <f t="shared" si="143"/>
        <v>-42707.23</v>
      </c>
      <c r="AD169" s="24">
        <f t="shared" si="144"/>
        <v>0</v>
      </c>
    </row>
    <row r="170" spans="1:30" x14ac:dyDescent="0.2">
      <c r="A170" s="145">
        <f>'TAX Interest Rates'!A67</f>
        <v>44865</v>
      </c>
      <c r="B170" s="24">
        <f t="shared" ref="B170:P170" si="153">ROUND(-B58*B112,2)</f>
        <v>0</v>
      </c>
      <c r="C170" s="24">
        <f t="shared" si="153"/>
        <v>0</v>
      </c>
      <c r="D170" s="24">
        <f t="shared" si="153"/>
        <v>0</v>
      </c>
      <c r="E170" s="24">
        <f t="shared" si="153"/>
        <v>0</v>
      </c>
      <c r="F170" s="24">
        <f t="shared" si="153"/>
        <v>0</v>
      </c>
      <c r="G170" s="24">
        <f t="shared" si="153"/>
        <v>0</v>
      </c>
      <c r="H170" s="24">
        <f t="shared" si="153"/>
        <v>0</v>
      </c>
      <c r="I170" s="24">
        <f t="shared" si="153"/>
        <v>0</v>
      </c>
      <c r="J170" s="24">
        <f t="shared" si="153"/>
        <v>0</v>
      </c>
      <c r="K170" s="24">
        <f t="shared" si="153"/>
        <v>0</v>
      </c>
      <c r="L170" s="24">
        <f t="shared" si="153"/>
        <v>0</v>
      </c>
      <c r="M170" s="24">
        <f t="shared" si="153"/>
        <v>0</v>
      </c>
      <c r="N170" s="24">
        <f t="shared" si="153"/>
        <v>0</v>
      </c>
      <c r="O170" s="24">
        <f t="shared" si="153"/>
        <v>0</v>
      </c>
      <c r="P170" s="24">
        <f t="shared" si="153"/>
        <v>0</v>
      </c>
      <c r="Q170" s="24"/>
      <c r="R170" s="24">
        <f t="shared" si="133"/>
        <v>0</v>
      </c>
      <c r="S170" s="24"/>
      <c r="T170" s="24">
        <f t="shared" si="134"/>
        <v>0</v>
      </c>
      <c r="U170" s="24">
        <f t="shared" si="135"/>
        <v>0</v>
      </c>
      <c r="V170" s="24">
        <f t="shared" si="136"/>
        <v>0</v>
      </c>
      <c r="W170" s="24">
        <f t="shared" si="137"/>
        <v>0</v>
      </c>
      <c r="X170" s="24">
        <f t="shared" si="138"/>
        <v>0</v>
      </c>
      <c r="Y170" s="24">
        <f t="shared" si="139"/>
        <v>0</v>
      </c>
      <c r="Z170" s="24">
        <f t="shared" si="140"/>
        <v>0</v>
      </c>
      <c r="AA170" s="24">
        <f t="shared" si="141"/>
        <v>0</v>
      </c>
      <c r="AB170" s="24">
        <f t="shared" si="142"/>
        <v>0</v>
      </c>
      <c r="AC170" s="24">
        <f t="shared" si="143"/>
        <v>0</v>
      </c>
      <c r="AD170" s="24">
        <f t="shared" si="144"/>
        <v>0</v>
      </c>
    </row>
  </sheetData>
  <mergeCells count="4">
    <mergeCell ref="C2:E2"/>
    <mergeCell ref="F2:H2"/>
    <mergeCell ref="I2:J2"/>
    <mergeCell ref="M2:P2"/>
  </mergeCells>
  <printOptions horizontalCentered="1"/>
  <pageMargins left="0.25" right="0.25" top="0.75" bottom="0.75" header="0.3" footer="0.3"/>
  <pageSetup scale="91" orientation="landscape" r:id="rId1"/>
  <headerFooter>
    <oddFooter xml:space="preserve">&amp;L&amp;10WA Tax Deferral Accounts&amp;C&amp;10&amp;A&amp;R&amp;10 47WA.2540.20481&amp;12
</oddFooter>
  </headerFooter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2021-09-30T07:00:00+00:00</OpenedDate>
    <SignificantOrder xmlns="dc463f71-b30c-4ab2-9473-d307f9d35888">false</SignificantOrder>
    <Date1 xmlns="dc463f71-b30c-4ab2-9473-d307f9d35888">2022-10-21T07:00:00+00:00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210755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4F6BCA26D4124898A947854461FAE8" ma:contentTypeVersion="44" ma:contentTypeDescription="" ma:contentTypeScope="" ma:versionID="04d8f703f5bd88e2dedb0ceddeacae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35683D-6308-4E32-8633-9B6B4BC888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6D4AC3-ECB8-4E7A-B137-8EEB3A3EBE34}"/>
</file>

<file path=customXml/itemProps3.xml><?xml version="1.0" encoding="utf-8"?>
<ds:datastoreItem xmlns:ds="http://schemas.openxmlformats.org/officeDocument/2006/customXml" ds:itemID="{FC121255-6B5D-4A0F-ADB5-5897FEA759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8CE1044F-126F-4E6D-9467-5C202C711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19</vt:i4>
      </vt:variant>
    </vt:vector>
  </HeadingPairs>
  <TitlesOfParts>
    <vt:vector size="40" baseType="lpstr">
      <vt:lpstr>Aug 22 AJE Correction</vt:lpstr>
      <vt:lpstr>RVSD JE UPLOAD</vt:lpstr>
      <vt:lpstr>TAX Interest Rates</vt:lpstr>
      <vt:lpstr>Therm Sales Master</vt:lpstr>
      <vt:lpstr>DEFERRALS</vt:lpstr>
      <vt:lpstr>47WA.2292</vt:lpstr>
      <vt:lpstr>AMORTIZATIONS</vt:lpstr>
      <vt:lpstr>2540.20481</vt:lpstr>
      <vt:lpstr>Protected EDIT Base</vt:lpstr>
      <vt:lpstr>2540.20482</vt:lpstr>
      <vt:lpstr>Protected EDIT Gross up</vt:lpstr>
      <vt:lpstr>2540.20483</vt:lpstr>
      <vt:lpstr>Unprotected EDIT Base</vt:lpstr>
      <vt:lpstr>2540.20484</vt:lpstr>
      <vt:lpstr>Unprotected EDIT Gross up</vt:lpstr>
      <vt:lpstr>====&gt; Unused Tabs</vt:lpstr>
      <vt:lpstr>2540.20485</vt:lpstr>
      <vt:lpstr>Temp Rate Credit Base</vt:lpstr>
      <vt:lpstr>2540.20486</vt:lpstr>
      <vt:lpstr>Temp Rate Credit Gross up</vt:lpstr>
      <vt:lpstr>Aug 18 True-up JE UPLOAD</vt:lpstr>
      <vt:lpstr>'2540.20481'!Print_Area</vt:lpstr>
      <vt:lpstr>'2540.20482'!Print_Area</vt:lpstr>
      <vt:lpstr>'2540.20483'!Print_Area</vt:lpstr>
      <vt:lpstr>'2540.20484'!Print_Area</vt:lpstr>
      <vt:lpstr>'2540.20485'!Print_Area</vt:lpstr>
      <vt:lpstr>'2540.20486'!Print_Area</vt:lpstr>
      <vt:lpstr>'47WA.2292'!Print_Area</vt:lpstr>
      <vt:lpstr>'Protected EDIT Base'!Print_Area</vt:lpstr>
      <vt:lpstr>'Protected EDIT Gross up'!Print_Area</vt:lpstr>
      <vt:lpstr>'TAX Interest Rates'!Print_Area</vt:lpstr>
      <vt:lpstr>'Temp Rate Credit Base'!Print_Area</vt:lpstr>
      <vt:lpstr>'Temp Rate Credit Gross up'!Print_Area</vt:lpstr>
      <vt:lpstr>'Therm Sales Master'!Print_Area</vt:lpstr>
      <vt:lpstr>'Unprotected EDIT Base'!Print_Area</vt:lpstr>
      <vt:lpstr>'Unprotected EDIT Gross up'!Print_Area</vt:lpstr>
      <vt:lpstr>TAXINT18</vt:lpstr>
      <vt:lpstr>TAXINT19</vt:lpstr>
      <vt:lpstr>TAXINT20</vt:lpstr>
      <vt:lpstr>TAXINT21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0x0101006E56B4D1795A2E4DB2F0B01679ED314A003E4F6BCA26D4124898A947854461FAE8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