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005" yWindow="165" windowWidth="10320" windowHeight="9120" tabRatio="797" firstSheet="2" activeTab="4"/>
  </bookViews>
  <sheets>
    <sheet name="Earnings" sheetId="1" r:id="rId1"/>
    <sheet name="$perShare" sheetId="2" r:id="rId2"/>
    <sheet name="DATA" sheetId="3" r:id="rId3"/>
    <sheet name="Ex9" sheetId="4" r:id="rId4"/>
    <sheet name="Ex10,p1" sheetId="5" r:id="rId5"/>
    <sheet name="Ex10,p2" sheetId="6" r:id="rId6"/>
    <sheet name="Ex11" sheetId="7" r:id="rId7"/>
    <sheet name="Ex12" sheetId="8" r:id="rId8"/>
    <sheet name="Ex13" sheetId="9" r:id="rId9"/>
    <sheet name="Ex15" sheetId="10" r:id="rId10"/>
    <sheet name="Ex16,p1" sheetId="11" r:id="rId11"/>
    <sheet name="Ex16,p2" sheetId="12" r:id="rId12"/>
  </sheets>
  <externalReferences>
    <externalReference r:id="rId15"/>
  </externalReferences>
  <definedNames>
    <definedName name="_xlnm.Print_Area" localSheetId="4">'Ex10,p1'!$A$1:$L$42</definedName>
    <definedName name="_xlnm.Print_Area" localSheetId="5">'Ex10,p2'!$A$1:$M$33</definedName>
    <definedName name="_xlnm.Print_Area" localSheetId="6">'Ex11'!$A$1:$E$36</definedName>
    <definedName name="_xlnm.Print_Area" localSheetId="7">'Ex12'!$A$1:$E$34</definedName>
    <definedName name="_xlnm.Print_Area" localSheetId="8">'Ex13'!$A$1:$E$47</definedName>
    <definedName name="_xlnm.Print_Area" localSheetId="9">'Ex15'!$A$1:$G$38</definedName>
    <definedName name="_xlnm.Print_Area" localSheetId="10">'Ex16,p1'!$A$1:$K$35</definedName>
    <definedName name="_xlnm.Print_Area" localSheetId="11">'Ex16,p2'!$A$1:$K$35</definedName>
    <definedName name="_xlnm.Print_Area" localSheetId="3">'Ex9'!$A$1:$K$277</definedName>
  </definedNames>
  <calcPr fullCalcOnLoad="1"/>
</workbook>
</file>

<file path=xl/sharedStrings.xml><?xml version="1.0" encoding="utf-8"?>
<sst xmlns="http://schemas.openxmlformats.org/spreadsheetml/2006/main" count="1188" uniqueCount="235">
  <si>
    <t>DIV GROWTH</t>
  </si>
  <si>
    <t>BV GROWTH</t>
  </si>
  <si>
    <t>PROJ 5-YR EPS</t>
  </si>
  <si>
    <t>INCR?</t>
  </si>
  <si>
    <t>MARKET-TO-BOOK RATIO ANALYSIS</t>
  </si>
  <si>
    <t>k = R.O.E.(1-b)/(M/B) + g</t>
  </si>
  <si>
    <t>Baa-rated</t>
  </si>
  <si>
    <t>Utilities</t>
  </si>
  <si>
    <t>First Call</t>
  </si>
  <si>
    <t>PRICE</t>
  </si>
  <si>
    <t>(Per Share)</t>
  </si>
  <si>
    <t>(Per share)</t>
  </si>
  <si>
    <t>DCF GROWTH RATE PARAMETERS</t>
  </si>
  <si>
    <t>COMPANY</t>
  </si>
  <si>
    <t xml:space="preserve">INTERNAL </t>
  </si>
  <si>
    <t>GROWTH</t>
  </si>
  <si>
    <t>Note: Equity returns and retention ratios based on Value Line three- to five-year projections.</t>
  </si>
  <si>
    <t>Median</t>
  </si>
  <si>
    <t>Page 6 of 6</t>
  </si>
  <si>
    <t>CURRENT M.E.P.R.</t>
  </si>
  <si>
    <t>sel &amp; opin</t>
  </si>
  <si>
    <t>T-Bill</t>
  </si>
  <si>
    <t xml:space="preserve"> T-Bonds</t>
  </si>
  <si>
    <t>P/E</t>
  </si>
  <si>
    <t>Data from Value Line Ratings &amp; Reports June 4, July 2 and August 13, 2004.</t>
  </si>
  <si>
    <t>Date</t>
  </si>
  <si>
    <t>Open</t>
  </si>
  <si>
    <t>High</t>
  </si>
  <si>
    <t>Low</t>
  </si>
  <si>
    <t>Close</t>
  </si>
  <si>
    <t>Volume</t>
  </si>
  <si>
    <t>†Geometric and arithmetric market risk premiums from Ibbotson Associates 2004 SBBI Yearbook, p. 117.</t>
  </si>
  <si>
    <t xml:space="preserve">Zack's growth rates: </t>
  </si>
  <si>
    <t>PNM</t>
  </si>
  <si>
    <t>FirstEnergy Corp.</t>
  </si>
  <si>
    <t>Empire District Electric</t>
  </si>
  <si>
    <t>Entergy Corp.</t>
  </si>
  <si>
    <t>Hawaiian Electric</t>
  </si>
  <si>
    <t>MEDIAN</t>
  </si>
  <si>
    <t>No. analysts</t>
  </si>
  <si>
    <t>5-year Growth</t>
  </si>
  <si>
    <t>Zack's</t>
  </si>
  <si>
    <t>NAME/</t>
  </si>
  <si>
    <t>MARKET</t>
  </si>
  <si>
    <t>BTEA</t>
  </si>
  <si>
    <t>CURRENT</t>
  </si>
  <si>
    <t>5YR HIST</t>
  </si>
  <si>
    <t>5YR PROJ</t>
  </si>
  <si>
    <t>TICKER</t>
  </si>
  <si>
    <t>Page 5 of 5</t>
  </si>
  <si>
    <t>sv=g*((M/B+1)/2-1)</t>
  </si>
  <si>
    <t>1)/2-1)</t>
  </si>
  <si>
    <t>CV</t>
  </si>
  <si>
    <t>FE</t>
  </si>
  <si>
    <t>($/SHARE)</t>
  </si>
  <si>
    <t>(MILLIONS)</t>
  </si>
  <si>
    <t>AVERAGE GROWTH</t>
  </si>
  <si>
    <t>-</t>
  </si>
  <si>
    <t>Page 1 of 2</t>
  </si>
  <si>
    <t>br</t>
  </si>
  <si>
    <t>+</t>
  </si>
  <si>
    <t>VALUE LINE</t>
  </si>
  <si>
    <t>DIVIDEND</t>
  </si>
  <si>
    <t>EPS</t>
  </si>
  <si>
    <t>DPS</t>
  </si>
  <si>
    <t>ROE(decimal)</t>
  </si>
  <si>
    <t>BVPS</t>
  </si>
  <si>
    <t>SHARES OUTST</t>
  </si>
  <si>
    <t>EARN GROWTH</t>
  </si>
  <si>
    <t>8.60% (arithmetic mean)</t>
  </si>
  <si>
    <t>average beta</t>
  </si>
  <si>
    <t>k</t>
  </si>
  <si>
    <t>T-BONDS</t>
  </si>
  <si>
    <t>5.00% (geometric mean)</t>
  </si>
  <si>
    <t>AVG.</t>
  </si>
  <si>
    <t>k=</t>
  </si>
  <si>
    <t>(1-</t>
  </si>
  <si>
    <t>)/</t>
  </si>
  <si>
    <t>Bond Rating</t>
  </si>
  <si>
    <t>BBB+</t>
  </si>
  <si>
    <t>BBB</t>
  </si>
  <si>
    <t>A-</t>
  </si>
  <si>
    <t>BBB-</t>
  </si>
  <si>
    <t>EQ. RATIO</t>
  </si>
  <si>
    <t>MARKET-TO-BOOK</t>
  </si>
  <si>
    <t>COST OF EQUITY</t>
  </si>
  <si>
    <t>T-BILLS</t>
  </si>
  <si>
    <t>[rf]*</t>
  </si>
  <si>
    <t>[rm - rf]†</t>
  </si>
  <si>
    <t>6.70% (geometric mean)</t>
  </si>
  <si>
    <t>PROJECTED M.E.P.R.</t>
  </si>
  <si>
    <t>=</t>
  </si>
  <si>
    <t>g</t>
  </si>
  <si>
    <t>((</t>
  </si>
  <si>
    <t>Average Market-to-Book Ratio</t>
  </si>
  <si>
    <t>UTILIITES</t>
  </si>
  <si>
    <t>T-Bonds</t>
  </si>
  <si>
    <t>average</t>
  </si>
  <si>
    <t>g*= expected growth in number of shares outstanding</t>
  </si>
  <si>
    <t>Page 2 of 2</t>
  </si>
  <si>
    <t>Value Line Projected</t>
  </si>
  <si>
    <t>Value Line Historic</t>
  </si>
  <si>
    <t>5-yr Compound Hist.</t>
  </si>
  <si>
    <t>AVERAGES</t>
  </si>
  <si>
    <t>&amp; VL</t>
  </si>
  <si>
    <t>AVGS.</t>
  </si>
  <si>
    <t>GROWTH RATE COMPARISON</t>
  </si>
  <si>
    <t>AVG. STOCK PRICE</t>
  </si>
  <si>
    <t>ANNUALIZED</t>
  </si>
  <si>
    <t>YIELD</t>
  </si>
  <si>
    <t>(PER SHARE)</t>
  </si>
  <si>
    <t>AVERAGE</t>
  </si>
  <si>
    <t>DIVIDEND YIELD</t>
  </si>
  <si>
    <t>GROWTH RATE</t>
  </si>
  <si>
    <t>DCF COST OF</t>
  </si>
  <si>
    <t>EQUITY CAPITAL</t>
  </si>
  <si>
    <t>AVISTA UTILITIES</t>
  </si>
  <si>
    <t>2006 Earnings</t>
  </si>
  <si>
    <t>CNL</t>
  </si>
  <si>
    <t>EDE</t>
  </si>
  <si>
    <t>ETR</t>
  </si>
  <si>
    <t>HE</t>
  </si>
  <si>
    <t>n/a</t>
  </si>
  <si>
    <t xml:space="preserve">EQUITY </t>
  </si>
  <si>
    <t>BOOK VALUE</t>
  </si>
  <si>
    <t>SHARES OUTST.</t>
  </si>
  <si>
    <t>SHARE</t>
  </si>
  <si>
    <t>RATIO</t>
  </si>
  <si>
    <t>RETURN</t>
  </si>
  <si>
    <t>n</t>
  </si>
  <si>
    <t>First Call Projected</t>
  </si>
  <si>
    <t>Schedule 4</t>
  </si>
  <si>
    <t xml:space="preserve">Value Line </t>
  </si>
  <si>
    <t xml:space="preserve">Year-ahead </t>
  </si>
  <si>
    <t>Dividend Yield</t>
  </si>
  <si>
    <t>First Call/Thomson Financial</t>
  </si>
  <si>
    <t>STANDARD DEVIATION</t>
  </si>
  <si>
    <t>R.O.E.</t>
  </si>
  <si>
    <t xml:space="preserve"> AVERAGE</t>
  </si>
  <si>
    <t>MAXIMUM</t>
  </si>
  <si>
    <t>MINIMUM</t>
  </si>
  <si>
    <t>Page 4 of 5</t>
  </si>
  <si>
    <t>Page 3 of 5</t>
  </si>
  <si>
    <t>Page 2 of 5</t>
  </si>
  <si>
    <t>Page 1 of 5</t>
  </si>
  <si>
    <t>EXTERNAL</t>
  </si>
  <si>
    <t>RETENTION</t>
  </si>
  <si>
    <t>CAPM COST OF EQUITY CAPITAL</t>
  </si>
  <si>
    <t>long term T-Bond results</t>
  </si>
  <si>
    <t>risk prem</t>
  </si>
  <si>
    <t>rp*B+ Tbond</t>
  </si>
  <si>
    <t>geo</t>
  </si>
  <si>
    <t>k = rf + B (rm - rf)</t>
  </si>
  <si>
    <t>arith</t>
  </si>
  <si>
    <t>"g"</t>
  </si>
  <si>
    <t>PNW</t>
  </si>
  <si>
    <t>Average</t>
  </si>
  <si>
    <t>B&amp;M</t>
  </si>
  <si>
    <t>6.60% (arithmetic mean)</t>
  </si>
  <si>
    <t>value line</t>
  </si>
  <si>
    <t>30-year</t>
  </si>
  <si>
    <t>A-RATED</t>
  </si>
  <si>
    <t>10-year</t>
  </si>
  <si>
    <t>Bus Pos (S&amp;P)</t>
  </si>
  <si>
    <t>DCF</t>
  </si>
  <si>
    <t>Growth</t>
  </si>
  <si>
    <t>Data from Value Line Ratings &amp; Reports March 1 and March 29, 2002.</t>
  </si>
  <si>
    <t>2004-2006</t>
  </si>
  <si>
    <t xml:space="preserve">Market </t>
  </si>
  <si>
    <t>Price</t>
  </si>
  <si>
    <t>Earnings-Price</t>
  </si>
  <si>
    <t>Ratio</t>
  </si>
  <si>
    <t>Current</t>
  </si>
  <si>
    <t>Projected</t>
  </si>
  <si>
    <t>NU</t>
  </si>
  <si>
    <t>CIN</t>
  </si>
  <si>
    <t>Northeast Utilities</t>
  </si>
  <si>
    <t>Cinergy Corp.</t>
  </si>
  <si>
    <t>2008-2010</t>
  </si>
  <si>
    <t>nmf</t>
  </si>
  <si>
    <t>Energy East Corp.</t>
  </si>
  <si>
    <t>Green Mountain Power</t>
  </si>
  <si>
    <t>Avista Corp.</t>
  </si>
  <si>
    <t>Pinnacle West Capital</t>
  </si>
  <si>
    <t>Puget Energy, Inc.</t>
  </si>
  <si>
    <t>UniSource Energy</t>
  </si>
  <si>
    <t>EAS</t>
  </si>
  <si>
    <t>GMP</t>
  </si>
  <si>
    <t>AVA</t>
  </si>
  <si>
    <t>PSD</t>
  </si>
  <si>
    <t>UNS</t>
  </si>
  <si>
    <t>Data from Value Line Ratings and Reports, May 13,  June 3, and July 1, 2005.</t>
  </si>
  <si>
    <t>Industry Average 2005 P/E=17.8</t>
  </si>
  <si>
    <t>BB+</t>
  </si>
  <si>
    <t>3.10% + 0.78 (6.7%/8.60%)</t>
  </si>
  <si>
    <t>3.10% + 5.20%/6.68%</t>
  </si>
  <si>
    <t>8.29% / 9.77%</t>
  </si>
  <si>
    <t>4.31% + 0.78 (5.00%/6.60%)</t>
  </si>
  <si>
    <t>4.31% + 3.88%/5.13%</t>
  </si>
  <si>
    <t>8.19% / 9.43%</t>
  </si>
  <si>
    <t>6/22/05-8/3/05</t>
  </si>
  <si>
    <t xml:space="preserve">CV-n/a, EAS-3.7%, FE-4.3%, GMP-n/a, NU-4.5%, CIN-4.5%, CNL-4.0%, EDE-5%, ETR-6.8%, </t>
  </si>
  <si>
    <t>[2008-2010]</t>
  </si>
  <si>
    <t>PNM Resources</t>
  </si>
  <si>
    <t>Central Vermont P. S.</t>
  </si>
  <si>
    <t>Cleco Corporation</t>
  </si>
  <si>
    <t>Consensus</t>
  </si>
  <si>
    <t>Recommendation</t>
  </si>
  <si>
    <t>1.6-2.5 buy</t>
  </si>
  <si>
    <t>3.5-2.6 Hold</t>
  </si>
  <si>
    <t>1-1.5 strong buy</t>
  </si>
  <si>
    <t>3.6-4.5 underperform</t>
  </si>
  <si>
    <t>4.6-5.0 sell</t>
  </si>
  <si>
    <t>[2005]</t>
  </si>
  <si>
    <t>Note: Equity returns and retention ratios based on Value Line current year projections.</t>
  </si>
  <si>
    <t>Docket Nos UE-050482 &amp; UG-050483</t>
  </si>
  <si>
    <t>Docket Nos. UE-050482 &amp; UG-050483</t>
  </si>
  <si>
    <t>Page 1 of 1</t>
  </si>
  <si>
    <t xml:space="preserve">AVA-5.0%, HE-3.5%, PNM-5.8%, PNW-5.2%, PSD=4.8%, and UNS=n/a. </t>
  </si>
  <si>
    <t>Zack's average earnings growth = 4.75%.</t>
  </si>
  <si>
    <t>Exhibit No. ___ (SGH-9)</t>
  </si>
  <si>
    <t>Exhibit No.___ (SGH-9)</t>
  </si>
  <si>
    <t>Exhibit No.___(SGH-10)</t>
  </si>
  <si>
    <t>Exhibit No.___(SGH-11)</t>
  </si>
  <si>
    <t>Exhibit No.___(SGH-12)</t>
  </si>
  <si>
    <t>Exhibit No.___(SGH-13)</t>
  </si>
  <si>
    <t>Exhibit No.___(SGH-15)</t>
  </si>
  <si>
    <t>Exhibit No.___(SGH-16)</t>
  </si>
  <si>
    <t>Exhibit No. ____ (SGH-11)</t>
  </si>
  <si>
    <t>Exhibit No. ____ (SGH-10)</t>
  </si>
  <si>
    <t>SAMPLE GROUP:  STOCK PRICE, DIVIDENDS, YIELDS</t>
  </si>
  <si>
    <t>SAMPLE GROUP:  DCF COST OF EQUITY CAPITAL</t>
  </si>
  <si>
    <t>SAMPLE GROUP:  DCF GROWTH RATES</t>
  </si>
  <si>
    <t>SAMPLE GROUP:  MODIFIED EARNINGS-PRICE RATIO ANALYSIS</t>
  </si>
  <si>
    <t>*Current T-Bill &amp; T-Bond yields, most recent yield from Value Line Selection &amp; Opinion (6/24/05-7/29/05).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</si>
</sst>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%"/>
    <numFmt numFmtId="165" formatCode="0.0000"/>
    <numFmt numFmtId="166" formatCode="0.000000000000000%"/>
    <numFmt numFmtId="167" formatCode="0.0000%"/>
    <numFmt numFmtId="168" formatCode="0.00000%"/>
    <numFmt numFmtId="169" formatCode="0.0000000000000000%"/>
    <numFmt numFmtId="170" formatCode="0.000%"/>
  </numFmts>
  <fonts count="1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Times"/>
      <family val="0"/>
    </font>
    <font>
      <b/>
      <sz val="10"/>
      <name val="Times"/>
      <family val="0"/>
    </font>
    <font>
      <u val="single"/>
      <sz val="10"/>
      <name val="Times"/>
      <family val="0"/>
    </font>
    <font>
      <sz val="10"/>
      <color indexed="12"/>
      <name val="Times"/>
      <family val="0"/>
    </font>
    <font>
      <sz val="10"/>
      <color indexed="8"/>
      <name val="Times"/>
      <family val="0"/>
    </font>
    <font>
      <sz val="9"/>
      <name val="Courier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2"/>
      <name val="Times"/>
      <family val="0"/>
    </font>
    <font>
      <b/>
      <sz val="12"/>
      <name val="Times"/>
      <family val="0"/>
    </font>
    <font>
      <u val="single"/>
      <sz val="12"/>
      <name val="Times"/>
      <family val="0"/>
    </font>
    <font>
      <sz val="12"/>
      <name val="Geneva"/>
      <family val="0"/>
    </font>
    <font>
      <sz val="11"/>
      <name val="Times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left"/>
    </xf>
    <xf numFmtId="10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/>
    </xf>
    <xf numFmtId="164" fontId="4" fillId="0" borderId="3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2" fontId="4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10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10" fontId="4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center"/>
    </xf>
    <xf numFmtId="10" fontId="4" fillId="0" borderId="1" xfId="0" applyNumberFormat="1" applyFont="1" applyBorder="1" applyAlignment="1">
      <alignment/>
    </xf>
    <xf numFmtId="10" fontId="4" fillId="0" borderId="5" xfId="0" applyNumberFormat="1" applyFont="1" applyBorder="1" applyAlignment="1">
      <alignment horizontal="center"/>
    </xf>
    <xf numFmtId="10" fontId="4" fillId="0" borderId="6" xfId="0" applyNumberFormat="1" applyFont="1" applyBorder="1" applyAlignment="1">
      <alignment horizontal="center"/>
    </xf>
    <xf numFmtId="10" fontId="6" fillId="0" borderId="6" xfId="0" applyNumberFormat="1" applyFont="1" applyBorder="1" applyAlignment="1">
      <alignment horizontal="center"/>
    </xf>
    <xf numFmtId="10" fontId="4" fillId="0" borderId="6" xfId="0" applyNumberFormat="1" applyFont="1" applyBorder="1" applyAlignment="1">
      <alignment/>
    </xf>
    <xf numFmtId="10" fontId="4" fillId="0" borderId="7" xfId="0" applyNumberFormat="1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Alignment="1" quotePrefix="1">
      <alignment horizontal="center"/>
    </xf>
    <xf numFmtId="10" fontId="0" fillId="0" borderId="0" xfId="0" applyNumberFormat="1" applyAlignment="1">
      <alignment/>
    </xf>
    <xf numFmtId="0" fontId="8" fillId="0" borderId="0" xfId="0" applyFont="1" applyAlignment="1">
      <alignment/>
    </xf>
    <xf numFmtId="10" fontId="4" fillId="0" borderId="9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2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15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0" fillId="2" borderId="0" xfId="0" applyNumberFormat="1" applyFill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" fontId="4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167" fontId="0" fillId="0" borderId="13" xfId="0" applyNumberFormat="1" applyFill="1" applyBorder="1" applyAlignment="1">
      <alignment/>
    </xf>
    <xf numFmtId="0" fontId="0" fillId="0" borderId="8" xfId="0" applyFill="1" applyBorder="1" applyAlignment="1">
      <alignment/>
    </xf>
    <xf numFmtId="167" fontId="0" fillId="0" borderId="9" xfId="0" applyNumberFormat="1" applyFill="1" applyBorder="1" applyAlignment="1">
      <alignment/>
    </xf>
    <xf numFmtId="0" fontId="5" fillId="0" borderId="0" xfId="0" applyFont="1" applyAlignment="1">
      <alignment/>
    </xf>
    <xf numFmtId="168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 quotePrefix="1">
      <alignment/>
    </xf>
    <xf numFmtId="0" fontId="4" fillId="0" borderId="0" xfId="0" applyNumberFormat="1" applyFont="1" applyAlignment="1" quotePrefix="1">
      <alignment/>
    </xf>
    <xf numFmtId="0" fontId="0" fillId="0" borderId="0" xfId="0" applyAlignment="1">
      <alignment horizontal="right"/>
    </xf>
    <xf numFmtId="0" fontId="0" fillId="0" borderId="5" xfId="0" applyBorder="1" applyAlignment="1">
      <alignment/>
    </xf>
    <xf numFmtId="10" fontId="0" fillId="0" borderId="6" xfId="0" applyNumberFormat="1" applyBorder="1" applyAlignment="1">
      <alignment/>
    </xf>
    <xf numFmtId="168" fontId="0" fillId="0" borderId="6" xfId="0" applyNumberFormat="1" applyBorder="1" applyAlignment="1">
      <alignment/>
    </xf>
    <xf numFmtId="168" fontId="0" fillId="0" borderId="7" xfId="0" applyNumberFormat="1" applyBorder="1" applyAlignment="1">
      <alignment/>
    </xf>
    <xf numFmtId="15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 horizontal="center"/>
    </xf>
    <xf numFmtId="10" fontId="13" fillId="0" borderId="0" xfId="0" applyNumberFormat="1" applyFont="1" applyAlignment="1">
      <alignment horizontal="center"/>
    </xf>
    <xf numFmtId="10" fontId="14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/>
    </xf>
    <xf numFmtId="1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0" fontId="15" fillId="0" borderId="0" xfId="0" applyNumberFormat="1" applyFont="1" applyAlignment="1">
      <alignment horizontal="center"/>
    </xf>
    <xf numFmtId="10" fontId="15" fillId="0" borderId="0" xfId="0" applyNumberFormat="1" applyFont="1" applyAlignment="1">
      <alignment horizontal="left"/>
    </xf>
    <xf numFmtId="2" fontId="13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10" fontId="13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10" fontId="17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stimony\PSO%20(AEP)\PSO-Direct\Sch4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rnings-do not print"/>
      <sheetName val="StockPrice-do not print"/>
      <sheetName val="CoData-do not print"/>
      <sheetName val="Sch4"/>
      <sheetName val="Sch5,p1"/>
      <sheetName val="Sch5,p2"/>
      <sheetName val="Sch6"/>
      <sheetName val="Sch7"/>
      <sheetName val="Sch8"/>
      <sheetName val="Sch10"/>
      <sheetName val="Sch11,p1"/>
      <sheetName val="Sch11,p2"/>
    </sheetNames>
    <sheetDataSet>
      <sheetData sheetId="0">
        <row r="27">
          <cell r="G27" t="str">
            <v>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workbookViewId="0" topLeftCell="B1">
      <selection activeCell="D31" sqref="D31:F46"/>
    </sheetView>
  </sheetViews>
  <sheetFormatPr defaultColWidth="9.00390625" defaultRowHeight="12"/>
  <cols>
    <col min="1" max="16384" width="11.375" style="0" customWidth="1"/>
  </cols>
  <sheetData>
    <row r="2" ht="12">
      <c r="B2" t="s">
        <v>135</v>
      </c>
    </row>
    <row r="3" ht="12">
      <c r="B3" s="65">
        <v>37106</v>
      </c>
    </row>
    <row r="4" spans="9:10" ht="12">
      <c r="I4" t="s">
        <v>17</v>
      </c>
      <c r="J4" t="s">
        <v>206</v>
      </c>
    </row>
    <row r="5" spans="5:10" ht="12">
      <c r="E5" t="s">
        <v>117</v>
      </c>
      <c r="F5" t="s">
        <v>27</v>
      </c>
      <c r="G5" t="s">
        <v>28</v>
      </c>
      <c r="H5" t="s">
        <v>39</v>
      </c>
      <c r="I5" t="s">
        <v>40</v>
      </c>
      <c r="J5" t="s">
        <v>207</v>
      </c>
    </row>
    <row r="6" spans="2:9" ht="12.75">
      <c r="B6" s="1" t="s">
        <v>204</v>
      </c>
      <c r="D6" s="46" t="s">
        <v>52</v>
      </c>
      <c r="E6" t="s">
        <v>122</v>
      </c>
      <c r="F6" t="s">
        <v>122</v>
      </c>
      <c r="G6" t="s">
        <v>122</v>
      </c>
      <c r="H6" t="s">
        <v>122</v>
      </c>
      <c r="I6" t="s">
        <v>122</v>
      </c>
    </row>
    <row r="7" spans="2:10" ht="12.75">
      <c r="B7" s="1" t="s">
        <v>180</v>
      </c>
      <c r="D7" s="61" t="s">
        <v>186</v>
      </c>
      <c r="E7">
        <v>1.91</v>
      </c>
      <c r="F7">
        <v>0.05</v>
      </c>
      <c r="G7">
        <v>0.02</v>
      </c>
      <c r="H7">
        <v>4</v>
      </c>
      <c r="I7">
        <v>0.04</v>
      </c>
      <c r="J7">
        <v>3.1</v>
      </c>
    </row>
    <row r="8" spans="2:10" ht="12.75">
      <c r="B8" s="1" t="s">
        <v>34</v>
      </c>
      <c r="D8" s="61" t="s">
        <v>53</v>
      </c>
      <c r="E8">
        <v>3.32</v>
      </c>
      <c r="F8">
        <v>0.05</v>
      </c>
      <c r="G8">
        <v>0.03</v>
      </c>
      <c r="H8">
        <v>6</v>
      </c>
      <c r="I8">
        <v>0.04</v>
      </c>
      <c r="J8">
        <v>2.6</v>
      </c>
    </row>
    <row r="9" spans="2:10" ht="12.75">
      <c r="B9" s="1" t="s">
        <v>181</v>
      </c>
      <c r="D9" s="61" t="s">
        <v>187</v>
      </c>
      <c r="E9" t="s">
        <v>122</v>
      </c>
      <c r="F9" t="s">
        <v>122</v>
      </c>
      <c r="G9" t="s">
        <v>122</v>
      </c>
      <c r="H9" t="s">
        <v>122</v>
      </c>
      <c r="I9" t="s">
        <v>122</v>
      </c>
      <c r="J9">
        <v>3.2</v>
      </c>
    </row>
    <row r="10" spans="2:10" ht="12.75">
      <c r="B10" s="1" t="s">
        <v>176</v>
      </c>
      <c r="D10" s="61" t="s">
        <v>174</v>
      </c>
      <c r="E10">
        <v>1.33</v>
      </c>
      <c r="F10">
        <v>0.05</v>
      </c>
      <c r="G10">
        <v>0.03</v>
      </c>
      <c r="H10">
        <v>4</v>
      </c>
      <c r="I10">
        <v>0.05</v>
      </c>
      <c r="J10">
        <v>2.6</v>
      </c>
    </row>
    <row r="11" spans="2:10" ht="12.75">
      <c r="B11" s="1" t="s">
        <v>177</v>
      </c>
      <c r="D11" s="61" t="s">
        <v>175</v>
      </c>
      <c r="E11">
        <v>3.1</v>
      </c>
      <c r="F11">
        <v>0.05</v>
      </c>
      <c r="G11">
        <v>0.03</v>
      </c>
      <c r="H11">
        <v>7</v>
      </c>
      <c r="I11">
        <v>0.05</v>
      </c>
      <c r="J11">
        <v>2.8</v>
      </c>
    </row>
    <row r="12" spans="2:10" ht="12.75">
      <c r="B12" s="1" t="s">
        <v>205</v>
      </c>
      <c r="D12" s="46" t="s">
        <v>118</v>
      </c>
      <c r="E12">
        <v>1.4</v>
      </c>
      <c r="F12">
        <v>0.04</v>
      </c>
      <c r="G12">
        <v>0.04</v>
      </c>
      <c r="H12">
        <v>1</v>
      </c>
      <c r="I12">
        <v>0.04</v>
      </c>
      <c r="J12">
        <v>3.2</v>
      </c>
    </row>
    <row r="13" spans="2:10" ht="12.75">
      <c r="B13" s="1" t="s">
        <v>35</v>
      </c>
      <c r="D13" s="46" t="s">
        <v>119</v>
      </c>
      <c r="E13">
        <v>1.51</v>
      </c>
      <c r="F13">
        <v>0.03</v>
      </c>
      <c r="G13">
        <v>0.01</v>
      </c>
      <c r="H13">
        <v>2</v>
      </c>
      <c r="I13">
        <v>0.02</v>
      </c>
      <c r="J13">
        <v>3</v>
      </c>
    </row>
    <row r="14" spans="2:10" ht="12.75">
      <c r="B14" s="1" t="s">
        <v>36</v>
      </c>
      <c r="D14" s="46" t="s">
        <v>120</v>
      </c>
      <c r="E14">
        <v>5.05</v>
      </c>
      <c r="F14">
        <v>0.08</v>
      </c>
      <c r="G14">
        <v>0.03</v>
      </c>
      <c r="H14">
        <v>6</v>
      </c>
      <c r="I14">
        <v>0.07</v>
      </c>
      <c r="J14">
        <v>2.7</v>
      </c>
    </row>
    <row r="15" spans="2:10" ht="12.75">
      <c r="B15" s="1" t="s">
        <v>182</v>
      </c>
      <c r="D15" s="46" t="s">
        <v>188</v>
      </c>
      <c r="E15">
        <v>1.45</v>
      </c>
      <c r="F15">
        <v>0.05</v>
      </c>
      <c r="G15">
        <v>0.04</v>
      </c>
      <c r="H15">
        <v>2</v>
      </c>
      <c r="I15">
        <v>0.045</v>
      </c>
      <c r="J15">
        <v>3</v>
      </c>
    </row>
    <row r="16" spans="2:10" ht="12.75">
      <c r="B16" s="1" t="s">
        <v>37</v>
      </c>
      <c r="D16" s="46" t="s">
        <v>121</v>
      </c>
      <c r="E16">
        <v>1.8</v>
      </c>
      <c r="F16">
        <v>0.05</v>
      </c>
      <c r="G16">
        <v>0.01</v>
      </c>
      <c r="H16">
        <v>5</v>
      </c>
      <c r="I16">
        <v>0.03</v>
      </c>
      <c r="J16">
        <v>3</v>
      </c>
    </row>
    <row r="17" spans="2:10" ht="12.75">
      <c r="B17" s="1" t="s">
        <v>203</v>
      </c>
      <c r="D17" s="61" t="s">
        <v>33</v>
      </c>
      <c r="E17">
        <v>1.9</v>
      </c>
      <c r="F17">
        <v>0.15</v>
      </c>
      <c r="G17">
        <v>0.05</v>
      </c>
      <c r="H17">
        <v>5</v>
      </c>
      <c r="I17">
        <v>0.06</v>
      </c>
      <c r="J17">
        <v>2.5</v>
      </c>
    </row>
    <row r="18" spans="2:10" ht="12.75">
      <c r="B18" s="1" t="s">
        <v>183</v>
      </c>
      <c r="D18" s="61" t="s">
        <v>155</v>
      </c>
      <c r="E18">
        <v>3.09</v>
      </c>
      <c r="F18">
        <v>0.06</v>
      </c>
      <c r="G18">
        <v>0.03</v>
      </c>
      <c r="H18">
        <v>4</v>
      </c>
      <c r="I18">
        <v>0.045</v>
      </c>
      <c r="J18">
        <v>3</v>
      </c>
    </row>
    <row r="19" spans="2:10" ht="12.75">
      <c r="B19" s="1" t="s">
        <v>184</v>
      </c>
      <c r="D19" s="61" t="s">
        <v>189</v>
      </c>
      <c r="E19">
        <v>1.5</v>
      </c>
      <c r="F19">
        <v>0.05</v>
      </c>
      <c r="G19">
        <v>0.03</v>
      </c>
      <c r="H19">
        <v>4</v>
      </c>
      <c r="I19">
        <v>0.04</v>
      </c>
      <c r="J19">
        <v>2.7</v>
      </c>
    </row>
    <row r="20" spans="2:10" ht="12.75">
      <c r="B20" s="1" t="s">
        <v>185</v>
      </c>
      <c r="D20" s="61" t="s">
        <v>190</v>
      </c>
      <c r="E20">
        <v>1.9</v>
      </c>
      <c r="F20">
        <v>0.15</v>
      </c>
      <c r="G20">
        <v>0.1</v>
      </c>
      <c r="H20">
        <v>2</v>
      </c>
      <c r="I20">
        <v>0.125</v>
      </c>
      <c r="J20">
        <v>3</v>
      </c>
    </row>
    <row r="21" spans="2:4" ht="12.75">
      <c r="B21" s="49"/>
      <c r="D21" s="3"/>
    </row>
    <row r="22" spans="2:10" ht="12.75">
      <c r="B22" s="49"/>
      <c r="D22" s="3" t="s">
        <v>156</v>
      </c>
      <c r="E22" s="80">
        <f aca="true" t="shared" si="0" ref="E22:J22">AVERAGE(E6:E20)</f>
        <v>2.2507692307692304</v>
      </c>
      <c r="F22" s="80">
        <f t="shared" si="0"/>
        <v>0.06615384615384615</v>
      </c>
      <c r="G22" s="80">
        <f t="shared" si="0"/>
        <v>0.03461538461538462</v>
      </c>
      <c r="H22" s="80">
        <f t="shared" si="0"/>
        <v>4</v>
      </c>
      <c r="I22" s="80">
        <f t="shared" si="0"/>
        <v>0.05038461538461539</v>
      </c>
      <c r="J22" s="80">
        <f t="shared" si="0"/>
        <v>2.885714285714286</v>
      </c>
    </row>
    <row r="24" ht="12">
      <c r="J24" t="s">
        <v>210</v>
      </c>
    </row>
    <row r="25" ht="12">
      <c r="J25" t="s">
        <v>208</v>
      </c>
    </row>
    <row r="26" ht="12">
      <c r="J26" t="s">
        <v>209</v>
      </c>
    </row>
    <row r="27" ht="12">
      <c r="J27" t="s">
        <v>211</v>
      </c>
    </row>
    <row r="28" spans="2:10" ht="12">
      <c r="B28" t="s">
        <v>41</v>
      </c>
      <c r="J28" t="s">
        <v>212</v>
      </c>
    </row>
    <row r="29" ht="12">
      <c r="B29" s="65">
        <v>37106</v>
      </c>
    </row>
    <row r="31" spans="5:7" ht="12">
      <c r="E31" t="s">
        <v>117</v>
      </c>
      <c r="F31" t="s">
        <v>40</v>
      </c>
      <c r="G31" t="s">
        <v>23</v>
      </c>
    </row>
    <row r="32" spans="2:7" ht="12.75">
      <c r="B32" s="1" t="s">
        <v>204</v>
      </c>
      <c r="D32" s="46" t="s">
        <v>52</v>
      </c>
      <c r="E32" t="s">
        <v>122</v>
      </c>
      <c r="F32" t="s">
        <v>122</v>
      </c>
      <c r="G32" t="s">
        <v>122</v>
      </c>
    </row>
    <row r="33" spans="2:7" ht="12.75">
      <c r="B33" s="1" t="s">
        <v>180</v>
      </c>
      <c r="D33" s="61" t="s">
        <v>186</v>
      </c>
      <c r="E33">
        <v>1.91</v>
      </c>
      <c r="F33">
        <v>0.037</v>
      </c>
      <c r="G33">
        <v>15</v>
      </c>
    </row>
    <row r="34" spans="2:7" ht="12.75">
      <c r="B34" s="1" t="s">
        <v>34</v>
      </c>
      <c r="D34" s="61" t="s">
        <v>53</v>
      </c>
      <c r="E34">
        <v>3.54</v>
      </c>
      <c r="F34">
        <v>0.043</v>
      </c>
      <c r="G34">
        <v>16.9</v>
      </c>
    </row>
    <row r="35" spans="2:7" ht="12.75">
      <c r="B35" s="1" t="s">
        <v>181</v>
      </c>
      <c r="D35" s="61" t="s">
        <v>187</v>
      </c>
      <c r="E35" t="s">
        <v>122</v>
      </c>
      <c r="F35" t="s">
        <v>122</v>
      </c>
      <c r="G35" t="s">
        <v>122</v>
      </c>
    </row>
    <row r="36" spans="2:7" ht="12.75">
      <c r="B36" s="1" t="s">
        <v>176</v>
      </c>
      <c r="D36" s="61" t="s">
        <v>174</v>
      </c>
      <c r="E36">
        <v>1.3</v>
      </c>
      <c r="F36">
        <v>0.045</v>
      </c>
      <c r="G36">
        <v>18.5</v>
      </c>
    </row>
    <row r="37" spans="2:7" ht="12.75">
      <c r="B37" s="1" t="s">
        <v>177</v>
      </c>
      <c r="D37" s="61" t="s">
        <v>175</v>
      </c>
      <c r="E37">
        <v>3.01</v>
      </c>
      <c r="F37">
        <v>0.045</v>
      </c>
      <c r="G37">
        <v>17.1</v>
      </c>
    </row>
    <row r="38" spans="2:7" ht="12.75">
      <c r="B38" s="1" t="s">
        <v>205</v>
      </c>
      <c r="D38" s="46" t="s">
        <v>118</v>
      </c>
      <c r="E38">
        <v>1.4</v>
      </c>
      <c r="F38">
        <v>0.04</v>
      </c>
      <c r="G38">
        <v>17.1</v>
      </c>
    </row>
    <row r="39" spans="2:7" ht="12.75">
      <c r="B39" s="1" t="s">
        <v>35</v>
      </c>
      <c r="D39" s="46" t="s">
        <v>119</v>
      </c>
      <c r="E39">
        <v>1.53</v>
      </c>
      <c r="F39">
        <v>0.05</v>
      </c>
      <c r="G39">
        <v>17.8</v>
      </c>
    </row>
    <row r="40" spans="2:7" ht="12.75">
      <c r="B40" s="1" t="s">
        <v>36</v>
      </c>
      <c r="D40" s="46" t="s">
        <v>120</v>
      </c>
      <c r="E40">
        <v>5.08</v>
      </c>
      <c r="F40">
        <v>0.068</v>
      </c>
      <c r="G40">
        <v>16.9</v>
      </c>
    </row>
    <row r="41" spans="2:7" ht="12.75">
      <c r="B41" s="1" t="s">
        <v>182</v>
      </c>
      <c r="D41" s="46" t="s">
        <v>188</v>
      </c>
      <c r="E41">
        <v>1.41</v>
      </c>
      <c r="F41">
        <v>0.05</v>
      </c>
      <c r="G41">
        <v>19</v>
      </c>
    </row>
    <row r="42" spans="2:7" ht="12.75">
      <c r="B42" s="1" t="s">
        <v>37</v>
      </c>
      <c r="D42" s="46" t="s">
        <v>121</v>
      </c>
      <c r="E42">
        <v>1.75</v>
      </c>
      <c r="F42">
        <v>0.035</v>
      </c>
      <c r="G42">
        <v>18.4</v>
      </c>
    </row>
    <row r="43" spans="2:7" ht="12.75">
      <c r="B43" s="1" t="s">
        <v>203</v>
      </c>
      <c r="D43" s="61" t="s">
        <v>33</v>
      </c>
      <c r="E43">
        <v>1.9</v>
      </c>
      <c r="F43">
        <v>0.058</v>
      </c>
      <c r="G43">
        <v>18.5</v>
      </c>
    </row>
    <row r="44" spans="2:7" ht="12.75">
      <c r="B44" s="1" t="s">
        <v>183</v>
      </c>
      <c r="D44" s="61" t="s">
        <v>155</v>
      </c>
      <c r="E44">
        <v>3.11</v>
      </c>
      <c r="F44">
        <v>0.052</v>
      </c>
      <c r="G44">
        <v>15.1</v>
      </c>
    </row>
    <row r="45" spans="2:7" ht="12.75">
      <c r="B45" s="1" t="s">
        <v>184</v>
      </c>
      <c r="D45" s="61" t="s">
        <v>189</v>
      </c>
      <c r="E45">
        <v>1.49</v>
      </c>
      <c r="F45">
        <v>0.048</v>
      </c>
      <c r="G45">
        <v>16.6</v>
      </c>
    </row>
    <row r="46" spans="2:7" ht="12.75">
      <c r="B46" s="1" t="s">
        <v>185</v>
      </c>
      <c r="D46" s="61" t="s">
        <v>190</v>
      </c>
      <c r="E46">
        <v>1.72</v>
      </c>
      <c r="F46" t="s">
        <v>122</v>
      </c>
      <c r="G46">
        <v>20.2</v>
      </c>
    </row>
    <row r="48" spans="4:7" ht="12.75">
      <c r="D48" s="61" t="s">
        <v>156</v>
      </c>
      <c r="E48">
        <f>AVERAGE(E32:E46)</f>
        <v>2.242307692307692</v>
      </c>
      <c r="F48">
        <f>AVERAGE(F32:F45)</f>
        <v>0.04758333333333334</v>
      </c>
      <c r="G48">
        <f>AVERAGE(G32:G46)</f>
        <v>17.469230769230766</v>
      </c>
    </row>
    <row r="49" ht="12">
      <c r="G49" t="s">
        <v>192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D8" sqref="D8"/>
    </sheetView>
  </sheetViews>
  <sheetFormatPr defaultColWidth="9.00390625" defaultRowHeight="12"/>
  <cols>
    <col min="1" max="1" width="11.375" style="0" customWidth="1"/>
    <col min="2" max="2" width="16.125" style="0" customWidth="1"/>
    <col min="3" max="3" width="11.75390625" style="0" customWidth="1"/>
    <col min="4" max="4" width="11.375" style="0" customWidth="1"/>
    <col min="5" max="5" width="8.00390625" style="0" customWidth="1"/>
    <col min="6" max="6" width="11.375" style="0" customWidth="1"/>
    <col min="7" max="7" width="12.375" style="0" customWidth="1"/>
    <col min="8" max="16384" width="11.375" style="0" customWidth="1"/>
  </cols>
  <sheetData>
    <row r="1" spans="1:7" ht="12.75">
      <c r="A1" s="3"/>
      <c r="B1" s="3"/>
      <c r="C1" s="3"/>
      <c r="D1" s="3"/>
      <c r="E1" s="3"/>
      <c r="F1" s="3"/>
      <c r="G1" s="86" t="s">
        <v>216</v>
      </c>
    </row>
    <row r="2" spans="1:7" ht="12.75">
      <c r="A2" s="3"/>
      <c r="B2" s="3"/>
      <c r="C2" s="3"/>
      <c r="D2" s="3"/>
      <c r="E2" s="3"/>
      <c r="F2" s="3"/>
      <c r="G2" s="33" t="s">
        <v>226</v>
      </c>
    </row>
    <row r="3" spans="1:7" ht="12.75">
      <c r="A3" s="3"/>
      <c r="B3" s="3"/>
      <c r="C3" s="3"/>
      <c r="D3" s="3"/>
      <c r="E3" s="3"/>
      <c r="F3" s="3"/>
      <c r="G3" s="33" t="s">
        <v>217</v>
      </c>
    </row>
    <row r="4" spans="1:7" ht="12.75">
      <c r="A4" s="3"/>
      <c r="B4" s="3"/>
      <c r="C4" s="3"/>
      <c r="D4" s="3"/>
      <c r="E4" s="3"/>
      <c r="F4" s="3"/>
      <c r="G4" s="1"/>
    </row>
    <row r="5" spans="1:7" ht="12.75">
      <c r="A5" s="3"/>
      <c r="B5" s="3"/>
      <c r="C5" s="3"/>
      <c r="D5" s="9" t="str">
        <f>DATA!A1</f>
        <v>AVISTA UTILITIES</v>
      </c>
      <c r="E5" s="3"/>
      <c r="F5" s="3"/>
      <c r="G5" s="3"/>
    </row>
    <row r="6" spans="1:7" ht="12.75">
      <c r="A6" s="3"/>
      <c r="B6" s="3"/>
      <c r="C6" s="3"/>
      <c r="D6" s="9"/>
      <c r="E6" s="3"/>
      <c r="F6" s="3"/>
      <c r="G6" s="3"/>
    </row>
    <row r="7" spans="1:7" ht="12.75">
      <c r="A7" s="3"/>
      <c r="B7" s="3"/>
      <c r="C7" s="3"/>
      <c r="D7" s="3" t="s">
        <v>233</v>
      </c>
      <c r="E7" s="3"/>
      <c r="F7" s="3"/>
      <c r="G7" s="3"/>
    </row>
    <row r="8" spans="1:7" ht="12.75">
      <c r="A8" s="3"/>
      <c r="B8" s="3"/>
      <c r="C8" s="3"/>
      <c r="D8" s="9"/>
      <c r="E8" s="3"/>
      <c r="F8" s="3"/>
      <c r="G8" s="3"/>
    </row>
    <row r="9" spans="1:7" ht="12.75">
      <c r="A9" s="3"/>
      <c r="B9" s="3"/>
      <c r="C9" s="3"/>
      <c r="D9" s="3"/>
      <c r="E9" s="3"/>
      <c r="F9" s="3"/>
      <c r="G9" s="3"/>
    </row>
    <row r="10" spans="1:7" ht="12.75">
      <c r="A10" s="3"/>
      <c r="C10" s="3"/>
      <c r="D10" s="3"/>
      <c r="E10" s="3"/>
      <c r="F10" s="3"/>
      <c r="G10" s="3"/>
    </row>
    <row r="11" spans="1:7" ht="12.75">
      <c r="A11" s="3"/>
      <c r="B11" s="3" t="s">
        <v>130</v>
      </c>
      <c r="C11" s="3" t="s">
        <v>168</v>
      </c>
      <c r="D11" s="3" t="s">
        <v>170</v>
      </c>
      <c r="E11" s="3"/>
      <c r="F11" s="3" t="s">
        <v>172</v>
      </c>
      <c r="G11" s="3" t="s">
        <v>173</v>
      </c>
    </row>
    <row r="12" spans="1:7" ht="12.75">
      <c r="A12" s="17" t="s">
        <v>13</v>
      </c>
      <c r="B12" s="17" t="s">
        <v>117</v>
      </c>
      <c r="C12" s="17" t="s">
        <v>169</v>
      </c>
      <c r="D12" s="17" t="s">
        <v>171</v>
      </c>
      <c r="E12" s="17"/>
      <c r="F12" s="17" t="s">
        <v>137</v>
      </c>
      <c r="G12" s="17" t="s">
        <v>137</v>
      </c>
    </row>
    <row r="13" spans="1:7" ht="12.75">
      <c r="A13" s="3"/>
      <c r="B13" s="3" t="s">
        <v>10</v>
      </c>
      <c r="C13" s="3" t="s">
        <v>11</v>
      </c>
      <c r="D13" s="3"/>
      <c r="E13" s="3"/>
      <c r="F13" s="3">
        <f>DATA!L3</f>
        <v>2006</v>
      </c>
      <c r="G13" s="3" t="str">
        <f>DATA!M3</f>
        <v>2008-2010</v>
      </c>
    </row>
    <row r="14" spans="1:7" ht="12.75">
      <c r="A14" s="3"/>
      <c r="B14" s="3"/>
      <c r="C14" s="3"/>
      <c r="D14" s="3"/>
      <c r="E14" s="3"/>
      <c r="F14" s="3"/>
      <c r="G14" s="3"/>
    </row>
    <row r="15" spans="1:7" ht="21.75" customHeight="1">
      <c r="A15" s="3" t="str">
        <f>DATA!A5</f>
        <v>CV</v>
      </c>
      <c r="B15" s="42">
        <f>DATA!AZ5</f>
        <v>1.25</v>
      </c>
      <c r="C15" s="42">
        <f>DATA!B5</f>
        <v>18.769999999999996</v>
      </c>
      <c r="D15" s="6">
        <f aca="true" t="shared" si="0" ref="D15:D25">B15/C15</f>
        <v>0.06659563132658498</v>
      </c>
      <c r="E15" s="3"/>
      <c r="F15" s="6">
        <f>DATA!AB5</f>
        <v>0.075</v>
      </c>
      <c r="G15" s="6">
        <f>DATA!AC5</f>
        <v>0.095</v>
      </c>
    </row>
    <row r="16" spans="1:7" ht="21.75" customHeight="1">
      <c r="A16" s="3" t="str">
        <f>DATA!A6</f>
        <v>EAS</v>
      </c>
      <c r="B16" s="42">
        <f>DATA!AZ6</f>
        <v>1.91</v>
      </c>
      <c r="C16" s="42">
        <f>DATA!B6</f>
        <v>28.433333333333334</v>
      </c>
      <c r="D16" s="6">
        <f t="shared" si="0"/>
        <v>0.0671746776084408</v>
      </c>
      <c r="E16" s="3"/>
      <c r="F16" s="6">
        <f>DATA!AB6</f>
        <v>0.095</v>
      </c>
      <c r="G16" s="6">
        <f>DATA!AC6</f>
        <v>0.095</v>
      </c>
    </row>
    <row r="17" spans="1:7" ht="21.75" customHeight="1">
      <c r="A17" s="3" t="str">
        <f>DATA!A7</f>
        <v>FE</v>
      </c>
      <c r="B17" s="42">
        <f>DATA!AZ7</f>
        <v>3.32</v>
      </c>
      <c r="C17" s="42">
        <f>DATA!B7</f>
        <v>48.94766666666668</v>
      </c>
      <c r="D17" s="6">
        <f t="shared" si="0"/>
        <v>0.0678275437031387</v>
      </c>
      <c r="E17" s="3"/>
      <c r="F17" s="6">
        <f>DATA!AB7</f>
        <v>0.115</v>
      </c>
      <c r="G17" s="6">
        <f>DATA!AC7</f>
        <v>0.115</v>
      </c>
    </row>
    <row r="18" spans="1:7" ht="21.75" customHeight="1">
      <c r="A18" s="3" t="str">
        <f>DATA!A8</f>
        <v>GMP</v>
      </c>
      <c r="B18" s="42">
        <f>DATA!AZ8</f>
        <v>2.25</v>
      </c>
      <c r="C18" s="42">
        <f>DATA!B8</f>
        <v>29.538999999999998</v>
      </c>
      <c r="D18" s="6">
        <f t="shared" si="0"/>
        <v>0.07617048647550696</v>
      </c>
      <c r="E18" s="3"/>
      <c r="F18" s="6">
        <f>DATA!AB8</f>
        <v>0.1</v>
      </c>
      <c r="G18" s="6">
        <f>DATA!AC8</f>
        <v>0.1</v>
      </c>
    </row>
    <row r="19" spans="1:7" ht="21.75" customHeight="1">
      <c r="A19" s="3" t="str">
        <f>DATA!A9</f>
        <v>NU</v>
      </c>
      <c r="B19" s="42">
        <f>DATA!AZ9</f>
        <v>1.33</v>
      </c>
      <c r="C19" s="42">
        <f>DATA!B9</f>
        <v>21.192333333333334</v>
      </c>
      <c r="D19" s="6">
        <f t="shared" si="0"/>
        <v>0.06275854475675166</v>
      </c>
      <c r="E19" s="3"/>
      <c r="F19" s="6">
        <f>DATA!AB9</f>
        <v>0.075</v>
      </c>
      <c r="G19" s="6">
        <f>DATA!AC9</f>
        <v>0.1</v>
      </c>
    </row>
    <row r="20" spans="1:7" ht="21.75" customHeight="1">
      <c r="A20" s="3" t="str">
        <f>DATA!A10</f>
        <v>CIN</v>
      </c>
      <c r="B20" s="42">
        <f>DATA!AZ10</f>
        <v>3.1</v>
      </c>
      <c r="C20" s="42">
        <f>DATA!B10</f>
        <v>44.73633333333334</v>
      </c>
      <c r="D20" s="6">
        <f t="shared" si="0"/>
        <v>0.06929490570677077</v>
      </c>
      <c r="E20" s="3"/>
      <c r="F20" s="6">
        <f>DATA!AB10</f>
        <v>0.12</v>
      </c>
      <c r="G20" s="6">
        <f>DATA!AC10</f>
        <v>0.11</v>
      </c>
    </row>
    <row r="21" spans="1:7" ht="21.75" customHeight="1">
      <c r="A21" s="3" t="str">
        <f>DATA!A11</f>
        <v>CNL</v>
      </c>
      <c r="B21" s="42">
        <f>DATA!AZ11</f>
        <v>1.4</v>
      </c>
      <c r="C21" s="42">
        <f>DATA!B11</f>
        <v>22.00833333333333</v>
      </c>
      <c r="D21" s="6">
        <f t="shared" si="0"/>
        <v>0.06361226808027264</v>
      </c>
      <c r="E21" s="3"/>
      <c r="F21" s="6">
        <f>DATA!AB11</f>
        <v>0.12</v>
      </c>
      <c r="G21" s="6">
        <f>DATA!AC11</f>
        <v>0.11</v>
      </c>
    </row>
    <row r="22" spans="1:7" ht="21.75" customHeight="1">
      <c r="A22" s="3" t="str">
        <f>DATA!A12</f>
        <v>EDE</v>
      </c>
      <c r="B22" s="42">
        <f>DATA!AZ12</f>
        <v>1.51</v>
      </c>
      <c r="C22" s="42">
        <f>DATA!B12</f>
        <v>24.064000000000004</v>
      </c>
      <c r="D22" s="6">
        <f t="shared" si="0"/>
        <v>0.06274933510638298</v>
      </c>
      <c r="E22" s="3"/>
      <c r="F22" s="6">
        <f>DATA!AB12</f>
        <v>0.1</v>
      </c>
      <c r="G22" s="6">
        <f>DATA!AC12</f>
        <v>0.105</v>
      </c>
    </row>
    <row r="23" spans="1:7" ht="21.75" customHeight="1">
      <c r="A23" s="3" t="str">
        <f>DATA!A13</f>
        <v>ETR</v>
      </c>
      <c r="B23" s="42">
        <f>DATA!AZ13</f>
        <v>5.05</v>
      </c>
      <c r="C23" s="42">
        <f>DATA!B13</f>
        <v>76.3643333333333</v>
      </c>
      <c r="D23" s="6">
        <f t="shared" si="0"/>
        <v>0.06613034881030849</v>
      </c>
      <c r="E23" s="3"/>
      <c r="F23" s="6">
        <f>DATA!AB13</f>
        <v>0.12</v>
      </c>
      <c r="G23" s="6">
        <f>DATA!AC13</f>
        <v>0.11</v>
      </c>
    </row>
    <row r="24" spans="1:7" ht="21.75" customHeight="1">
      <c r="A24" s="3" t="str">
        <f>DATA!A14</f>
        <v>AVA</v>
      </c>
      <c r="B24" s="42">
        <f>DATA!AZ14</f>
        <v>1.45</v>
      </c>
      <c r="C24" s="42">
        <f>DATA!B14</f>
        <v>18.598666666666663</v>
      </c>
      <c r="D24" s="6">
        <f t="shared" si="0"/>
        <v>0.07796257796257798</v>
      </c>
      <c r="E24" s="3"/>
      <c r="F24" s="6">
        <f>DATA!AB14</f>
        <v>0.08</v>
      </c>
      <c r="G24" s="6">
        <f>DATA!AC14</f>
        <v>0.08</v>
      </c>
    </row>
    <row r="25" spans="1:7" ht="21.75" customHeight="1">
      <c r="A25" s="3" t="str">
        <f>DATA!A15</f>
        <v>HE</v>
      </c>
      <c r="B25" s="42">
        <f>DATA!AZ15</f>
        <v>1.8</v>
      </c>
      <c r="C25" s="42">
        <f>DATA!B15</f>
        <v>27.147666666666666</v>
      </c>
      <c r="D25" s="6">
        <f t="shared" si="0"/>
        <v>0.06630404086293482</v>
      </c>
      <c r="E25" s="3"/>
      <c r="F25" s="6">
        <f>DATA!AB15</f>
        <v>0.105</v>
      </c>
      <c r="G25" s="6">
        <f>DATA!AC15</f>
        <v>0.105</v>
      </c>
    </row>
    <row r="26" spans="1:7" ht="21.75" customHeight="1">
      <c r="A26" s="3" t="str">
        <f>DATA!A16</f>
        <v>PNM</v>
      </c>
      <c r="B26" s="42">
        <f>DATA!AZ16</f>
        <v>1.9</v>
      </c>
      <c r="C26" s="42">
        <f>DATA!B16</f>
        <v>29.160999999999998</v>
      </c>
      <c r="D26" s="6">
        <f>B26/C26</f>
        <v>0.06515551592880903</v>
      </c>
      <c r="E26" s="3"/>
      <c r="F26" s="6">
        <f>DATA!AB16</f>
        <v>0.085</v>
      </c>
      <c r="G26" s="6">
        <f>DATA!AC16</f>
        <v>0.075</v>
      </c>
    </row>
    <row r="27" spans="1:7" ht="21.75" customHeight="1">
      <c r="A27" s="3" t="str">
        <f>DATA!A17</f>
        <v>PNW</v>
      </c>
      <c r="B27" s="42">
        <f>DATA!AZ17</f>
        <v>3.09</v>
      </c>
      <c r="C27" s="42">
        <f>DATA!B17</f>
        <v>45.13466666666667</v>
      </c>
      <c r="D27" s="6">
        <f>B27/C27</f>
        <v>0.06846178842574813</v>
      </c>
      <c r="E27" s="3"/>
      <c r="F27" s="6">
        <f>DATA!AB17</f>
        <v>0.085</v>
      </c>
      <c r="G27" s="6">
        <f>DATA!AC17</f>
        <v>0.085</v>
      </c>
    </row>
    <row r="28" spans="1:7" ht="21.75" customHeight="1">
      <c r="A28" s="3" t="str">
        <f>DATA!A18</f>
        <v>PSD</v>
      </c>
      <c r="B28" s="42">
        <f>DATA!AZ18</f>
        <v>1.5</v>
      </c>
      <c r="C28" s="42">
        <f>DATA!B18</f>
        <v>23.64</v>
      </c>
      <c r="D28" s="6">
        <f>B28/C28</f>
        <v>0.06345177664974619</v>
      </c>
      <c r="E28" s="3"/>
      <c r="F28" s="6">
        <f>DATA!AB18</f>
        <v>0.085</v>
      </c>
      <c r="G28" s="6">
        <f>DATA!AC18</f>
        <v>0.095</v>
      </c>
    </row>
    <row r="29" spans="1:7" ht="21.75" customHeight="1">
      <c r="A29" s="3" t="str">
        <f>DATA!A19</f>
        <v>UNS</v>
      </c>
      <c r="B29" s="42">
        <f>DATA!AZ19</f>
        <v>1.9</v>
      </c>
      <c r="C29" s="42">
        <f>DATA!B19</f>
        <v>31.449333333333335</v>
      </c>
      <c r="D29" s="6">
        <f>B29/C29</f>
        <v>0.06041463518039598</v>
      </c>
      <c r="E29" s="3"/>
      <c r="F29" s="6">
        <f>DATA!AB19</f>
        <v>0.09</v>
      </c>
      <c r="G29" s="6">
        <f>DATA!AC19</f>
        <v>0.085</v>
      </c>
    </row>
    <row r="30" spans="1:7" ht="21.75" customHeight="1">
      <c r="A30" s="1"/>
      <c r="B30" s="3"/>
      <c r="C30" s="3"/>
      <c r="D30" s="3"/>
      <c r="E30" s="3"/>
      <c r="F30" s="6"/>
      <c r="G30" s="6"/>
    </row>
    <row r="31" spans="1:7" ht="12.75">
      <c r="A31" s="1"/>
      <c r="B31" s="1"/>
      <c r="C31" s="43" t="s">
        <v>138</v>
      </c>
      <c r="D31" s="6">
        <f>AVERAGE(D15:D26)</f>
        <v>0.06764465636070666</v>
      </c>
      <c r="E31" s="3"/>
      <c r="F31" s="6">
        <f>AVERAGE(F15:F26)</f>
        <v>0.09916666666666667</v>
      </c>
      <c r="G31" s="6"/>
    </row>
    <row r="32" spans="1:7" ht="12.75">
      <c r="A32" s="1"/>
      <c r="B32" s="3"/>
      <c r="C32" s="3"/>
      <c r="D32" s="3"/>
      <c r="E32" s="3"/>
      <c r="F32" s="3"/>
      <c r="G32" s="3"/>
    </row>
    <row r="33" spans="1:7" ht="12.75">
      <c r="A33" s="1"/>
      <c r="B33" s="3"/>
      <c r="C33" s="43" t="s">
        <v>19</v>
      </c>
      <c r="D33" s="3"/>
      <c r="E33" s="34">
        <f>(D31+F31)/2</f>
        <v>0.08340566151368667</v>
      </c>
      <c r="F33" s="3"/>
      <c r="G33" s="3"/>
    </row>
    <row r="34" spans="1:7" ht="12.75">
      <c r="A34" s="1"/>
      <c r="B34" s="3"/>
      <c r="C34" s="3"/>
      <c r="D34" s="3"/>
      <c r="E34" s="3"/>
      <c r="F34" s="3"/>
      <c r="G34" s="3"/>
    </row>
    <row r="35" spans="1:7" ht="12.75" customHeight="1">
      <c r="A35" s="1"/>
      <c r="B35" s="3"/>
      <c r="C35" s="3"/>
      <c r="D35" s="3"/>
      <c r="E35" s="3"/>
      <c r="F35" s="3"/>
      <c r="G35" s="3"/>
    </row>
    <row r="36" spans="1:7" ht="12.75">
      <c r="A36" s="1"/>
      <c r="B36" s="3"/>
      <c r="C36" s="43" t="s">
        <v>138</v>
      </c>
      <c r="D36" s="6">
        <f>D31</f>
        <v>0.06764465636070666</v>
      </c>
      <c r="E36" s="6"/>
      <c r="F36" s="6"/>
      <c r="G36" s="6">
        <f>AVERAGE(G15:G26)</f>
        <v>0.09999999999999999</v>
      </c>
    </row>
    <row r="37" spans="1:7" ht="12.75">
      <c r="A37" s="1"/>
      <c r="B37" s="3"/>
      <c r="C37" s="3"/>
      <c r="D37" s="6"/>
      <c r="E37" s="6"/>
      <c r="F37" s="6"/>
      <c r="G37" s="6"/>
    </row>
    <row r="38" spans="1:7" ht="12.75">
      <c r="A38" s="1"/>
      <c r="B38" s="3"/>
      <c r="C38" s="43" t="s">
        <v>90</v>
      </c>
      <c r="D38" s="6"/>
      <c r="E38" s="6"/>
      <c r="F38" s="34">
        <f>(D36+G36)/2</f>
        <v>0.08382232818035332</v>
      </c>
      <c r="G38" s="6"/>
    </row>
    <row r="42" ht="12.75">
      <c r="A42" s="1"/>
    </row>
  </sheetData>
  <printOptions/>
  <pageMargins left="1.01" right="0.75" top="1" bottom="1" header="0.5" footer="0.5"/>
  <pageSetup fitToHeight="1" fitToWidth="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B13">
      <selection activeCell="K2" sqref="K2"/>
    </sheetView>
  </sheetViews>
  <sheetFormatPr defaultColWidth="9.00390625" defaultRowHeight="12"/>
  <cols>
    <col min="1" max="1" width="13.75390625" style="0" customWidth="1"/>
    <col min="2" max="2" width="11.375" style="0" customWidth="1"/>
    <col min="3" max="3" width="5.75390625" style="0" customWidth="1"/>
    <col min="4" max="4" width="3.125" style="0" customWidth="1"/>
    <col min="5" max="5" width="7.75390625" style="0" customWidth="1"/>
    <col min="6" max="6" width="2.125" style="0" customWidth="1"/>
    <col min="7" max="7" width="4.75390625" style="0" customWidth="1"/>
    <col min="8" max="8" width="3.125" style="0" customWidth="1"/>
    <col min="9" max="9" width="7.25390625" style="0" customWidth="1"/>
    <col min="10" max="10" width="13.875" style="0" customWidth="1"/>
    <col min="11" max="11" width="18.375" style="0" customWidth="1"/>
    <col min="12" max="16384" width="11.375" style="0" customWidth="1"/>
  </cols>
  <sheetData>
    <row r="1" spans="1:11" ht="12.75">
      <c r="A1" s="3"/>
      <c r="B1" s="3"/>
      <c r="C1" s="44"/>
      <c r="D1" s="3"/>
      <c r="E1" s="1"/>
      <c r="F1" s="3"/>
      <c r="G1" s="25"/>
      <c r="H1" s="3"/>
      <c r="I1" s="3"/>
      <c r="J1" s="3"/>
      <c r="K1" s="86" t="s">
        <v>216</v>
      </c>
    </row>
    <row r="2" spans="1:11" ht="12.75">
      <c r="A2" s="3"/>
      <c r="B2" s="3"/>
      <c r="C2" s="44"/>
      <c r="D2" s="3"/>
      <c r="E2" s="5"/>
      <c r="F2" s="3"/>
      <c r="G2" s="25"/>
      <c r="H2" s="3"/>
      <c r="I2" s="3"/>
      <c r="J2" s="3"/>
      <c r="K2" s="33" t="s">
        <v>227</v>
      </c>
    </row>
    <row r="3" spans="1:11" ht="12.75">
      <c r="A3" s="3"/>
      <c r="B3" s="3"/>
      <c r="C3" s="44"/>
      <c r="D3" s="3"/>
      <c r="E3" s="5"/>
      <c r="F3" s="3"/>
      <c r="G3" s="25"/>
      <c r="H3" s="3"/>
      <c r="I3" s="3"/>
      <c r="J3" s="3"/>
      <c r="K3" s="33" t="s">
        <v>58</v>
      </c>
    </row>
    <row r="4" spans="1:11" ht="12.75">
      <c r="A4" s="3"/>
      <c r="B4" s="3"/>
      <c r="C4" s="1"/>
      <c r="D4" s="3"/>
      <c r="E4" s="5"/>
      <c r="F4" s="45" t="str">
        <f>DATA!A1</f>
        <v>AVISTA UTILITIES</v>
      </c>
      <c r="G4" s="25"/>
      <c r="H4" s="3"/>
      <c r="I4" s="3"/>
      <c r="J4" s="3"/>
      <c r="K4" s="3"/>
    </row>
    <row r="5" spans="1:11" ht="12.75">
      <c r="A5" s="3"/>
      <c r="B5" s="3"/>
      <c r="C5" s="1"/>
      <c r="D5" s="3"/>
      <c r="E5" s="5"/>
      <c r="F5" s="45"/>
      <c r="G5" s="25"/>
      <c r="H5" s="3"/>
      <c r="I5" s="3"/>
      <c r="J5" s="3"/>
      <c r="K5" s="3"/>
    </row>
    <row r="6" spans="1:11" ht="12.75">
      <c r="A6" s="3"/>
      <c r="B6" s="3"/>
      <c r="C6" s="1"/>
      <c r="D6" s="3"/>
      <c r="E6" s="5"/>
      <c r="F6" s="4" t="s">
        <v>4</v>
      </c>
      <c r="G6" s="25"/>
      <c r="H6" s="3"/>
      <c r="I6" s="3"/>
      <c r="J6" s="3"/>
      <c r="K6" s="3"/>
    </row>
    <row r="7" spans="1:11" ht="12.75">
      <c r="A7" s="3"/>
      <c r="B7" s="3"/>
      <c r="C7" s="44"/>
      <c r="D7" s="3"/>
      <c r="E7" s="5"/>
      <c r="F7" s="3"/>
      <c r="G7" s="25"/>
      <c r="H7" s="3"/>
      <c r="I7" s="3"/>
      <c r="J7" s="3"/>
      <c r="K7" s="3"/>
    </row>
    <row r="8" spans="1:11" ht="12.75">
      <c r="A8" s="3"/>
      <c r="B8" s="3"/>
      <c r="C8" s="44"/>
      <c r="D8" s="3"/>
      <c r="E8" s="5"/>
      <c r="F8" s="3"/>
      <c r="G8" s="25"/>
      <c r="H8" s="3"/>
      <c r="I8" s="3"/>
      <c r="J8" s="3"/>
      <c r="K8" s="3"/>
    </row>
    <row r="9" spans="1:11" ht="12.75">
      <c r="A9" s="3"/>
      <c r="B9" s="3"/>
      <c r="C9" s="1"/>
      <c r="D9" s="3"/>
      <c r="E9" s="5"/>
      <c r="F9" s="4" t="s">
        <v>5</v>
      </c>
      <c r="G9" s="25"/>
      <c r="H9" s="3"/>
      <c r="I9" s="3"/>
      <c r="J9" s="3"/>
      <c r="K9" s="3"/>
    </row>
    <row r="10" spans="1:11" ht="12.75">
      <c r="A10" s="3"/>
      <c r="B10" s="3"/>
      <c r="C10" s="44"/>
      <c r="D10" s="3"/>
      <c r="E10" s="5"/>
      <c r="F10" s="3" t="s">
        <v>213</v>
      </c>
      <c r="G10" s="25"/>
      <c r="H10" s="3"/>
      <c r="I10" s="3"/>
      <c r="J10" s="3"/>
      <c r="K10" s="3" t="s">
        <v>84</v>
      </c>
    </row>
    <row r="11" spans="1:11" ht="12.75">
      <c r="A11" s="17" t="s">
        <v>13</v>
      </c>
      <c r="B11" s="3"/>
      <c r="C11" s="44"/>
      <c r="D11" s="3"/>
      <c r="E11" s="5"/>
      <c r="F11" s="3"/>
      <c r="G11" s="25"/>
      <c r="H11" s="3"/>
      <c r="I11" s="3"/>
      <c r="J11" s="3"/>
      <c r="K11" s="17" t="s">
        <v>85</v>
      </c>
    </row>
    <row r="12" spans="1:11" ht="12.75">
      <c r="A12" s="3"/>
      <c r="B12" s="3"/>
      <c r="C12" s="44"/>
      <c r="D12" s="3"/>
      <c r="E12" s="5"/>
      <c r="F12" s="3"/>
      <c r="G12" s="25"/>
      <c r="H12" s="3"/>
      <c r="I12" s="3"/>
      <c r="J12" s="3"/>
      <c r="K12" s="3"/>
    </row>
    <row r="13" spans="1:11" ht="21.75" customHeight="1">
      <c r="A13" s="3" t="str">
        <f>DATA!A5</f>
        <v>CV</v>
      </c>
      <c r="B13" s="43" t="s">
        <v>75</v>
      </c>
      <c r="C13" s="44" t="s">
        <v>179</v>
      </c>
      <c r="D13" s="19" t="s">
        <v>76</v>
      </c>
      <c r="E13" s="5" t="s">
        <v>179</v>
      </c>
      <c r="F13" s="19" t="s">
        <v>77</v>
      </c>
      <c r="G13" s="25">
        <f>'Ex10,p1'!F11</f>
        <v>1.1106508875739645</v>
      </c>
      <c r="H13" s="3" t="s">
        <v>60</v>
      </c>
      <c r="I13" s="6">
        <f>'Ex10,p1'!J11</f>
        <v>0.03596819526627219</v>
      </c>
      <c r="J13" s="3" t="s">
        <v>91</v>
      </c>
      <c r="K13" s="6" t="s">
        <v>179</v>
      </c>
    </row>
    <row r="14" spans="1:11" ht="21.75" customHeight="1">
      <c r="A14" s="3" t="str">
        <f>DATA!A6</f>
        <v>EAS</v>
      </c>
      <c r="B14" s="43" t="s">
        <v>75</v>
      </c>
      <c r="C14" s="44">
        <f>DATA!AA6</f>
        <v>0.095</v>
      </c>
      <c r="D14" s="19" t="s">
        <v>76</v>
      </c>
      <c r="E14" s="5">
        <f>'Ex9'!C38</f>
        <v>0.37222222222222234</v>
      </c>
      <c r="F14" s="19" t="s">
        <v>77</v>
      </c>
      <c r="G14" s="25">
        <f>'Ex10,p1'!F12</f>
        <v>1.5286738351254479</v>
      </c>
      <c r="H14" s="3" t="s">
        <v>60</v>
      </c>
      <c r="I14" s="6">
        <f>'Ex10,p1'!J12</f>
        <v>0.04764336917562724</v>
      </c>
      <c r="J14" s="3" t="s">
        <v>91</v>
      </c>
      <c r="K14" s="6">
        <f aca="true" t="shared" si="0" ref="K14:K23">(C14*(1-E14)/G14)+I14</f>
        <v>0.08665685100446663</v>
      </c>
    </row>
    <row r="15" spans="1:11" ht="21.75" customHeight="1">
      <c r="A15" s="3" t="str">
        <f>DATA!A7</f>
        <v>FE</v>
      </c>
      <c r="B15" s="43" t="s">
        <v>75</v>
      </c>
      <c r="C15" s="44">
        <f>DATA!AA7</f>
        <v>0.105</v>
      </c>
      <c r="D15" s="19" t="s">
        <v>76</v>
      </c>
      <c r="E15" s="5">
        <f>'Ex9'!C54</f>
        <v>0.5649122807017544</v>
      </c>
      <c r="F15" s="19" t="s">
        <v>77</v>
      </c>
      <c r="G15" s="25">
        <f>'Ex10,p1'!F13</f>
        <v>1.7702591922845092</v>
      </c>
      <c r="H15" s="3" t="s">
        <v>60</v>
      </c>
      <c r="I15" s="6">
        <f>'Ex10,p1'!J13</f>
        <v>0.057702591922845096</v>
      </c>
      <c r="J15" s="3" t="s">
        <v>91</v>
      </c>
      <c r="K15" s="6">
        <f t="shared" si="0"/>
        <v>0.08350910134554754</v>
      </c>
    </row>
    <row r="16" spans="1:11" ht="21.75" customHeight="1">
      <c r="A16" s="3" t="str">
        <f>DATA!A8</f>
        <v>GMP</v>
      </c>
      <c r="B16" s="43" t="s">
        <v>75</v>
      </c>
      <c r="C16" s="44">
        <f>DATA!AA8</f>
        <v>0.1</v>
      </c>
      <c r="D16" s="19" t="s">
        <v>76</v>
      </c>
      <c r="E16" s="5">
        <f>'Ex9'!C77</f>
        <v>0.5348837209302326</v>
      </c>
      <c r="F16" s="19" t="s">
        <v>77</v>
      </c>
      <c r="G16" s="25">
        <f>'Ex10,p1'!F14</f>
        <v>1.367546296296296</v>
      </c>
      <c r="H16" s="3" t="s">
        <v>60</v>
      </c>
      <c r="I16" s="6">
        <f>'Ex10,p1'!J14</f>
        <v>0.06</v>
      </c>
      <c r="J16" s="3" t="s">
        <v>91</v>
      </c>
      <c r="K16" s="6">
        <f t="shared" si="0"/>
        <v>0.09401100791464498</v>
      </c>
    </row>
    <row r="17" spans="1:11" ht="21.75" customHeight="1">
      <c r="A17" s="3" t="str">
        <f>DATA!A9</f>
        <v>NU</v>
      </c>
      <c r="B17" s="43" t="s">
        <v>75</v>
      </c>
      <c r="C17" s="44">
        <f>DATA!AB9</f>
        <v>0.075</v>
      </c>
      <c r="D17" s="19" t="s">
        <v>76</v>
      </c>
      <c r="E17" s="5">
        <f>'Ex9'!C93</f>
        <v>0.4086956521739129</v>
      </c>
      <c r="F17" s="19" t="s">
        <v>77</v>
      </c>
      <c r="G17" s="25">
        <f>'Ex10,p1'!F15</f>
        <v>1.253984220907298</v>
      </c>
      <c r="H17" s="3" t="s">
        <v>60</v>
      </c>
      <c r="I17" s="6">
        <f>'Ex10,p1'!J15</f>
        <v>0.055</v>
      </c>
      <c r="J17" s="3" t="s">
        <v>91</v>
      </c>
      <c r="K17" s="6">
        <f t="shared" si="0"/>
        <v>0.09036553757819174</v>
      </c>
    </row>
    <row r="18" spans="1:11" ht="21.75" customHeight="1">
      <c r="A18" s="3" t="str">
        <f>DATA!A10</f>
        <v>CIN</v>
      </c>
      <c r="B18" s="43" t="s">
        <v>75</v>
      </c>
      <c r="C18" s="44">
        <f>DATA!AB10</f>
        <v>0.12</v>
      </c>
      <c r="D18" s="19" t="s">
        <v>76</v>
      </c>
      <c r="E18" s="5">
        <f>'Ex9'!C109</f>
        <v>0.288888888888889</v>
      </c>
      <c r="F18" s="19" t="s">
        <v>77</v>
      </c>
      <c r="G18" s="25">
        <f>'Ex10,p1'!F16</f>
        <v>1.8757372466806432</v>
      </c>
      <c r="H18" s="3" t="s">
        <v>60</v>
      </c>
      <c r="I18" s="6">
        <f>'Ex10,p1'!J16</f>
        <v>0.05313605870020965</v>
      </c>
      <c r="J18" s="3" t="s">
        <v>91</v>
      </c>
      <c r="K18" s="6">
        <f t="shared" si="0"/>
        <v>0.09862928195647411</v>
      </c>
    </row>
    <row r="19" spans="1:11" ht="21.75" customHeight="1">
      <c r="A19" s="3" t="str">
        <f>DATA!A11</f>
        <v>CNL</v>
      </c>
      <c r="B19" s="43" t="s">
        <v>75</v>
      </c>
      <c r="C19" s="44">
        <f>DATA!AB11</f>
        <v>0.12</v>
      </c>
      <c r="D19" s="19" t="s">
        <v>76</v>
      </c>
      <c r="E19" s="5">
        <f>'Ex9'!C132</f>
        <v>0.3076923076923077</v>
      </c>
      <c r="F19" s="19" t="s">
        <v>77</v>
      </c>
      <c r="G19" s="25">
        <f>'Ex10,p1'!F17</f>
        <v>1.9650297619047616</v>
      </c>
      <c r="H19" s="3" t="s">
        <v>60</v>
      </c>
      <c r="I19" s="6">
        <f>'Ex10,p1'!J17</f>
        <v>0.047325148809523813</v>
      </c>
      <c r="J19" s="3" t="s">
        <v>91</v>
      </c>
      <c r="K19" s="6">
        <f t="shared" si="0"/>
        <v>0.08960284082595116</v>
      </c>
    </row>
    <row r="20" spans="1:11" ht="21.75" customHeight="1">
      <c r="A20" s="3" t="str">
        <f>DATA!A12</f>
        <v>EDE</v>
      </c>
      <c r="B20" s="43" t="s">
        <v>75</v>
      </c>
      <c r="C20" s="44">
        <f>DATA!AB12</f>
        <v>0.1</v>
      </c>
      <c r="D20" s="19" t="s">
        <v>76</v>
      </c>
      <c r="E20" s="5">
        <f>'Ex9'!C148</f>
        <v>-0.02400000000000002</v>
      </c>
      <c r="F20" s="19" t="s">
        <v>77</v>
      </c>
      <c r="G20" s="25">
        <f>'Ex10,p1'!F18</f>
        <v>1.6259459459459462</v>
      </c>
      <c r="H20" s="3" t="s">
        <v>60</v>
      </c>
      <c r="I20" s="6">
        <f>'Ex10,p1'!J18</f>
        <v>0.04938918918918919</v>
      </c>
      <c r="J20" s="3" t="s">
        <v>91</v>
      </c>
      <c r="K20" s="6">
        <f t="shared" si="0"/>
        <v>0.1123679125934445</v>
      </c>
    </row>
    <row r="21" spans="1:11" ht="21.75" customHeight="1">
      <c r="A21" s="3" t="str">
        <f>DATA!A13</f>
        <v>ETR</v>
      </c>
      <c r="B21" s="43" t="s">
        <v>75</v>
      </c>
      <c r="C21" s="44">
        <f>DATA!AB13</f>
        <v>0.12</v>
      </c>
      <c r="D21" s="19" t="s">
        <v>76</v>
      </c>
      <c r="E21" s="5">
        <f>'Ex9'!C164</f>
        <v>0.5195652173913043</v>
      </c>
      <c r="F21" s="19" t="s">
        <v>77</v>
      </c>
      <c r="G21" s="25">
        <f>'Ex10,p1'!F19</f>
        <v>1.9138930659983286</v>
      </c>
      <c r="H21" s="3" t="s">
        <v>60</v>
      </c>
      <c r="I21" s="6">
        <f>'Ex10,p1'!J19</f>
        <v>0.06021526733500418</v>
      </c>
      <c r="J21" s="3" t="s">
        <v>91</v>
      </c>
      <c r="K21" s="6">
        <f t="shared" si="0"/>
        <v>0.0903382532725549</v>
      </c>
    </row>
    <row r="22" spans="1:11" ht="21.75" customHeight="1">
      <c r="A22" s="3" t="str">
        <f>DATA!A14</f>
        <v>AVA</v>
      </c>
      <c r="B22" s="43" t="s">
        <v>75</v>
      </c>
      <c r="C22" s="44">
        <f>DATA!AB14</f>
        <v>0.08</v>
      </c>
      <c r="D22" s="19" t="s">
        <v>76</v>
      </c>
      <c r="E22" s="5">
        <f>'Ex9'!C187</f>
        <v>0.44999999999999996</v>
      </c>
      <c r="F22" s="19" t="s">
        <v>77</v>
      </c>
      <c r="G22" s="25">
        <f>'Ex10,p1'!F20</f>
        <v>1.1410224948875254</v>
      </c>
      <c r="H22" s="3" t="s">
        <v>60</v>
      </c>
      <c r="I22" s="6">
        <f>'Ex10,p1'!J20</f>
        <v>0.05535255623721881</v>
      </c>
      <c r="J22" s="3" t="s">
        <v>91</v>
      </c>
      <c r="K22" s="6">
        <f t="shared" si="0"/>
        <v>0.09391446031636427</v>
      </c>
    </row>
    <row r="23" spans="1:11" ht="21.75" customHeight="1">
      <c r="A23" s="3" t="str">
        <f>DATA!A15</f>
        <v>HE</v>
      </c>
      <c r="B23" s="43" t="s">
        <v>75</v>
      </c>
      <c r="C23" s="44">
        <f>DATA!AB15</f>
        <v>0.105</v>
      </c>
      <c r="D23" s="19" t="s">
        <v>76</v>
      </c>
      <c r="E23" s="5">
        <f>'Ex9'!C203</f>
        <v>0.20000000000000007</v>
      </c>
      <c r="F23" s="19" t="s">
        <v>77</v>
      </c>
      <c r="G23" s="25">
        <f>'Ex10,p1'!F21</f>
        <v>1.7236613756613757</v>
      </c>
      <c r="H23" s="3" t="s">
        <v>60</v>
      </c>
      <c r="I23" s="6">
        <f>'Ex10,p1'!J21</f>
        <v>0.03883203703703704</v>
      </c>
      <c r="J23" s="3" t="s">
        <v>91</v>
      </c>
      <c r="K23" s="6">
        <f t="shared" si="0"/>
        <v>0.08756550707129412</v>
      </c>
    </row>
    <row r="24" spans="1:11" ht="21.75" customHeight="1">
      <c r="A24" s="3" t="str">
        <f>DATA!A16</f>
        <v>PNM</v>
      </c>
      <c r="B24" s="43" t="s">
        <v>75</v>
      </c>
      <c r="C24" s="44">
        <f>DATA!AB16</f>
        <v>0.085</v>
      </c>
      <c r="D24" s="19" t="s">
        <v>76</v>
      </c>
      <c r="E24" s="5">
        <f>'Ex9'!C219</f>
        <v>0.5066666666666666</v>
      </c>
      <c r="F24" s="19" t="s">
        <v>77</v>
      </c>
      <c r="G24" s="25">
        <f>'Ex10,p1'!F22</f>
        <v>1.567795698924731</v>
      </c>
      <c r="H24" s="3" t="s">
        <v>60</v>
      </c>
      <c r="I24" s="6">
        <f>'Ex10,p1'!J22</f>
        <v>0.062097446236559134</v>
      </c>
      <c r="J24" s="3" t="s">
        <v>91</v>
      </c>
      <c r="K24" s="6">
        <f>(C24*(1-E24)/G24)+I24</f>
        <v>0.08884412844910329</v>
      </c>
    </row>
    <row r="25" spans="1:11" ht="21.75" customHeight="1">
      <c r="A25" s="3" t="str">
        <f>DATA!A17</f>
        <v>PNW</v>
      </c>
      <c r="B25" s="43" t="s">
        <v>75</v>
      </c>
      <c r="C25" s="44">
        <f>DATA!AB17</f>
        <v>0.085</v>
      </c>
      <c r="D25" s="19" t="s">
        <v>76</v>
      </c>
      <c r="E25" s="5">
        <f>'Ex9'!C242</f>
        <v>0.3566666666666667</v>
      </c>
      <c r="F25" s="19" t="s">
        <v>77</v>
      </c>
      <c r="G25" s="25">
        <f>'Ex10,p1'!F23</f>
        <v>1.2951123864179819</v>
      </c>
      <c r="H25" s="3" t="s">
        <v>60</v>
      </c>
      <c r="I25" s="6">
        <f>'Ex10,p1'!J23</f>
        <v>0.047213342898134864</v>
      </c>
      <c r="J25" s="3" t="s">
        <v>91</v>
      </c>
      <c r="K25" s="6">
        <f>(C25*(1-E25)/G25)+I25</f>
        <v>0.0894361908199097</v>
      </c>
    </row>
    <row r="26" spans="1:11" ht="21.75" customHeight="1">
      <c r="A26" s="3" t="str">
        <f>DATA!A18</f>
        <v>PSD</v>
      </c>
      <c r="B26" s="43" t="s">
        <v>75</v>
      </c>
      <c r="C26" s="44">
        <f>DATA!AB18</f>
        <v>0.085</v>
      </c>
      <c r="D26" s="19" t="s">
        <v>76</v>
      </c>
      <c r="E26" s="5">
        <f>'Ex9'!C258</f>
        <v>0.2857142857142857</v>
      </c>
      <c r="F26" s="19" t="s">
        <v>77</v>
      </c>
      <c r="G26" s="25">
        <f>'Ex10,p1'!F24</f>
        <v>1.3586206896551725</v>
      </c>
      <c r="H26" s="3" t="s">
        <v>60</v>
      </c>
      <c r="I26" s="6">
        <f>'Ex10,p1'!J24</f>
        <v>0.043586206896551724</v>
      </c>
      <c r="J26" s="3" t="s">
        <v>91</v>
      </c>
      <c r="K26" s="6">
        <f>(C26*(1-E26)/G26)+I26</f>
        <v>0.08827438673701583</v>
      </c>
    </row>
    <row r="27" spans="1:11" ht="21.75" customHeight="1">
      <c r="A27" s="3" t="str">
        <f>DATA!A19</f>
        <v>UNS</v>
      </c>
      <c r="B27" s="43" t="s">
        <v>75</v>
      </c>
      <c r="C27" s="44">
        <f>DATA!AB19</f>
        <v>0.09</v>
      </c>
      <c r="D27" s="19" t="s">
        <v>76</v>
      </c>
      <c r="E27" s="5">
        <f>'Ex9'!C274</f>
        <v>0.525</v>
      </c>
      <c r="F27" s="19" t="s">
        <v>77</v>
      </c>
      <c r="G27" s="25">
        <f>'Ex10,p1'!F25</f>
        <v>1.6639858906525575</v>
      </c>
      <c r="H27" s="3" t="s">
        <v>60</v>
      </c>
      <c r="I27" s="6">
        <f>'Ex10,p1'!J25</f>
        <v>0.06831992945326279</v>
      </c>
      <c r="J27" s="3" t="s">
        <v>91</v>
      </c>
      <c r="K27" s="16">
        <f>(C27*(1-E27)/G27)+I27</f>
        <v>0.09401125306372618</v>
      </c>
    </row>
    <row r="28" spans="1:11" ht="21.75" customHeight="1">
      <c r="A28" s="3"/>
      <c r="B28" s="3"/>
      <c r="C28" s="44"/>
      <c r="D28" s="3"/>
      <c r="E28" s="5"/>
      <c r="F28" s="3"/>
      <c r="G28" s="25"/>
      <c r="H28" s="3"/>
      <c r="I28" s="3"/>
      <c r="J28" s="1"/>
      <c r="K28" s="1"/>
    </row>
    <row r="29" spans="1:11" ht="12.75">
      <c r="A29" s="3"/>
      <c r="B29" s="3"/>
      <c r="C29" s="44"/>
      <c r="D29" s="3"/>
      <c r="E29" s="5"/>
      <c r="F29" s="3"/>
      <c r="G29" s="25"/>
      <c r="H29" s="3"/>
      <c r="I29" s="3"/>
      <c r="J29" s="43" t="s">
        <v>111</v>
      </c>
      <c r="K29" s="34">
        <f>AVERAGE(K13:K23)</f>
        <v>0.0926960753878934</v>
      </c>
    </row>
    <row r="30" spans="1:11" ht="12.75">
      <c r="A30" s="3"/>
      <c r="B30" s="3"/>
      <c r="C30" s="44"/>
      <c r="D30" s="3"/>
      <c r="E30" s="5"/>
      <c r="F30" s="3"/>
      <c r="G30" s="25"/>
      <c r="H30" s="3"/>
      <c r="I30" s="3"/>
      <c r="J30" s="43"/>
      <c r="K30" s="34"/>
    </row>
    <row r="31" spans="1:11" ht="12.75">
      <c r="A31" s="3"/>
      <c r="B31" s="3"/>
      <c r="C31" s="44"/>
      <c r="D31" s="3"/>
      <c r="E31" s="5"/>
      <c r="F31" s="3"/>
      <c r="G31" s="25"/>
      <c r="H31" s="3"/>
      <c r="I31" s="3"/>
      <c r="J31" s="43" t="s">
        <v>136</v>
      </c>
      <c r="K31" s="34">
        <f>STDEV(K13:K23)</f>
        <v>0.008118236773090344</v>
      </c>
    </row>
    <row r="32" spans="1:11" ht="12.75">
      <c r="A32" s="1"/>
      <c r="B32" s="3"/>
      <c r="C32" s="44"/>
      <c r="D32" s="3"/>
      <c r="E32" s="5"/>
      <c r="F32" s="3"/>
      <c r="G32" s="25"/>
      <c r="H32" s="3"/>
      <c r="I32" s="3"/>
      <c r="J32" s="3"/>
      <c r="K32" s="6"/>
    </row>
    <row r="33" spans="1:11" ht="12.75">
      <c r="A33" s="3"/>
      <c r="B33" s="3"/>
      <c r="C33" s="44"/>
      <c r="D33" s="3"/>
      <c r="E33" s="5"/>
      <c r="F33" s="3"/>
      <c r="G33" s="25"/>
      <c r="H33" s="3"/>
      <c r="I33" s="3"/>
      <c r="J33" s="3"/>
      <c r="K33" s="3"/>
    </row>
    <row r="34" spans="1:11" ht="12.75">
      <c r="A34" s="1"/>
      <c r="C34" s="44"/>
      <c r="D34" s="3"/>
      <c r="E34" s="5"/>
      <c r="F34" s="3"/>
      <c r="G34" s="25"/>
      <c r="H34" s="3"/>
      <c r="I34" s="3"/>
      <c r="J34" s="3"/>
      <c r="K34" s="3"/>
    </row>
    <row r="35" ht="12.75">
      <c r="A35" s="1" t="s">
        <v>214</v>
      </c>
    </row>
  </sheetData>
  <printOptions/>
  <pageMargins left="0.77" right="0.75" top="1" bottom="1" header="0.5" footer="0.5"/>
  <pageSetup orientation="portrait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B19">
      <selection activeCell="K2" sqref="K2"/>
    </sheetView>
  </sheetViews>
  <sheetFormatPr defaultColWidth="9.00390625" defaultRowHeight="12"/>
  <cols>
    <col min="1" max="1" width="15.25390625" style="0" customWidth="1"/>
    <col min="2" max="2" width="11.375" style="0" customWidth="1"/>
    <col min="3" max="3" width="6.00390625" style="0" customWidth="1"/>
    <col min="4" max="4" width="2.75390625" style="0" customWidth="1"/>
    <col min="5" max="5" width="6.00390625" style="0" customWidth="1"/>
    <col min="6" max="6" width="2.00390625" style="0" customWidth="1"/>
    <col min="7" max="7" width="4.375" style="0" customWidth="1"/>
    <col min="8" max="8" width="2.75390625" style="0" customWidth="1"/>
    <col min="9" max="9" width="6.75390625" style="0" customWidth="1"/>
    <col min="10" max="10" width="13.875" style="0" customWidth="1"/>
    <col min="11" max="11" width="18.75390625" style="0" customWidth="1"/>
    <col min="12" max="16384" width="11.375" style="0" customWidth="1"/>
  </cols>
  <sheetData>
    <row r="1" spans="1:11" ht="12.75">
      <c r="A1" s="3"/>
      <c r="B1" s="3"/>
      <c r="C1" s="44"/>
      <c r="D1" s="3"/>
      <c r="E1" s="1"/>
      <c r="F1" s="3"/>
      <c r="G1" s="25"/>
      <c r="H1" s="3"/>
      <c r="I1" s="3"/>
      <c r="J1" s="3"/>
      <c r="K1" s="86" t="s">
        <v>216</v>
      </c>
    </row>
    <row r="2" spans="1:11" ht="12.75">
      <c r="A2" s="3"/>
      <c r="B2" s="3"/>
      <c r="C2" s="44"/>
      <c r="D2" s="3"/>
      <c r="E2" s="5"/>
      <c r="F2" s="3"/>
      <c r="G2" s="25"/>
      <c r="H2" s="3"/>
      <c r="I2" s="3"/>
      <c r="J2" s="3"/>
      <c r="K2" s="33" t="s">
        <v>227</v>
      </c>
    </row>
    <row r="3" spans="1:11" ht="12.75">
      <c r="A3" s="3"/>
      <c r="B3" s="3"/>
      <c r="C3" s="44"/>
      <c r="D3" s="3"/>
      <c r="E3" s="5"/>
      <c r="F3" s="3"/>
      <c r="G3" s="25"/>
      <c r="H3" s="3"/>
      <c r="I3" s="3"/>
      <c r="J3" s="3"/>
      <c r="K3" s="33" t="s">
        <v>99</v>
      </c>
    </row>
    <row r="4" spans="1:11" ht="12.75">
      <c r="A4" s="3"/>
      <c r="B4" s="3"/>
      <c r="C4" s="1"/>
      <c r="D4" s="3"/>
      <c r="E4" s="5"/>
      <c r="F4" s="45" t="str">
        <f>DATA!A1</f>
        <v>AVISTA UTILITIES</v>
      </c>
      <c r="G4" s="25"/>
      <c r="H4" s="3"/>
      <c r="I4" s="3"/>
      <c r="J4" s="3"/>
      <c r="K4" s="3"/>
    </row>
    <row r="5" spans="1:11" ht="12.75">
      <c r="A5" s="3"/>
      <c r="B5" s="3"/>
      <c r="C5" s="1"/>
      <c r="D5" s="3"/>
      <c r="E5" s="5"/>
      <c r="F5" s="45"/>
      <c r="G5" s="25"/>
      <c r="H5" s="3"/>
      <c r="I5" s="3"/>
      <c r="J5" s="3"/>
      <c r="K5" s="3"/>
    </row>
    <row r="6" spans="1:11" ht="12.75">
      <c r="A6" s="3"/>
      <c r="B6" s="3"/>
      <c r="C6" s="1"/>
      <c r="D6" s="3"/>
      <c r="E6" s="5"/>
      <c r="F6" s="4" t="s">
        <v>4</v>
      </c>
      <c r="G6" s="25"/>
      <c r="H6" s="3"/>
      <c r="I6" s="3"/>
      <c r="J6" s="3"/>
      <c r="K6" s="3"/>
    </row>
    <row r="7" spans="1:11" ht="12.75">
      <c r="A7" s="3"/>
      <c r="B7" s="3"/>
      <c r="C7" s="44"/>
      <c r="D7" s="3"/>
      <c r="E7" s="5"/>
      <c r="F7" s="3"/>
      <c r="G7" s="25"/>
      <c r="H7" s="3"/>
      <c r="I7" s="3"/>
      <c r="J7" s="3"/>
      <c r="K7" s="3"/>
    </row>
    <row r="8" spans="1:11" ht="12.75">
      <c r="A8" s="3"/>
      <c r="B8" s="3"/>
      <c r="C8" s="44"/>
      <c r="D8" s="3"/>
      <c r="E8" s="5"/>
      <c r="F8" s="3"/>
      <c r="G8" s="25"/>
      <c r="H8" s="3"/>
      <c r="I8" s="3"/>
      <c r="J8" s="3"/>
      <c r="K8" s="3"/>
    </row>
    <row r="9" spans="1:11" ht="12.75">
      <c r="A9" s="3"/>
      <c r="B9" s="3"/>
      <c r="C9" s="1"/>
      <c r="D9" s="3"/>
      <c r="E9" s="5"/>
      <c r="F9" s="4" t="s">
        <v>5</v>
      </c>
      <c r="G9" s="25"/>
      <c r="H9" s="3"/>
      <c r="I9" s="3"/>
      <c r="J9" s="3"/>
      <c r="K9" s="3"/>
    </row>
    <row r="10" spans="1:11" ht="12.75">
      <c r="A10" s="3"/>
      <c r="B10" s="3"/>
      <c r="C10" s="44"/>
      <c r="D10" s="3"/>
      <c r="E10" s="5"/>
      <c r="F10" s="3" t="s">
        <v>202</v>
      </c>
      <c r="G10" s="25"/>
      <c r="H10" s="3"/>
      <c r="I10" s="3"/>
      <c r="J10" s="3"/>
      <c r="K10" s="3" t="s">
        <v>84</v>
      </c>
    </row>
    <row r="11" spans="1:11" ht="12.75">
      <c r="A11" s="17" t="s">
        <v>13</v>
      </c>
      <c r="B11" s="3"/>
      <c r="C11" s="44"/>
      <c r="D11" s="3"/>
      <c r="E11" s="5"/>
      <c r="F11" s="3"/>
      <c r="G11" s="25"/>
      <c r="H11" s="3"/>
      <c r="I11" s="3"/>
      <c r="J11" s="3"/>
      <c r="K11" s="17" t="s">
        <v>85</v>
      </c>
    </row>
    <row r="12" spans="1:11" ht="12.75">
      <c r="A12" s="3"/>
      <c r="B12" s="3"/>
      <c r="C12" s="44"/>
      <c r="D12" s="3"/>
      <c r="E12" s="5"/>
      <c r="F12" s="3"/>
      <c r="G12" s="25"/>
      <c r="H12" s="3"/>
      <c r="I12" s="3"/>
      <c r="J12" s="3"/>
      <c r="K12" s="3"/>
    </row>
    <row r="13" spans="1:11" ht="21.75" customHeight="1">
      <c r="A13" s="3" t="str">
        <f>DATA!A5</f>
        <v>CV</v>
      </c>
      <c r="B13" s="43" t="s">
        <v>75</v>
      </c>
      <c r="C13" s="44">
        <f>DATA!AC5</f>
        <v>0.095</v>
      </c>
      <c r="D13" s="19" t="s">
        <v>76</v>
      </c>
      <c r="E13" s="5">
        <f>'Ex9'!C23</f>
        <v>0.34545454545454535</v>
      </c>
      <c r="F13" s="19" t="s">
        <v>77</v>
      </c>
      <c r="G13" s="25">
        <f>'Ex10,p1'!F11</f>
        <v>1.1106508875739645</v>
      </c>
      <c r="H13" s="3" t="s">
        <v>60</v>
      </c>
      <c r="I13" s="6">
        <f>'Ex10,p1'!J11</f>
        <v>0.03596819526627219</v>
      </c>
      <c r="J13" s="3" t="s">
        <v>91</v>
      </c>
      <c r="K13" s="6">
        <f aca="true" t="shared" si="0" ref="K13:K23">(C13*(1-E13)/G13)+I13</f>
        <v>0.09195502143956615</v>
      </c>
    </row>
    <row r="14" spans="1:11" ht="21.75" customHeight="1">
      <c r="A14" s="3" t="str">
        <f>DATA!A6</f>
        <v>EAS</v>
      </c>
      <c r="B14" s="43" t="s">
        <v>75</v>
      </c>
      <c r="C14" s="44">
        <f>DATA!AC6</f>
        <v>0.095</v>
      </c>
      <c r="D14" s="19" t="s">
        <v>76</v>
      </c>
      <c r="E14" s="5">
        <f>'Ex9'!C40</f>
        <v>0.275</v>
      </c>
      <c r="F14" s="19" t="s">
        <v>77</v>
      </c>
      <c r="G14" s="25">
        <f>'Ex10,p1'!F12</f>
        <v>1.5286738351254479</v>
      </c>
      <c r="H14" s="3" t="s">
        <v>60</v>
      </c>
      <c r="I14" s="6">
        <f>'Ex10,p1'!J12</f>
        <v>0.04764336917562724</v>
      </c>
      <c r="J14" s="3" t="s">
        <v>91</v>
      </c>
      <c r="K14" s="6">
        <f t="shared" si="0"/>
        <v>0.092698761907163</v>
      </c>
    </row>
    <row r="15" spans="1:11" ht="21.75" customHeight="1">
      <c r="A15" s="3" t="str">
        <f>DATA!A7</f>
        <v>FE</v>
      </c>
      <c r="B15" s="43" t="s">
        <v>75</v>
      </c>
      <c r="C15" s="44">
        <f>DATA!AC7</f>
        <v>0.115</v>
      </c>
      <c r="D15" s="19" t="s">
        <v>76</v>
      </c>
      <c r="E15" s="5">
        <f>'Ex9'!C56</f>
        <v>0.5</v>
      </c>
      <c r="F15" s="19" t="s">
        <v>77</v>
      </c>
      <c r="G15" s="25">
        <f>'Ex10,p1'!F13</f>
        <v>1.7702591922845092</v>
      </c>
      <c r="H15" s="3" t="s">
        <v>60</v>
      </c>
      <c r="I15" s="6">
        <f>'Ex10,p1'!J13</f>
        <v>0.057702591922845096</v>
      </c>
      <c r="J15" s="3" t="s">
        <v>91</v>
      </c>
      <c r="K15" s="6">
        <f t="shared" si="0"/>
        <v>0.09018371121351608</v>
      </c>
    </row>
    <row r="16" spans="1:11" ht="21.75" customHeight="1">
      <c r="A16" s="3" t="str">
        <f>DATA!A8</f>
        <v>GMP</v>
      </c>
      <c r="B16" s="43" t="s">
        <v>75</v>
      </c>
      <c r="C16" s="44">
        <f>DATA!AC8</f>
        <v>0.1</v>
      </c>
      <c r="D16" s="19" t="s">
        <v>76</v>
      </c>
      <c r="E16" s="5">
        <f>'Ex9'!C79</f>
        <v>0.46122448979591835</v>
      </c>
      <c r="F16" s="19" t="s">
        <v>77</v>
      </c>
      <c r="G16" s="25">
        <f>'Ex10,p1'!F14</f>
        <v>1.367546296296296</v>
      </c>
      <c r="H16" s="3" t="s">
        <v>60</v>
      </c>
      <c r="I16" s="6">
        <f>'Ex10,p1'!J14</f>
        <v>0.06</v>
      </c>
      <c r="J16" s="3" t="s">
        <v>91</v>
      </c>
      <c r="K16" s="6">
        <f t="shared" si="0"/>
        <v>0.09939724100480099</v>
      </c>
    </row>
    <row r="17" spans="1:11" ht="21.75" customHeight="1">
      <c r="A17" s="3" t="str">
        <f>DATA!A9</f>
        <v>NU</v>
      </c>
      <c r="B17" s="43" t="s">
        <v>75</v>
      </c>
      <c r="C17" s="44">
        <f>DATA!AC9</f>
        <v>0.1</v>
      </c>
      <c r="D17" s="19" t="s">
        <v>76</v>
      </c>
      <c r="E17" s="5">
        <f>'Ex9'!C95</f>
        <v>0.515</v>
      </c>
      <c r="F17" s="19" t="s">
        <v>77</v>
      </c>
      <c r="G17" s="25">
        <f>'Ex10,p1'!F15</f>
        <v>1.253984220907298</v>
      </c>
      <c r="H17" s="3" t="s">
        <v>60</v>
      </c>
      <c r="I17" s="6">
        <f>'Ex10,p1'!J15</f>
        <v>0.055</v>
      </c>
      <c r="J17" s="3" t="s">
        <v>91</v>
      </c>
      <c r="K17" s="6">
        <f t="shared" si="0"/>
        <v>0.09367672271418909</v>
      </c>
    </row>
    <row r="18" spans="1:11" ht="21.75" customHeight="1">
      <c r="A18" s="3" t="str">
        <f>DATA!A10</f>
        <v>CIN</v>
      </c>
      <c r="B18" s="43" t="s">
        <v>75</v>
      </c>
      <c r="C18" s="44">
        <f>DATA!AC10</f>
        <v>0.11</v>
      </c>
      <c r="D18" s="19" t="s">
        <v>76</v>
      </c>
      <c r="E18" s="5">
        <f>'Ex9'!C111</f>
        <v>0.3396825396825396</v>
      </c>
      <c r="F18" s="19" t="s">
        <v>77</v>
      </c>
      <c r="G18" s="25">
        <f>'Ex10,p1'!F16</f>
        <v>1.8757372466806432</v>
      </c>
      <c r="H18" s="3" t="s">
        <v>60</v>
      </c>
      <c r="I18" s="6">
        <f>'Ex10,p1'!J16</f>
        <v>0.05313605870020965</v>
      </c>
      <c r="J18" s="3" t="s">
        <v>91</v>
      </c>
      <c r="K18" s="6">
        <f t="shared" si="0"/>
        <v>0.09185945706714907</v>
      </c>
    </row>
    <row r="19" spans="1:11" ht="21.75" customHeight="1">
      <c r="A19" s="3" t="str">
        <f>DATA!A11</f>
        <v>CNL</v>
      </c>
      <c r="B19" s="43" t="s">
        <v>75</v>
      </c>
      <c r="C19" s="44">
        <f>DATA!AC11</f>
        <v>0.11</v>
      </c>
      <c r="D19" s="19" t="s">
        <v>76</v>
      </c>
      <c r="E19" s="5">
        <f>'Ex9'!C134</f>
        <v>0.4</v>
      </c>
      <c r="F19" s="19" t="s">
        <v>77</v>
      </c>
      <c r="G19" s="25">
        <f>'Ex10,p1'!F17</f>
        <v>1.9650297619047616</v>
      </c>
      <c r="H19" s="3" t="s">
        <v>60</v>
      </c>
      <c r="I19" s="6">
        <f>'Ex10,p1'!J17</f>
        <v>0.047325148809523813</v>
      </c>
      <c r="J19" s="3" t="s">
        <v>91</v>
      </c>
      <c r="K19" s="6">
        <f t="shared" si="0"/>
        <v>0.08091242635590776</v>
      </c>
    </row>
    <row r="20" spans="1:11" ht="21.75" customHeight="1">
      <c r="A20" s="3" t="str">
        <f>DATA!A12</f>
        <v>EDE</v>
      </c>
      <c r="B20" s="43" t="s">
        <v>75</v>
      </c>
      <c r="C20" s="44">
        <f>DATA!AC12</f>
        <v>0.105</v>
      </c>
      <c r="D20" s="19" t="s">
        <v>76</v>
      </c>
      <c r="E20" s="5">
        <f>'Ex9'!C150</f>
        <v>0.26857142857142857</v>
      </c>
      <c r="F20" s="19" t="s">
        <v>77</v>
      </c>
      <c r="G20" s="25">
        <f>'Ex10,p1'!F18</f>
        <v>1.6259459459459462</v>
      </c>
      <c r="H20" s="3" t="s">
        <v>60</v>
      </c>
      <c r="I20" s="6">
        <f>'Ex10,p1'!J18</f>
        <v>0.04938918918918919</v>
      </c>
      <c r="J20" s="3" t="s">
        <v>91</v>
      </c>
      <c r="K20" s="6">
        <f t="shared" si="0"/>
        <v>0.09662323174238066</v>
      </c>
    </row>
    <row r="21" spans="1:11" ht="21.75" customHeight="1">
      <c r="A21" s="3" t="str">
        <f>DATA!A13</f>
        <v>ETR</v>
      </c>
      <c r="B21" s="43" t="s">
        <v>75</v>
      </c>
      <c r="C21" s="44">
        <f>DATA!AC13</f>
        <v>0.11</v>
      </c>
      <c r="D21" s="19" t="s">
        <v>76</v>
      </c>
      <c r="E21" s="5">
        <f>'Ex9'!C166</f>
        <v>0.45272727272727276</v>
      </c>
      <c r="F21" s="19" t="s">
        <v>77</v>
      </c>
      <c r="G21" s="25">
        <f>'Ex10,p1'!F19</f>
        <v>1.9138930659983286</v>
      </c>
      <c r="H21" s="3" t="s">
        <v>60</v>
      </c>
      <c r="I21" s="6">
        <f>'Ex10,p1'!J19</f>
        <v>0.06021526733500418</v>
      </c>
      <c r="J21" s="3" t="s">
        <v>91</v>
      </c>
      <c r="K21" s="6">
        <f t="shared" si="0"/>
        <v>0.09166948025290216</v>
      </c>
    </row>
    <row r="22" spans="1:11" ht="21.75" customHeight="1">
      <c r="A22" s="3" t="str">
        <f>DATA!A14</f>
        <v>AVA</v>
      </c>
      <c r="B22" s="43" t="s">
        <v>75</v>
      </c>
      <c r="C22" s="44">
        <f>DATA!AC14</f>
        <v>0.08</v>
      </c>
      <c r="D22" s="19" t="s">
        <v>76</v>
      </c>
      <c r="E22" s="5">
        <f>'Ex9'!C189</f>
        <v>0.5333333333333334</v>
      </c>
      <c r="F22" s="19" t="s">
        <v>77</v>
      </c>
      <c r="G22" s="25">
        <f>'Ex10,p1'!F20</f>
        <v>1.1410224948875254</v>
      </c>
      <c r="H22" s="3" t="s">
        <v>60</v>
      </c>
      <c r="I22" s="6">
        <f>'Ex10,p1'!J20</f>
        <v>0.05535255623721881</v>
      </c>
      <c r="J22" s="3" t="s">
        <v>91</v>
      </c>
      <c r="K22" s="6">
        <f t="shared" si="0"/>
        <v>0.0880717475770998</v>
      </c>
    </row>
    <row r="23" spans="1:11" ht="21.75" customHeight="1">
      <c r="A23" s="3" t="str">
        <f>DATA!A15</f>
        <v>HE</v>
      </c>
      <c r="B23" s="43" t="s">
        <v>75</v>
      </c>
      <c r="C23" s="44">
        <f>DATA!AC15</f>
        <v>0.105</v>
      </c>
      <c r="D23" s="19" t="s">
        <v>76</v>
      </c>
      <c r="E23" s="5">
        <f>'Ex9'!C205</f>
        <v>0.2914285714285715</v>
      </c>
      <c r="F23" s="19" t="s">
        <v>77</v>
      </c>
      <c r="G23" s="25">
        <f>'Ex10,p1'!F21</f>
        <v>1.7236613756613757</v>
      </c>
      <c r="H23" s="3" t="s">
        <v>60</v>
      </c>
      <c r="I23" s="6">
        <f>'Ex10,p1'!J21</f>
        <v>0.03883203703703704</v>
      </c>
      <c r="J23" s="3" t="s">
        <v>91</v>
      </c>
      <c r="K23" s="6">
        <f t="shared" si="0"/>
        <v>0.0819959676388076</v>
      </c>
    </row>
    <row r="24" spans="1:11" ht="21.75" customHeight="1">
      <c r="A24" s="3" t="str">
        <f>DATA!A16</f>
        <v>PNM</v>
      </c>
      <c r="B24" s="43" t="s">
        <v>75</v>
      </c>
      <c r="C24" s="44">
        <f>DATA!AC16</f>
        <v>0.075</v>
      </c>
      <c r="D24" s="19" t="s">
        <v>76</v>
      </c>
      <c r="E24" s="5">
        <f>'Ex9'!C221</f>
        <v>0.4375</v>
      </c>
      <c r="F24" s="19" t="s">
        <v>77</v>
      </c>
      <c r="G24" s="25">
        <f>'Ex10,p1'!F22</f>
        <v>1.567795698924731</v>
      </c>
      <c r="H24" s="3" t="s">
        <v>60</v>
      </c>
      <c r="I24" s="6">
        <f>'Ex10,p1'!J22</f>
        <v>0.062097446236559134</v>
      </c>
      <c r="J24" s="3" t="s">
        <v>91</v>
      </c>
      <c r="K24" s="6">
        <f>(C24*(1-E24)/G24)+I24</f>
        <v>0.08900624566044721</v>
      </c>
    </row>
    <row r="25" spans="1:11" ht="21.75" customHeight="1">
      <c r="A25" s="3" t="str">
        <f>DATA!A17</f>
        <v>PNW</v>
      </c>
      <c r="B25" s="43" t="s">
        <v>75</v>
      </c>
      <c r="C25" s="44">
        <f>DATA!AC17</f>
        <v>0.085</v>
      </c>
      <c r="D25" s="19" t="s">
        <v>76</v>
      </c>
      <c r="E25" s="5">
        <f>'Ex9'!C244</f>
        <v>0.2603174603174603</v>
      </c>
      <c r="F25" s="19" t="s">
        <v>77</v>
      </c>
      <c r="G25" s="25">
        <f>'Ex10,p1'!F23</f>
        <v>1.2951123864179819</v>
      </c>
      <c r="H25" s="3" t="s">
        <v>60</v>
      </c>
      <c r="I25" s="6">
        <f>'Ex10,p1'!J23</f>
        <v>0.047213342898134864</v>
      </c>
      <c r="J25" s="3" t="s">
        <v>91</v>
      </c>
      <c r="K25" s="6">
        <f>(C25*(1-E25)/G25)+I25</f>
        <v>0.0957597212143132</v>
      </c>
    </row>
    <row r="26" spans="1:11" ht="21.75" customHeight="1">
      <c r="A26" s="3" t="str">
        <f>DATA!A18</f>
        <v>PSD</v>
      </c>
      <c r="B26" s="43" t="s">
        <v>75</v>
      </c>
      <c r="C26" s="44">
        <f>DATA!AC18</f>
        <v>0.095</v>
      </c>
      <c r="D26" s="19" t="s">
        <v>76</v>
      </c>
      <c r="E26" s="5">
        <f>'Ex9'!C260</f>
        <v>0.36</v>
      </c>
      <c r="F26" s="19" t="s">
        <v>77</v>
      </c>
      <c r="G26" s="25">
        <f>'Ex10,p1'!F24</f>
        <v>1.3586206896551725</v>
      </c>
      <c r="H26" s="3" t="s">
        <v>60</v>
      </c>
      <c r="I26" s="6">
        <f>'Ex10,p1'!J24</f>
        <v>0.043586206896551724</v>
      </c>
      <c r="J26" s="3" t="s">
        <v>91</v>
      </c>
      <c r="K26" s="6">
        <f>(C26*(1-E26)/G26)+I26</f>
        <v>0.08833747593208471</v>
      </c>
    </row>
    <row r="27" spans="1:11" ht="21.75" customHeight="1">
      <c r="A27" s="3" t="str">
        <f>DATA!A19</f>
        <v>UNS</v>
      </c>
      <c r="B27" s="43" t="s">
        <v>75</v>
      </c>
      <c r="C27" s="44">
        <f>DATA!AC19</f>
        <v>0.085</v>
      </c>
      <c r="D27" s="19" t="s">
        <v>76</v>
      </c>
      <c r="E27" s="5">
        <f>'Ex9'!C276</f>
        <v>0.4736842105263158</v>
      </c>
      <c r="F27" s="19" t="s">
        <v>77</v>
      </c>
      <c r="G27" s="25">
        <f>'Ex10,p1'!F25</f>
        <v>1.6639858906525575</v>
      </c>
      <c r="H27" s="3" t="s">
        <v>60</v>
      </c>
      <c r="I27" s="6">
        <f>'Ex10,p1'!J25</f>
        <v>0.06831992945326279</v>
      </c>
      <c r="J27" s="3" t="s">
        <v>91</v>
      </c>
      <c r="K27" s="16">
        <f>(C27*(1-E27)/G27)+I27</f>
        <v>0.09520527887633928</v>
      </c>
    </row>
    <row r="28" spans="1:11" ht="21.75" customHeight="1">
      <c r="A28" s="3"/>
      <c r="B28" s="3"/>
      <c r="C28" s="44"/>
      <c r="D28" s="3"/>
      <c r="E28" s="5"/>
      <c r="F28" s="3"/>
      <c r="G28" s="25"/>
      <c r="H28" s="3"/>
      <c r="I28" s="3"/>
      <c r="J28" s="1"/>
      <c r="K28" s="1"/>
    </row>
    <row r="29" spans="1:11" ht="12.75">
      <c r="A29" s="3"/>
      <c r="B29" s="3"/>
      <c r="C29" s="44"/>
      <c r="D29" s="3"/>
      <c r="E29" s="5"/>
      <c r="F29" s="3"/>
      <c r="G29" s="25"/>
      <c r="H29" s="3"/>
      <c r="I29" s="3"/>
      <c r="J29" s="43" t="s">
        <v>111</v>
      </c>
      <c r="K29" s="34">
        <f>AVERAGE(K13:K23)</f>
        <v>0.09082216081031658</v>
      </c>
    </row>
    <row r="30" spans="1:11" ht="12.75">
      <c r="A30" s="3"/>
      <c r="B30" s="3"/>
      <c r="C30" s="44"/>
      <c r="D30" s="3"/>
      <c r="E30" s="5"/>
      <c r="F30" s="3"/>
      <c r="G30" s="25"/>
      <c r="H30" s="3"/>
      <c r="I30" s="3"/>
      <c r="J30" s="43"/>
      <c r="K30" s="34"/>
    </row>
    <row r="31" spans="1:11" ht="12.75">
      <c r="A31" s="3"/>
      <c r="B31" s="3"/>
      <c r="C31" s="44"/>
      <c r="D31" s="3"/>
      <c r="E31" s="5"/>
      <c r="F31" s="3"/>
      <c r="G31" s="25"/>
      <c r="H31" s="3"/>
      <c r="I31" s="3"/>
      <c r="J31" s="43" t="s">
        <v>136</v>
      </c>
      <c r="K31" s="34">
        <f>STDEV(K13:K23)</f>
        <v>0.00553180621774395</v>
      </c>
    </row>
    <row r="32" spans="1:11" ht="12.75">
      <c r="A32" s="1"/>
      <c r="B32" s="3"/>
      <c r="C32" s="44"/>
      <c r="D32" s="3"/>
      <c r="E32" s="5"/>
      <c r="F32" s="3"/>
      <c r="G32" s="25"/>
      <c r="H32" s="3"/>
      <c r="I32" s="3"/>
      <c r="J32" s="3"/>
      <c r="K32" s="6"/>
    </row>
    <row r="33" spans="1:11" ht="12.75">
      <c r="A33" s="3"/>
      <c r="B33" s="3"/>
      <c r="C33" s="44"/>
      <c r="D33" s="3"/>
      <c r="E33" s="5"/>
      <c r="F33" s="3"/>
      <c r="G33" s="25"/>
      <c r="H33" s="3"/>
      <c r="I33" s="3"/>
      <c r="J33" s="3"/>
      <c r="K33" s="3"/>
    </row>
    <row r="34" spans="3:11" ht="12.75">
      <c r="C34" s="44"/>
      <c r="D34" s="3"/>
      <c r="E34" s="5"/>
      <c r="F34" s="3"/>
      <c r="G34" s="25"/>
      <c r="H34" s="3"/>
      <c r="I34" s="3"/>
      <c r="J34" s="3"/>
      <c r="K34" s="3"/>
    </row>
    <row r="35" ht="12.75">
      <c r="A35" s="1" t="s">
        <v>16</v>
      </c>
    </row>
  </sheetData>
  <printOptions/>
  <pageMargins left="0.73" right="0.75" top="1" bottom="1" header="0.5" footer="0.5"/>
  <pageSetup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0"/>
  <sheetViews>
    <sheetView workbookViewId="0" topLeftCell="A509">
      <selection activeCell="B492" sqref="B492:G521"/>
    </sheetView>
  </sheetViews>
  <sheetFormatPr defaultColWidth="9.00390625" defaultRowHeight="12"/>
  <cols>
    <col min="1" max="1" width="10.875" style="51" customWidth="1"/>
    <col min="2" max="16384" width="11.375" style="0" customWidth="1"/>
  </cols>
  <sheetData>
    <row r="1" spans="1:7" s="54" customFormat="1" ht="12.75">
      <c r="A1" s="53" t="s">
        <v>52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30</v>
      </c>
    </row>
    <row r="2" spans="1:7" s="54" customFormat="1" ht="12.75">
      <c r="A2" s="53"/>
      <c r="B2" s="55">
        <v>37105</v>
      </c>
      <c r="C2">
        <v>19.35</v>
      </c>
      <c r="D2">
        <v>19.35</v>
      </c>
      <c r="E2">
        <v>18.86</v>
      </c>
      <c r="F2">
        <v>18.86</v>
      </c>
      <c r="G2">
        <v>19600</v>
      </c>
    </row>
    <row r="3" spans="1:7" s="54" customFormat="1" ht="12.75">
      <c r="A3" s="53"/>
      <c r="B3" s="55">
        <v>37104</v>
      </c>
      <c r="C3">
        <v>18.9</v>
      </c>
      <c r="D3">
        <v>19.58</v>
      </c>
      <c r="E3">
        <v>18.9</v>
      </c>
      <c r="F3">
        <v>19.38</v>
      </c>
      <c r="G3">
        <v>31700</v>
      </c>
    </row>
    <row r="4" spans="1:7" s="54" customFormat="1" ht="12.75">
      <c r="A4" s="53"/>
      <c r="B4" s="55">
        <v>37103</v>
      </c>
      <c r="C4">
        <v>18.52</v>
      </c>
      <c r="D4">
        <v>19.15</v>
      </c>
      <c r="E4">
        <v>18.52</v>
      </c>
      <c r="F4">
        <v>18.92</v>
      </c>
      <c r="G4">
        <v>29500</v>
      </c>
    </row>
    <row r="5" spans="1:7" s="54" customFormat="1" ht="12.75">
      <c r="A5" s="53"/>
      <c r="B5" s="55">
        <v>37100</v>
      </c>
      <c r="C5">
        <v>18.26</v>
      </c>
      <c r="D5">
        <v>18.94</v>
      </c>
      <c r="E5">
        <v>18.26</v>
      </c>
      <c r="F5">
        <v>18.6</v>
      </c>
      <c r="G5">
        <v>23200</v>
      </c>
    </row>
    <row r="6" spans="1:7" s="54" customFormat="1" ht="12.75">
      <c r="A6" s="53"/>
      <c r="B6" s="55">
        <v>37099</v>
      </c>
      <c r="C6">
        <v>18.2</v>
      </c>
      <c r="D6">
        <v>18.35</v>
      </c>
      <c r="E6">
        <v>18.18</v>
      </c>
      <c r="F6">
        <v>18.26</v>
      </c>
      <c r="G6">
        <v>25200</v>
      </c>
    </row>
    <row r="7" spans="1:7" s="54" customFormat="1" ht="12.75">
      <c r="A7" s="53"/>
      <c r="B7" s="55">
        <v>37098</v>
      </c>
      <c r="C7">
        <v>18.7</v>
      </c>
      <c r="D7">
        <v>18.85</v>
      </c>
      <c r="E7">
        <v>18.33</v>
      </c>
      <c r="F7">
        <v>18.45</v>
      </c>
      <c r="G7">
        <v>27600</v>
      </c>
    </row>
    <row r="8" spans="1:7" s="54" customFormat="1" ht="12.75">
      <c r="A8" s="53"/>
      <c r="B8" s="55">
        <v>37097</v>
      </c>
      <c r="C8">
        <v>18.65</v>
      </c>
      <c r="D8">
        <v>18.95</v>
      </c>
      <c r="E8">
        <v>18.21</v>
      </c>
      <c r="F8">
        <v>18.88</v>
      </c>
      <c r="G8">
        <v>45300</v>
      </c>
    </row>
    <row r="9" spans="1:7" s="54" customFormat="1" ht="12.75">
      <c r="A9" s="53"/>
      <c r="B9" s="55">
        <v>37096</v>
      </c>
      <c r="C9">
        <v>18.66</v>
      </c>
      <c r="D9">
        <v>18.81</v>
      </c>
      <c r="E9">
        <v>18.53</v>
      </c>
      <c r="F9">
        <v>18.6</v>
      </c>
      <c r="G9">
        <v>34700</v>
      </c>
    </row>
    <row r="10" spans="1:7" s="54" customFormat="1" ht="12.75">
      <c r="A10" s="53"/>
      <c r="B10" s="55">
        <v>37093</v>
      </c>
      <c r="C10">
        <v>18.51</v>
      </c>
      <c r="D10">
        <v>18.65</v>
      </c>
      <c r="E10">
        <v>18.04</v>
      </c>
      <c r="F10">
        <v>18.56</v>
      </c>
      <c r="G10">
        <v>33000</v>
      </c>
    </row>
    <row r="11" spans="1:7" s="54" customFormat="1" ht="12.75">
      <c r="A11" s="53"/>
      <c r="B11" s="55">
        <v>37092</v>
      </c>
      <c r="C11">
        <v>18.69</v>
      </c>
      <c r="D11">
        <v>18.72</v>
      </c>
      <c r="E11">
        <v>18.52</v>
      </c>
      <c r="F11">
        <v>18.56</v>
      </c>
      <c r="G11">
        <v>21000</v>
      </c>
    </row>
    <row r="12" spans="1:7" s="54" customFormat="1" ht="12.75">
      <c r="A12" s="53"/>
      <c r="B12" s="55">
        <v>37091</v>
      </c>
      <c r="C12">
        <v>18.66</v>
      </c>
      <c r="D12">
        <v>18.77</v>
      </c>
      <c r="E12">
        <v>18.66</v>
      </c>
      <c r="F12">
        <v>18.73</v>
      </c>
      <c r="G12">
        <v>23500</v>
      </c>
    </row>
    <row r="13" spans="1:7" s="54" customFormat="1" ht="12.75">
      <c r="A13" s="53"/>
      <c r="B13" s="55">
        <v>37090</v>
      </c>
      <c r="C13">
        <v>18.91</v>
      </c>
      <c r="D13">
        <v>18.91</v>
      </c>
      <c r="E13">
        <v>18.65</v>
      </c>
      <c r="F13">
        <v>18.77</v>
      </c>
      <c r="G13">
        <v>10500</v>
      </c>
    </row>
    <row r="14" spans="1:7" s="54" customFormat="1" ht="12.75">
      <c r="A14" s="53"/>
      <c r="B14" s="55">
        <v>37089</v>
      </c>
      <c r="C14">
        <v>18.85</v>
      </c>
      <c r="D14">
        <v>18.96</v>
      </c>
      <c r="E14">
        <v>18.65</v>
      </c>
      <c r="F14">
        <v>18.85</v>
      </c>
      <c r="G14">
        <v>84500</v>
      </c>
    </row>
    <row r="15" spans="1:7" s="54" customFormat="1" ht="12.75">
      <c r="A15" s="53"/>
      <c r="B15" s="55">
        <v>37086</v>
      </c>
      <c r="C15">
        <v>18.95</v>
      </c>
      <c r="D15">
        <v>19.05</v>
      </c>
      <c r="E15">
        <v>18.65</v>
      </c>
      <c r="F15">
        <v>18.86</v>
      </c>
      <c r="G15">
        <v>22600</v>
      </c>
    </row>
    <row r="16" spans="1:7" s="54" customFormat="1" ht="12.75">
      <c r="A16" s="53"/>
      <c r="B16" s="55">
        <v>37085</v>
      </c>
      <c r="C16">
        <v>19.25</v>
      </c>
      <c r="D16">
        <v>19.44</v>
      </c>
      <c r="E16">
        <v>19</v>
      </c>
      <c r="F16">
        <v>19</v>
      </c>
      <c r="G16">
        <v>20400</v>
      </c>
    </row>
    <row r="17" spans="1:7" s="54" customFormat="1" ht="12.75">
      <c r="A17" s="53"/>
      <c r="B17" s="55">
        <v>37084</v>
      </c>
      <c r="C17">
        <v>19.03</v>
      </c>
      <c r="D17">
        <v>19.39</v>
      </c>
      <c r="E17">
        <v>19</v>
      </c>
      <c r="F17">
        <v>19.25</v>
      </c>
      <c r="G17">
        <v>20300</v>
      </c>
    </row>
    <row r="18" spans="1:7" s="54" customFormat="1" ht="12.75">
      <c r="A18" s="53"/>
      <c r="B18" s="55">
        <v>37083</v>
      </c>
      <c r="C18">
        <v>18.88</v>
      </c>
      <c r="D18">
        <v>19.3</v>
      </c>
      <c r="E18">
        <v>18.88</v>
      </c>
      <c r="F18">
        <v>19.01</v>
      </c>
      <c r="G18">
        <v>25800</v>
      </c>
    </row>
    <row r="19" spans="1:7" s="54" customFormat="1" ht="12.75">
      <c r="A19" s="53"/>
      <c r="B19" s="55">
        <v>37082</v>
      </c>
      <c r="C19">
        <v>19</v>
      </c>
      <c r="D19">
        <v>19.02</v>
      </c>
      <c r="E19">
        <v>18.86</v>
      </c>
      <c r="F19">
        <v>18.9</v>
      </c>
      <c r="G19">
        <v>27400</v>
      </c>
    </row>
    <row r="20" spans="1:7" s="54" customFormat="1" ht="12.75">
      <c r="A20" s="53"/>
      <c r="B20" s="55">
        <v>37079</v>
      </c>
      <c r="C20">
        <v>18.7</v>
      </c>
      <c r="D20">
        <v>19.05</v>
      </c>
      <c r="E20">
        <v>18.6</v>
      </c>
      <c r="F20">
        <v>18.98</v>
      </c>
      <c r="G20">
        <v>26700</v>
      </c>
    </row>
    <row r="21" spans="1:7" s="54" customFormat="1" ht="12.75">
      <c r="A21" s="53"/>
      <c r="B21" s="55">
        <v>37078</v>
      </c>
      <c r="C21">
        <v>18.87</v>
      </c>
      <c r="D21">
        <v>18.95</v>
      </c>
      <c r="E21">
        <v>18.42</v>
      </c>
      <c r="F21">
        <v>18.68</v>
      </c>
      <c r="G21">
        <v>32600</v>
      </c>
    </row>
    <row r="22" spans="1:7" s="54" customFormat="1" ht="12.75">
      <c r="A22" s="53"/>
      <c r="B22" s="55">
        <v>37077</v>
      </c>
      <c r="C22">
        <v>19.2</v>
      </c>
      <c r="D22">
        <v>19.22</v>
      </c>
      <c r="E22">
        <v>18.65</v>
      </c>
      <c r="F22">
        <v>19</v>
      </c>
      <c r="G22">
        <v>29500</v>
      </c>
    </row>
    <row r="23" spans="1:7" s="54" customFormat="1" ht="12.75">
      <c r="A23" s="53"/>
      <c r="B23" s="55">
        <v>37076</v>
      </c>
      <c r="C23">
        <v>18.87</v>
      </c>
      <c r="D23">
        <v>19.1</v>
      </c>
      <c r="E23">
        <v>18.75</v>
      </c>
      <c r="F23">
        <v>18.99</v>
      </c>
      <c r="G23">
        <v>33000</v>
      </c>
    </row>
    <row r="24" spans="1:7" s="54" customFormat="1" ht="12.75">
      <c r="A24" s="53"/>
      <c r="B24" s="55">
        <v>37072</v>
      </c>
      <c r="C24">
        <v>18.54</v>
      </c>
      <c r="D24">
        <v>18.82</v>
      </c>
      <c r="E24">
        <v>18.5</v>
      </c>
      <c r="F24">
        <v>18.82</v>
      </c>
      <c r="G24">
        <v>15700</v>
      </c>
    </row>
    <row r="25" spans="1:7" s="54" customFormat="1" ht="12.75">
      <c r="A25" s="53"/>
      <c r="B25" s="55">
        <v>37071</v>
      </c>
      <c r="C25">
        <v>18.57</v>
      </c>
      <c r="D25">
        <v>18.73</v>
      </c>
      <c r="E25">
        <v>18.38</v>
      </c>
      <c r="F25">
        <v>18.5</v>
      </c>
      <c r="G25">
        <v>55700</v>
      </c>
    </row>
    <row r="26" spans="1:7" s="54" customFormat="1" ht="12.75">
      <c r="A26" s="53"/>
      <c r="B26" s="55">
        <v>37070</v>
      </c>
      <c r="C26">
        <v>18.2</v>
      </c>
      <c r="D26">
        <v>18.8</v>
      </c>
      <c r="E26">
        <v>18.2</v>
      </c>
      <c r="F26">
        <v>18.52</v>
      </c>
      <c r="G26">
        <v>88100</v>
      </c>
    </row>
    <row r="27" spans="1:7" s="54" customFormat="1" ht="12.75">
      <c r="A27" s="53"/>
      <c r="B27" s="55">
        <v>37069</v>
      </c>
      <c r="C27">
        <v>18.2</v>
      </c>
      <c r="D27">
        <v>18.49</v>
      </c>
      <c r="E27">
        <v>18.05</v>
      </c>
      <c r="F27">
        <v>18.21</v>
      </c>
      <c r="G27">
        <v>59800</v>
      </c>
    </row>
    <row r="28" spans="1:7" s="54" customFormat="1" ht="12.75">
      <c r="A28" s="53"/>
      <c r="B28" s="55">
        <v>37068</v>
      </c>
      <c r="C28">
        <v>18.5</v>
      </c>
      <c r="D28">
        <v>18.55</v>
      </c>
      <c r="E28">
        <v>18.02</v>
      </c>
      <c r="F28">
        <v>18.27</v>
      </c>
      <c r="G28">
        <v>58300</v>
      </c>
    </row>
    <row r="29" spans="1:7" s="54" customFormat="1" ht="12.75">
      <c r="A29" s="53"/>
      <c r="B29" s="55">
        <v>37065</v>
      </c>
      <c r="C29">
        <v>18.98</v>
      </c>
      <c r="D29">
        <v>19.04</v>
      </c>
      <c r="E29">
        <v>18.4</v>
      </c>
      <c r="F29">
        <v>18.57</v>
      </c>
      <c r="G29">
        <v>60100</v>
      </c>
    </row>
    <row r="30" spans="1:7" s="54" customFormat="1" ht="12.75">
      <c r="A30" s="53"/>
      <c r="B30" s="55">
        <v>37064</v>
      </c>
      <c r="C30">
        <v>19.13</v>
      </c>
      <c r="D30">
        <v>19.17</v>
      </c>
      <c r="E30">
        <v>18.91</v>
      </c>
      <c r="F30">
        <v>18.99</v>
      </c>
      <c r="G30">
        <v>26500</v>
      </c>
    </row>
    <row r="31" spans="1:7" s="54" customFormat="1" ht="12.75">
      <c r="A31" s="53"/>
      <c r="B31" s="55">
        <v>37063</v>
      </c>
      <c r="C31">
        <v>19.08</v>
      </c>
      <c r="D31">
        <v>19.23</v>
      </c>
      <c r="E31">
        <v>18.9</v>
      </c>
      <c r="F31">
        <v>19.13</v>
      </c>
      <c r="G31">
        <v>43600</v>
      </c>
    </row>
    <row r="32" spans="1:7" s="54" customFormat="1" ht="12.75">
      <c r="A32" s="53"/>
      <c r="B32" s="54" t="s">
        <v>111</v>
      </c>
      <c r="C32" s="56">
        <f>AVERAGE(C2:C31)</f>
        <v>18.760333333333335</v>
      </c>
      <c r="D32" s="56">
        <f>AVERAGE(D2:D31)</f>
        <v>18.978</v>
      </c>
      <c r="E32" s="56">
        <f>AVERAGE(E2:E31)</f>
        <v>18.54933333333333</v>
      </c>
      <c r="F32" s="57">
        <f>AVERAGE(F2:F31)</f>
        <v>18.769999999999996</v>
      </c>
      <c r="G32" s="56">
        <f>AVERAGE(G2:G31)</f>
        <v>35180</v>
      </c>
    </row>
    <row r="33" spans="1:7" s="54" customFormat="1" ht="12.75">
      <c r="A33" s="53"/>
      <c r="B33" s="54" t="s">
        <v>38</v>
      </c>
      <c r="C33" s="54">
        <f>MEDIAN(C2:C31)</f>
        <v>18.775</v>
      </c>
      <c r="D33" s="54">
        <f>MEDIAN(D2:D31)</f>
        <v>18.955</v>
      </c>
      <c r="E33" s="54">
        <f>MEDIAN(E2:E31)</f>
        <v>18.565</v>
      </c>
      <c r="F33" s="54">
        <f>MEDIAN(F2:F31)</f>
        <v>18.835</v>
      </c>
      <c r="G33" s="54">
        <f>MEDIAN(G2:G31)</f>
        <v>28550</v>
      </c>
    </row>
    <row r="34" spans="1:7" s="54" customFormat="1" ht="12.75">
      <c r="A34" s="53"/>
      <c r="B34" s="54" t="s">
        <v>139</v>
      </c>
      <c r="C34" s="54">
        <f>MAX(C2:C31)</f>
        <v>19.35</v>
      </c>
      <c r="D34" s="54">
        <f>MAX(D2:D31)</f>
        <v>19.58</v>
      </c>
      <c r="E34" s="54">
        <f>MAX(E2:E31)</f>
        <v>19</v>
      </c>
      <c r="F34" s="54">
        <f>MAX(F2:F31)</f>
        <v>19.38</v>
      </c>
      <c r="G34" s="54">
        <f>MAX(G2:G31)</f>
        <v>88100</v>
      </c>
    </row>
    <row r="35" spans="1:7" s="54" customFormat="1" ht="12.75">
      <c r="A35" s="53"/>
      <c r="B35" s="54" t="s">
        <v>140</v>
      </c>
      <c r="C35" s="54">
        <f>MIN(C2:C31)</f>
        <v>18.2</v>
      </c>
      <c r="D35" s="54">
        <f>MIN(D2:D31)</f>
        <v>18.35</v>
      </c>
      <c r="E35" s="54">
        <f>MIN(E2:E31)</f>
        <v>18.02</v>
      </c>
      <c r="F35" s="54">
        <f>MIN(F2:F31)</f>
        <v>18.21</v>
      </c>
      <c r="G35" s="54">
        <f>MIN(G2:G31)</f>
        <v>10500</v>
      </c>
    </row>
    <row r="36" spans="1:7" s="54" customFormat="1" ht="12.75">
      <c r="A36" s="53" t="s">
        <v>186</v>
      </c>
      <c r="B36" t="s">
        <v>25</v>
      </c>
      <c r="C36" t="s">
        <v>26</v>
      </c>
      <c r="D36" t="s">
        <v>27</v>
      </c>
      <c r="E36" t="s">
        <v>28</v>
      </c>
      <c r="F36" t="s">
        <v>29</v>
      </c>
      <c r="G36" t="s">
        <v>30</v>
      </c>
    </row>
    <row r="37" spans="1:7" s="54" customFormat="1" ht="12.75">
      <c r="A37" s="53"/>
      <c r="B37" s="55">
        <v>37105</v>
      </c>
      <c r="C37">
        <v>27.4</v>
      </c>
      <c r="D37">
        <v>27.67</v>
      </c>
      <c r="E37">
        <v>27.32</v>
      </c>
      <c r="F37">
        <v>27.58</v>
      </c>
      <c r="G37">
        <v>1293300</v>
      </c>
    </row>
    <row r="38" spans="1:7" s="54" customFormat="1" ht="12.75">
      <c r="A38" s="53"/>
      <c r="B38" s="55">
        <v>37104</v>
      </c>
      <c r="C38">
        <v>27.36</v>
      </c>
      <c r="D38">
        <v>27.52</v>
      </c>
      <c r="E38">
        <v>27.29</v>
      </c>
      <c r="F38">
        <v>27.4</v>
      </c>
      <c r="G38">
        <v>920800</v>
      </c>
    </row>
    <row r="39" spans="1:7" s="54" customFormat="1" ht="12.75">
      <c r="A39" s="53"/>
      <c r="B39" s="55">
        <v>37103</v>
      </c>
      <c r="C39">
        <v>27.9</v>
      </c>
      <c r="D39">
        <v>27.92</v>
      </c>
      <c r="E39">
        <v>27.29</v>
      </c>
      <c r="F39">
        <v>27.39</v>
      </c>
      <c r="G39">
        <v>423900</v>
      </c>
    </row>
    <row r="40" spans="1:7" s="54" customFormat="1" ht="12.75">
      <c r="A40" s="53"/>
      <c r="B40" s="55">
        <v>37100</v>
      </c>
      <c r="C40">
        <v>27.79</v>
      </c>
      <c r="D40">
        <v>27.88</v>
      </c>
      <c r="E40">
        <v>27.53</v>
      </c>
      <c r="F40">
        <v>27.87</v>
      </c>
      <c r="G40">
        <v>1069400</v>
      </c>
    </row>
    <row r="41" spans="1:7" s="54" customFormat="1" ht="12.75">
      <c r="A41" s="53"/>
      <c r="B41" s="55">
        <v>37099</v>
      </c>
      <c r="C41">
        <v>27.72</v>
      </c>
      <c r="D41">
        <v>27.9</v>
      </c>
      <c r="E41">
        <v>27.57</v>
      </c>
      <c r="F41">
        <v>27.89</v>
      </c>
      <c r="G41">
        <v>419700</v>
      </c>
    </row>
    <row r="42" spans="1:7" s="54" customFormat="1" ht="12.75">
      <c r="A42" s="53"/>
      <c r="B42" s="55">
        <v>37098</v>
      </c>
      <c r="C42">
        <v>27.7</v>
      </c>
      <c r="D42">
        <v>27.83</v>
      </c>
      <c r="E42">
        <v>27.54</v>
      </c>
      <c r="F42">
        <v>27.72</v>
      </c>
      <c r="G42">
        <v>448900</v>
      </c>
    </row>
    <row r="43" spans="1:7" s="54" customFormat="1" ht="12.75">
      <c r="A43" s="53"/>
      <c r="B43" s="55">
        <v>37097</v>
      </c>
      <c r="C43">
        <v>28.04</v>
      </c>
      <c r="D43">
        <v>28.05</v>
      </c>
      <c r="E43">
        <v>27.67</v>
      </c>
      <c r="F43">
        <v>27.67</v>
      </c>
      <c r="G43">
        <v>796300</v>
      </c>
    </row>
    <row r="44" spans="1:7" s="54" customFormat="1" ht="12.75">
      <c r="A44" s="53"/>
      <c r="B44" s="55">
        <v>37096</v>
      </c>
      <c r="C44">
        <v>28.07</v>
      </c>
      <c r="D44">
        <v>28.08</v>
      </c>
      <c r="E44">
        <v>27.8</v>
      </c>
      <c r="F44">
        <v>27.85</v>
      </c>
      <c r="G44">
        <v>688000</v>
      </c>
    </row>
    <row r="45" spans="1:7" s="54" customFormat="1" ht="12.75">
      <c r="A45" s="53"/>
      <c r="B45" s="55">
        <v>37093</v>
      </c>
      <c r="C45">
        <v>27.53</v>
      </c>
      <c r="D45">
        <v>28.08</v>
      </c>
      <c r="E45">
        <v>27.53</v>
      </c>
      <c r="F45">
        <v>28.08</v>
      </c>
      <c r="G45">
        <v>573400</v>
      </c>
    </row>
    <row r="46" spans="1:7" s="54" customFormat="1" ht="12.75">
      <c r="A46" s="53"/>
      <c r="B46" s="55">
        <v>37092</v>
      </c>
      <c r="C46">
        <v>27.71</v>
      </c>
      <c r="D46">
        <v>27.82</v>
      </c>
      <c r="E46">
        <v>27.2</v>
      </c>
      <c r="F46">
        <v>27.57</v>
      </c>
      <c r="G46">
        <v>644900</v>
      </c>
    </row>
    <row r="47" spans="1:7" s="54" customFormat="1" ht="12.75">
      <c r="A47" s="53"/>
      <c r="B47" s="55">
        <v>37091</v>
      </c>
      <c r="C47">
        <v>27.57</v>
      </c>
      <c r="D47">
        <v>27.96</v>
      </c>
      <c r="E47">
        <v>27.51</v>
      </c>
      <c r="F47">
        <v>27.85</v>
      </c>
      <c r="G47">
        <v>663200</v>
      </c>
    </row>
    <row r="48" spans="1:7" s="54" customFormat="1" ht="12.75">
      <c r="A48" s="53"/>
      <c r="B48" s="55">
        <v>37090</v>
      </c>
      <c r="C48">
        <v>28.03</v>
      </c>
      <c r="D48">
        <v>28.03</v>
      </c>
      <c r="E48">
        <v>27.55</v>
      </c>
      <c r="F48">
        <v>27.68</v>
      </c>
      <c r="G48">
        <v>780200</v>
      </c>
    </row>
    <row r="49" spans="1:7" s="54" customFormat="1" ht="12.75">
      <c r="A49" s="53"/>
      <c r="B49" s="55">
        <v>37089</v>
      </c>
      <c r="C49">
        <v>27.81</v>
      </c>
      <c r="D49">
        <v>27.95</v>
      </c>
      <c r="E49">
        <v>27.65</v>
      </c>
      <c r="F49">
        <v>27.87</v>
      </c>
      <c r="G49">
        <v>422900</v>
      </c>
    </row>
    <row r="50" spans="1:7" s="54" customFormat="1" ht="12.75">
      <c r="A50" s="53"/>
      <c r="B50" s="55">
        <v>37086</v>
      </c>
      <c r="C50">
        <v>27.86</v>
      </c>
      <c r="D50">
        <v>28.11</v>
      </c>
      <c r="E50">
        <v>27.79</v>
      </c>
      <c r="F50">
        <v>27.82</v>
      </c>
      <c r="G50">
        <v>788800</v>
      </c>
    </row>
    <row r="51" spans="1:7" s="54" customFormat="1" ht="12.75">
      <c r="A51" s="53"/>
      <c r="B51" s="55">
        <v>37085</v>
      </c>
      <c r="C51">
        <v>28.59</v>
      </c>
      <c r="D51">
        <v>28.65</v>
      </c>
      <c r="E51">
        <v>27.81</v>
      </c>
      <c r="F51">
        <v>28.11</v>
      </c>
      <c r="G51">
        <v>802900</v>
      </c>
    </row>
    <row r="52" spans="1:7" s="54" customFormat="1" ht="12.75">
      <c r="A52" s="53"/>
      <c r="B52" s="55">
        <v>37084</v>
      </c>
      <c r="C52">
        <v>28.85</v>
      </c>
      <c r="D52">
        <v>29</v>
      </c>
      <c r="E52">
        <v>28.72</v>
      </c>
      <c r="F52">
        <v>28.84</v>
      </c>
      <c r="G52">
        <v>575900</v>
      </c>
    </row>
    <row r="53" spans="1:7" s="54" customFormat="1" ht="12.75">
      <c r="A53" s="53"/>
      <c r="B53" s="55">
        <v>37083</v>
      </c>
      <c r="C53">
        <v>28.93</v>
      </c>
      <c r="D53">
        <v>29.01</v>
      </c>
      <c r="E53">
        <v>28.81</v>
      </c>
      <c r="F53">
        <v>28.9</v>
      </c>
      <c r="G53">
        <v>893700</v>
      </c>
    </row>
    <row r="54" spans="1:7" s="54" customFormat="1" ht="12.75">
      <c r="A54" s="53"/>
      <c r="B54" s="55">
        <v>37082</v>
      </c>
      <c r="C54">
        <v>29.28</v>
      </c>
      <c r="D54">
        <v>29.35</v>
      </c>
      <c r="E54">
        <v>28.94</v>
      </c>
      <c r="F54">
        <v>29.05</v>
      </c>
      <c r="G54">
        <v>458200</v>
      </c>
    </row>
    <row r="55" spans="1:7" s="54" customFormat="1" ht="12.75">
      <c r="A55" s="53"/>
      <c r="B55" s="55">
        <v>37079</v>
      </c>
      <c r="C55">
        <v>28.87</v>
      </c>
      <c r="D55">
        <v>29.21</v>
      </c>
      <c r="E55">
        <v>28.77</v>
      </c>
      <c r="F55">
        <v>29.14</v>
      </c>
      <c r="G55">
        <v>564300</v>
      </c>
    </row>
    <row r="56" spans="1:7" s="54" customFormat="1" ht="12.75">
      <c r="A56" s="53"/>
      <c r="B56" s="55">
        <v>37078</v>
      </c>
      <c r="C56">
        <v>28.7</v>
      </c>
      <c r="D56">
        <v>28.89</v>
      </c>
      <c r="E56">
        <v>28.66</v>
      </c>
      <c r="F56">
        <v>28.8</v>
      </c>
      <c r="G56">
        <v>523300</v>
      </c>
    </row>
    <row r="57" spans="1:7" s="54" customFormat="1" ht="12.75">
      <c r="A57" s="53"/>
      <c r="B57" s="55">
        <v>37077</v>
      </c>
      <c r="C57">
        <v>29.1</v>
      </c>
      <c r="D57">
        <v>29.18</v>
      </c>
      <c r="E57">
        <v>28.8</v>
      </c>
      <c r="F57">
        <v>28.87</v>
      </c>
      <c r="G57">
        <v>572200</v>
      </c>
    </row>
    <row r="58" spans="1:7" s="54" customFormat="1" ht="12.75">
      <c r="A58" s="53"/>
      <c r="B58" s="55">
        <v>37076</v>
      </c>
      <c r="C58">
        <v>29.12</v>
      </c>
      <c r="D58">
        <v>29.2</v>
      </c>
      <c r="E58">
        <v>28.91</v>
      </c>
      <c r="F58">
        <v>29.16</v>
      </c>
      <c r="G58">
        <v>463000</v>
      </c>
    </row>
    <row r="59" spans="1:7" s="54" customFormat="1" ht="12.75">
      <c r="A59" s="53"/>
      <c r="B59" s="55">
        <v>37072</v>
      </c>
      <c r="C59">
        <v>28.99</v>
      </c>
      <c r="D59">
        <v>29.28</v>
      </c>
      <c r="E59">
        <v>28.96</v>
      </c>
      <c r="F59">
        <v>29.27</v>
      </c>
      <c r="G59">
        <v>467400</v>
      </c>
    </row>
    <row r="60" spans="1:7" s="54" customFormat="1" ht="12.75">
      <c r="A60" s="53"/>
      <c r="B60" s="55">
        <v>37071</v>
      </c>
      <c r="C60">
        <v>29.2</v>
      </c>
      <c r="D60">
        <v>29.34</v>
      </c>
      <c r="E60">
        <v>28.98</v>
      </c>
      <c r="F60">
        <v>28.98</v>
      </c>
      <c r="G60">
        <v>462600</v>
      </c>
    </row>
    <row r="61" spans="1:7" s="54" customFormat="1" ht="12.75">
      <c r="A61" s="53"/>
      <c r="B61" s="55">
        <v>37070</v>
      </c>
      <c r="C61">
        <v>29.15</v>
      </c>
      <c r="D61">
        <v>29.37</v>
      </c>
      <c r="E61">
        <v>29.02</v>
      </c>
      <c r="F61">
        <v>29.24</v>
      </c>
      <c r="G61">
        <v>602700</v>
      </c>
    </row>
    <row r="62" spans="1:7" s="54" customFormat="1" ht="12.75">
      <c r="A62" s="53"/>
      <c r="B62" s="55">
        <v>37069</v>
      </c>
      <c r="C62">
        <v>28.99</v>
      </c>
      <c r="D62">
        <v>29.2</v>
      </c>
      <c r="E62">
        <v>28.95</v>
      </c>
      <c r="F62">
        <v>29.15</v>
      </c>
      <c r="G62">
        <v>430500</v>
      </c>
    </row>
    <row r="63" spans="1:7" s="54" customFormat="1" ht="12.75">
      <c r="A63" s="53"/>
      <c r="B63" s="55">
        <v>37068</v>
      </c>
      <c r="C63">
        <v>28.87</v>
      </c>
      <c r="D63">
        <v>29.08</v>
      </c>
      <c r="E63">
        <v>28.81</v>
      </c>
      <c r="F63">
        <v>29</v>
      </c>
      <c r="G63">
        <v>644600</v>
      </c>
    </row>
    <row r="64" spans="1:7" s="54" customFormat="1" ht="12.75">
      <c r="A64" s="53"/>
      <c r="B64" s="55">
        <v>37065</v>
      </c>
      <c r="C64">
        <v>28.8</v>
      </c>
      <c r="D64">
        <v>29.24</v>
      </c>
      <c r="E64">
        <v>28.75</v>
      </c>
      <c r="F64">
        <v>29.08</v>
      </c>
      <c r="G64">
        <v>713500</v>
      </c>
    </row>
    <row r="65" spans="1:7" s="54" customFormat="1" ht="12.75">
      <c r="A65" s="53"/>
      <c r="B65" s="55">
        <v>37064</v>
      </c>
      <c r="C65">
        <v>29.67</v>
      </c>
      <c r="D65">
        <v>29.76</v>
      </c>
      <c r="E65">
        <v>29.4</v>
      </c>
      <c r="F65">
        <v>29.57</v>
      </c>
      <c r="G65">
        <v>582900</v>
      </c>
    </row>
    <row r="66" spans="1:7" s="54" customFormat="1" ht="12.75">
      <c r="A66" s="53"/>
      <c r="B66" s="55">
        <v>37063</v>
      </c>
      <c r="C66">
        <v>29.64</v>
      </c>
      <c r="D66">
        <v>29.77</v>
      </c>
      <c r="E66">
        <v>29.5</v>
      </c>
      <c r="F66">
        <v>29.6</v>
      </c>
      <c r="G66">
        <v>633500</v>
      </c>
    </row>
    <row r="67" spans="1:7" s="54" customFormat="1" ht="12.75">
      <c r="A67" s="53"/>
      <c r="B67" s="54" t="s">
        <v>111</v>
      </c>
      <c r="C67" s="56">
        <f>AVERAGE(C37:C66)</f>
        <v>28.441333333333333</v>
      </c>
      <c r="D67" s="56">
        <f>AVERAGE(D37:D66)</f>
        <v>28.610999999999997</v>
      </c>
      <c r="E67" s="56">
        <f>AVERAGE(E37:E66)</f>
        <v>28.23433333333333</v>
      </c>
      <c r="F67" s="57">
        <f>AVERAGE(F37:F66)</f>
        <v>28.433333333333334</v>
      </c>
      <c r="G67" s="56">
        <f>AVERAGE(G37:G66)</f>
        <v>644163.3333333334</v>
      </c>
    </row>
    <row r="68" spans="1:7" s="54" customFormat="1" ht="12.75">
      <c r="A68" s="53"/>
      <c r="B68" s="54" t="s">
        <v>38</v>
      </c>
      <c r="C68" s="54">
        <f>MEDIAN(C37:C66)</f>
        <v>28.645</v>
      </c>
      <c r="D68" s="54">
        <f>MEDIAN(D37:D66)</f>
        <v>28.77</v>
      </c>
      <c r="E68" s="54">
        <f>MEDIAN(E37:E66)</f>
        <v>28.235</v>
      </c>
      <c r="F68" s="54">
        <f>MEDIAN(F37:F66)</f>
        <v>28.455</v>
      </c>
      <c r="G68" s="54">
        <f>MEDIAN(G37:G66)</f>
        <v>592800</v>
      </c>
    </row>
    <row r="69" spans="1:7" s="54" customFormat="1" ht="12.75">
      <c r="A69" s="53"/>
      <c r="B69" s="54" t="s">
        <v>139</v>
      </c>
      <c r="C69" s="54">
        <f>MAX(C37:C66)</f>
        <v>29.67</v>
      </c>
      <c r="D69" s="54">
        <f>MAX(D37:D66)</f>
        <v>29.77</v>
      </c>
      <c r="E69" s="54">
        <f>MAX(E37:E66)</f>
        <v>29.5</v>
      </c>
      <c r="F69" s="54">
        <f>MAX(F37:F66)</f>
        <v>29.6</v>
      </c>
      <c r="G69" s="54">
        <f>MAX(G37:G66)</f>
        <v>1293300</v>
      </c>
    </row>
    <row r="70" spans="1:7" s="54" customFormat="1" ht="12.75">
      <c r="A70" s="53"/>
      <c r="B70" s="54" t="s">
        <v>140</v>
      </c>
      <c r="C70" s="54">
        <f>MIN(C37:C66)</f>
        <v>27.36</v>
      </c>
      <c r="D70" s="54">
        <f>MIN(D37:D66)</f>
        <v>27.52</v>
      </c>
      <c r="E70" s="54">
        <f>MIN(E37:E66)</f>
        <v>27.2</v>
      </c>
      <c r="F70" s="54">
        <f>MIN(F37:F66)</f>
        <v>27.39</v>
      </c>
      <c r="G70" s="54">
        <f>MIN(G37:G66)</f>
        <v>419700</v>
      </c>
    </row>
    <row r="71" spans="1:7" s="54" customFormat="1" ht="12.75">
      <c r="A71" s="53" t="s">
        <v>53</v>
      </c>
      <c r="B71" t="s">
        <v>25</v>
      </c>
      <c r="C71" t="s">
        <v>26</v>
      </c>
      <c r="D71" t="s">
        <v>27</v>
      </c>
      <c r="E71" t="s">
        <v>28</v>
      </c>
      <c r="F71" t="s">
        <v>29</v>
      </c>
      <c r="G71" t="s">
        <v>30</v>
      </c>
    </row>
    <row r="72" spans="1:7" s="54" customFormat="1" ht="12.75">
      <c r="A72" s="53"/>
      <c r="B72" s="85">
        <v>37105</v>
      </c>
      <c r="C72" s="1">
        <v>49.34</v>
      </c>
      <c r="D72" s="1">
        <v>50.29</v>
      </c>
      <c r="E72" s="1">
        <v>49.3</v>
      </c>
      <c r="F72" s="1">
        <v>49.66</v>
      </c>
      <c r="G72" s="1">
        <v>1757000</v>
      </c>
    </row>
    <row r="73" spans="1:7" s="54" customFormat="1" ht="12.75">
      <c r="A73" s="53"/>
      <c r="B73" s="85">
        <v>37104</v>
      </c>
      <c r="C73" s="1">
        <v>49.17</v>
      </c>
      <c r="D73" s="1">
        <v>49.83</v>
      </c>
      <c r="E73" s="1">
        <v>49.17</v>
      </c>
      <c r="F73" s="1">
        <v>49.65</v>
      </c>
      <c r="G73" s="1">
        <v>1742300</v>
      </c>
    </row>
    <row r="74" spans="1:7" s="54" customFormat="1" ht="12.75">
      <c r="A74" s="53"/>
      <c r="B74" s="85">
        <v>37103</v>
      </c>
      <c r="C74" s="1">
        <v>49.9</v>
      </c>
      <c r="D74" s="1">
        <v>49.98</v>
      </c>
      <c r="E74" s="1">
        <v>48.89</v>
      </c>
      <c r="F74" s="1">
        <v>49</v>
      </c>
      <c r="G74" s="1">
        <v>998600</v>
      </c>
    </row>
    <row r="75" spans="1:7" s="54" customFormat="1" ht="12.75">
      <c r="A75" s="53"/>
      <c r="B75" s="85">
        <v>37100</v>
      </c>
      <c r="C75" s="1">
        <v>49.68</v>
      </c>
      <c r="D75" s="1">
        <v>50.14</v>
      </c>
      <c r="E75" s="1">
        <v>49.66</v>
      </c>
      <c r="F75" s="1">
        <v>49.78</v>
      </c>
      <c r="G75" s="1">
        <v>1217900</v>
      </c>
    </row>
    <row r="76" spans="1:7" s="54" customFormat="1" ht="12.75">
      <c r="A76" s="53"/>
      <c r="B76" s="85">
        <v>37099</v>
      </c>
      <c r="C76" s="1">
        <v>50</v>
      </c>
      <c r="D76" s="1">
        <v>50.19</v>
      </c>
      <c r="E76" s="1">
        <v>49.73</v>
      </c>
      <c r="F76" s="1">
        <v>50</v>
      </c>
      <c r="G76" s="1">
        <v>819300</v>
      </c>
    </row>
    <row r="77" spans="1:7" s="54" customFormat="1" ht="12.75">
      <c r="A77" s="53"/>
      <c r="B77" s="85">
        <v>37098</v>
      </c>
      <c r="C77" s="1">
        <v>50.1</v>
      </c>
      <c r="D77" s="1">
        <v>50.45</v>
      </c>
      <c r="E77" s="1">
        <v>49.78</v>
      </c>
      <c r="F77" s="1">
        <v>50</v>
      </c>
      <c r="G77" s="1">
        <v>1523100</v>
      </c>
    </row>
    <row r="78" spans="1:7" s="54" customFormat="1" ht="12.75">
      <c r="A78" s="53"/>
      <c r="B78" s="85">
        <v>37097</v>
      </c>
      <c r="C78" s="1">
        <v>48.7</v>
      </c>
      <c r="D78" s="1">
        <v>49.27</v>
      </c>
      <c r="E78" s="1">
        <v>48.7</v>
      </c>
      <c r="F78" s="1">
        <v>49</v>
      </c>
      <c r="G78" s="1">
        <v>826500</v>
      </c>
    </row>
    <row r="79" spans="1:7" s="54" customFormat="1" ht="12.75">
      <c r="A79" s="53"/>
      <c r="B79" s="85">
        <v>37096</v>
      </c>
      <c r="C79" s="1">
        <v>49.43</v>
      </c>
      <c r="D79" s="1">
        <v>49.76</v>
      </c>
      <c r="E79" s="1">
        <v>49.04</v>
      </c>
      <c r="F79" s="1">
        <v>49.04</v>
      </c>
      <c r="G79" s="1">
        <v>891800</v>
      </c>
    </row>
    <row r="80" spans="1:7" s="54" customFormat="1" ht="12.75">
      <c r="A80" s="53"/>
      <c r="B80" s="85">
        <v>37093</v>
      </c>
      <c r="C80" s="1">
        <v>49.2</v>
      </c>
      <c r="D80" s="1">
        <v>49.64</v>
      </c>
      <c r="E80" s="1">
        <v>49.08</v>
      </c>
      <c r="F80" s="1">
        <v>49.64</v>
      </c>
      <c r="G80" s="1">
        <v>527600</v>
      </c>
    </row>
    <row r="81" spans="1:7" s="54" customFormat="1" ht="12.75">
      <c r="A81" s="53"/>
      <c r="B81" s="85">
        <v>37092</v>
      </c>
      <c r="C81" s="1">
        <v>49.63</v>
      </c>
      <c r="D81" s="1">
        <v>49.73</v>
      </c>
      <c r="E81" s="1">
        <v>48.89</v>
      </c>
      <c r="F81" s="1">
        <v>49.18</v>
      </c>
      <c r="G81" s="1">
        <v>1245400</v>
      </c>
    </row>
    <row r="82" spans="1:7" s="54" customFormat="1" ht="12.75">
      <c r="A82" s="53"/>
      <c r="B82" s="85">
        <v>37091</v>
      </c>
      <c r="C82" s="1">
        <v>49.32</v>
      </c>
      <c r="D82" s="1">
        <v>49.74</v>
      </c>
      <c r="E82" s="1">
        <v>49.2</v>
      </c>
      <c r="F82" s="1">
        <v>49.58</v>
      </c>
      <c r="G82" s="1">
        <v>1261300</v>
      </c>
    </row>
    <row r="83" spans="1:7" s="54" customFormat="1" ht="12.75">
      <c r="A83" s="53"/>
      <c r="B83" s="85">
        <v>37090</v>
      </c>
      <c r="C83" s="1">
        <v>49.24</v>
      </c>
      <c r="D83" s="1">
        <v>49.5</v>
      </c>
      <c r="E83" s="1">
        <v>48.98</v>
      </c>
      <c r="F83" s="1">
        <v>49.34</v>
      </c>
      <c r="G83" s="1">
        <v>1176100</v>
      </c>
    </row>
    <row r="84" spans="1:7" s="54" customFormat="1" ht="12.75">
      <c r="A84" s="53"/>
      <c r="B84" s="85">
        <v>37089</v>
      </c>
      <c r="C84" s="1">
        <v>48.95</v>
      </c>
      <c r="D84" s="1">
        <v>49.25</v>
      </c>
      <c r="E84" s="1">
        <v>48.93</v>
      </c>
      <c r="F84" s="1">
        <v>49.12</v>
      </c>
      <c r="G84" s="1">
        <v>635900</v>
      </c>
    </row>
    <row r="85" spans="1:7" s="54" customFormat="1" ht="12.75">
      <c r="A85" s="53"/>
      <c r="B85" s="85">
        <v>37086</v>
      </c>
      <c r="C85" s="1">
        <v>49.21</v>
      </c>
      <c r="D85" s="1">
        <v>49.39</v>
      </c>
      <c r="E85" s="1">
        <v>48.92</v>
      </c>
      <c r="F85" s="1">
        <v>48.97</v>
      </c>
      <c r="G85" s="1">
        <v>1191500</v>
      </c>
    </row>
    <row r="86" spans="1:7" s="54" customFormat="1" ht="12.75">
      <c r="A86" s="53"/>
      <c r="B86" s="85">
        <v>37085</v>
      </c>
      <c r="C86" s="1">
        <v>49.55</v>
      </c>
      <c r="D86" s="1">
        <v>49.93</v>
      </c>
      <c r="E86" s="1">
        <v>49.1</v>
      </c>
      <c r="F86" s="1">
        <v>49.21</v>
      </c>
      <c r="G86" s="1">
        <v>1013700</v>
      </c>
    </row>
    <row r="87" spans="1:7" s="54" customFormat="1" ht="12.75">
      <c r="A87" s="53"/>
      <c r="B87" s="85">
        <v>37084</v>
      </c>
      <c r="C87" s="1">
        <v>49.52</v>
      </c>
      <c r="D87" s="1">
        <v>49.77</v>
      </c>
      <c r="E87" s="1">
        <v>49.39</v>
      </c>
      <c r="F87" s="1">
        <v>49.5</v>
      </c>
      <c r="G87" s="1">
        <v>745200</v>
      </c>
    </row>
    <row r="88" spans="1:7" s="54" customFormat="1" ht="12.75">
      <c r="A88" s="53"/>
      <c r="B88" s="85">
        <v>37083</v>
      </c>
      <c r="C88" s="1">
        <v>49.44</v>
      </c>
      <c r="D88" s="1">
        <v>49.7</v>
      </c>
      <c r="E88" s="1">
        <v>49.29</v>
      </c>
      <c r="F88" s="1">
        <v>49.52</v>
      </c>
      <c r="G88" s="1">
        <v>1009000</v>
      </c>
    </row>
    <row r="89" spans="1:7" s="54" customFormat="1" ht="12.75">
      <c r="A89" s="53"/>
      <c r="B89" s="85">
        <v>37082</v>
      </c>
      <c r="C89" s="1">
        <v>48.9</v>
      </c>
      <c r="D89" s="1">
        <v>49.64</v>
      </c>
      <c r="E89" s="1">
        <v>48.9</v>
      </c>
      <c r="F89" s="1">
        <v>49.63</v>
      </c>
      <c r="G89" s="1">
        <v>1047100</v>
      </c>
    </row>
    <row r="90" spans="1:7" s="54" customFormat="1" ht="12.75">
      <c r="A90" s="53"/>
      <c r="B90" s="85">
        <v>37079</v>
      </c>
      <c r="C90" s="1">
        <v>48.37</v>
      </c>
      <c r="D90" s="1">
        <v>49.09</v>
      </c>
      <c r="E90" s="1">
        <v>48.22</v>
      </c>
      <c r="F90" s="1">
        <v>49.02</v>
      </c>
      <c r="G90" s="1">
        <v>522000</v>
      </c>
    </row>
    <row r="91" spans="1:7" s="54" customFormat="1" ht="12.75">
      <c r="A91" s="53"/>
      <c r="B91" s="85">
        <v>37078</v>
      </c>
      <c r="C91" s="1">
        <v>47.7</v>
      </c>
      <c r="D91" s="1">
        <v>48.38</v>
      </c>
      <c r="E91" s="1">
        <v>47.46</v>
      </c>
      <c r="F91" s="1">
        <v>48.37</v>
      </c>
      <c r="G91" s="1">
        <v>719500</v>
      </c>
    </row>
    <row r="92" spans="1:7" s="54" customFormat="1" ht="12.75">
      <c r="A92" s="53"/>
      <c r="B92" s="85">
        <v>37077</v>
      </c>
      <c r="C92" s="1">
        <v>48.33</v>
      </c>
      <c r="D92" s="1">
        <v>48.87</v>
      </c>
      <c r="E92" s="1">
        <v>48.01</v>
      </c>
      <c r="F92" s="1">
        <v>48.03</v>
      </c>
      <c r="G92" s="1">
        <v>1596100</v>
      </c>
    </row>
    <row r="93" spans="1:7" s="54" customFormat="1" ht="12.75">
      <c r="A93" s="53"/>
      <c r="B93" s="85">
        <v>37076</v>
      </c>
      <c r="C93" s="1">
        <v>48.48</v>
      </c>
      <c r="D93" s="1">
        <v>48.71</v>
      </c>
      <c r="E93" s="1">
        <v>48.12</v>
      </c>
      <c r="F93" s="1">
        <v>48.51</v>
      </c>
      <c r="G93" s="1">
        <v>1114800</v>
      </c>
    </row>
    <row r="94" spans="1:7" s="54" customFormat="1" ht="12.75">
      <c r="A94" s="53"/>
      <c r="B94" s="85">
        <v>37072</v>
      </c>
      <c r="C94" s="1">
        <v>48.36</v>
      </c>
      <c r="D94" s="1">
        <v>48.85</v>
      </c>
      <c r="E94" s="1">
        <v>48.35</v>
      </c>
      <c r="F94" s="1">
        <v>48.71</v>
      </c>
      <c r="G94" s="1">
        <v>840100</v>
      </c>
    </row>
    <row r="95" spans="1:7" s="54" customFormat="1" ht="12.75">
      <c r="A95" s="53"/>
      <c r="B95" s="85">
        <v>37071</v>
      </c>
      <c r="C95" s="1">
        <v>48.57</v>
      </c>
      <c r="D95" s="1">
        <v>48.91</v>
      </c>
      <c r="E95" s="1">
        <v>48.01</v>
      </c>
      <c r="F95" s="1">
        <v>48.11</v>
      </c>
      <c r="G95" s="1">
        <v>861100</v>
      </c>
    </row>
    <row r="96" spans="1:7" s="54" customFormat="1" ht="12.75">
      <c r="A96" s="53"/>
      <c r="B96" s="85">
        <v>37070</v>
      </c>
      <c r="C96" s="1">
        <v>48.96</v>
      </c>
      <c r="D96" s="1">
        <v>48.96</v>
      </c>
      <c r="E96" s="1">
        <v>48.19</v>
      </c>
      <c r="F96" s="1">
        <v>48.67</v>
      </c>
      <c r="G96" s="1">
        <v>876600</v>
      </c>
    </row>
    <row r="97" spans="1:7" s="54" customFormat="1" ht="12.75">
      <c r="A97" s="53"/>
      <c r="B97" s="85">
        <v>37069</v>
      </c>
      <c r="C97" s="1">
        <v>47.71</v>
      </c>
      <c r="D97" s="1">
        <v>48.68</v>
      </c>
      <c r="E97" s="1">
        <v>47.66</v>
      </c>
      <c r="F97" s="1">
        <v>48.63</v>
      </c>
      <c r="G97" s="1">
        <v>1298200</v>
      </c>
    </row>
    <row r="98" spans="1:7" s="54" customFormat="1" ht="12.75">
      <c r="A98" s="53"/>
      <c r="B98" s="85">
        <v>37068</v>
      </c>
      <c r="C98" s="1">
        <v>47.48</v>
      </c>
      <c r="D98" s="1">
        <v>47.74</v>
      </c>
      <c r="E98" s="1">
        <v>47.06</v>
      </c>
      <c r="F98" s="1">
        <v>47.74</v>
      </c>
      <c r="G98" s="1">
        <v>1061000</v>
      </c>
    </row>
    <row r="99" spans="1:7" s="54" customFormat="1" ht="12.75">
      <c r="A99" s="53"/>
      <c r="B99" s="85">
        <v>37065</v>
      </c>
      <c r="C99" s="1">
        <v>47.88</v>
      </c>
      <c r="D99" s="1">
        <v>48.15</v>
      </c>
      <c r="E99" s="1">
        <v>47.56</v>
      </c>
      <c r="F99" s="1">
        <v>47.57</v>
      </c>
      <c r="G99" s="1">
        <v>1256100</v>
      </c>
    </row>
    <row r="100" spans="1:7" s="54" customFormat="1" ht="12.75">
      <c r="A100" s="53"/>
      <c r="B100" s="85">
        <v>37064</v>
      </c>
      <c r="C100" s="1">
        <v>47.38</v>
      </c>
      <c r="D100" s="1">
        <v>47.96</v>
      </c>
      <c r="E100" s="1">
        <v>47.27</v>
      </c>
      <c r="F100" s="1">
        <v>47.87</v>
      </c>
      <c r="G100" s="1">
        <v>1059700</v>
      </c>
    </row>
    <row r="101" spans="1:7" s="54" customFormat="1" ht="12.75">
      <c r="A101" s="53"/>
      <c r="B101" s="85">
        <v>37063</v>
      </c>
      <c r="C101" s="1">
        <v>47.31</v>
      </c>
      <c r="D101" s="1">
        <v>47.4</v>
      </c>
      <c r="E101" s="1">
        <v>46.91</v>
      </c>
      <c r="F101" s="1">
        <v>47.38</v>
      </c>
      <c r="G101" s="1">
        <v>1101500</v>
      </c>
    </row>
    <row r="102" spans="1:7" s="54" customFormat="1" ht="12.75">
      <c r="A102" s="53"/>
      <c r="B102" s="54" t="s">
        <v>111</v>
      </c>
      <c r="C102" s="56">
        <f>AVERAGE(C72:C101)</f>
        <v>48.86033333333334</v>
      </c>
      <c r="D102" s="56">
        <f>AVERAGE(D72:D101)</f>
        <v>49.26333333333334</v>
      </c>
      <c r="E102" s="56">
        <f>AVERAGE(E72:E101)</f>
        <v>48.59233333333332</v>
      </c>
      <c r="F102" s="57">
        <f>AVERAGE(F72:F101)</f>
        <v>48.94766666666668</v>
      </c>
      <c r="G102" s="56">
        <f>AVERAGE(G72:G101)</f>
        <v>1064533.3333333333</v>
      </c>
    </row>
    <row r="103" spans="1:7" s="54" customFormat="1" ht="12.75">
      <c r="A103" s="53"/>
      <c r="B103" s="54" t="s">
        <v>38</v>
      </c>
      <c r="C103" s="54">
        <f>MEDIAN(C72:C101)</f>
        <v>49.065</v>
      </c>
      <c r="D103" s="54">
        <f>MEDIAN(D72:D101)</f>
        <v>49.445</v>
      </c>
      <c r="E103" s="54">
        <f>MEDIAN(E72:E101)</f>
        <v>48.894999999999996</v>
      </c>
      <c r="F103" s="54">
        <f>MEDIAN(F72:F101)</f>
        <v>49.03</v>
      </c>
      <c r="G103" s="54">
        <f>MEDIAN(G72:G101)</f>
        <v>1053400</v>
      </c>
    </row>
    <row r="104" spans="1:7" s="54" customFormat="1" ht="12.75">
      <c r="A104" s="53"/>
      <c r="B104" s="54" t="s">
        <v>139</v>
      </c>
      <c r="C104" s="54">
        <f>MAX(C72:C101)</f>
        <v>50.1</v>
      </c>
      <c r="D104" s="54">
        <f>MAX(D72:D101)</f>
        <v>50.45</v>
      </c>
      <c r="E104" s="54">
        <f>MAX(E72:E101)</f>
        <v>49.78</v>
      </c>
      <c r="F104" s="54">
        <f>MAX(F72:F101)</f>
        <v>50</v>
      </c>
      <c r="G104" s="54">
        <f>MAX(G72:G101)</f>
        <v>1757000</v>
      </c>
    </row>
    <row r="105" spans="1:7" s="54" customFormat="1" ht="12.75">
      <c r="A105" s="53"/>
      <c r="B105" s="54" t="s">
        <v>140</v>
      </c>
      <c r="C105" s="54">
        <f>MIN(C72:C101)</f>
        <v>47.31</v>
      </c>
      <c r="D105" s="54">
        <f>MIN(D72:D101)</f>
        <v>47.4</v>
      </c>
      <c r="E105" s="54">
        <f>MIN(E72:E101)</f>
        <v>46.91</v>
      </c>
      <c r="F105" s="54">
        <f>MIN(F72:F101)</f>
        <v>47.38</v>
      </c>
      <c r="G105" s="54">
        <f>MIN(G72:G101)</f>
        <v>522000</v>
      </c>
    </row>
    <row r="106" spans="1:7" s="54" customFormat="1" ht="12.75">
      <c r="A106" s="53" t="s">
        <v>187</v>
      </c>
      <c r="B106" t="s">
        <v>25</v>
      </c>
      <c r="C106" t="s">
        <v>26</v>
      </c>
      <c r="D106" t="s">
        <v>27</v>
      </c>
      <c r="E106" t="s">
        <v>28</v>
      </c>
      <c r="F106" t="s">
        <v>29</v>
      </c>
      <c r="G106" t="s">
        <v>30</v>
      </c>
    </row>
    <row r="107" spans="1:7" s="54" customFormat="1" ht="12.75">
      <c r="A107" s="53"/>
      <c r="B107" s="55">
        <v>37105</v>
      </c>
      <c r="C107">
        <v>29.5</v>
      </c>
      <c r="D107">
        <v>29.89</v>
      </c>
      <c r="E107">
        <v>29.5</v>
      </c>
      <c r="F107">
        <v>29.89</v>
      </c>
      <c r="G107">
        <v>8100</v>
      </c>
    </row>
    <row r="108" spans="1:7" s="54" customFormat="1" ht="12.75">
      <c r="A108" s="53"/>
      <c r="B108" s="55">
        <v>37104</v>
      </c>
      <c r="C108">
        <v>29.28</v>
      </c>
      <c r="D108">
        <v>29.49</v>
      </c>
      <c r="E108">
        <v>29.12</v>
      </c>
      <c r="F108">
        <v>29.49</v>
      </c>
      <c r="G108">
        <v>2500</v>
      </c>
    </row>
    <row r="109" spans="1:7" s="54" customFormat="1" ht="12.75">
      <c r="A109" s="53"/>
      <c r="B109" s="55">
        <v>37103</v>
      </c>
      <c r="C109">
        <v>29.37</v>
      </c>
      <c r="D109">
        <v>29.68</v>
      </c>
      <c r="E109">
        <v>29.2</v>
      </c>
      <c r="F109">
        <v>29.48</v>
      </c>
      <c r="G109">
        <v>3700</v>
      </c>
    </row>
    <row r="110" spans="1:7" s="54" customFormat="1" ht="12.75">
      <c r="A110" s="53"/>
      <c r="B110" s="55">
        <v>37100</v>
      </c>
      <c r="C110">
        <v>29.3</v>
      </c>
      <c r="D110">
        <v>29.57</v>
      </c>
      <c r="E110">
        <v>29.3</v>
      </c>
      <c r="F110">
        <v>29.4</v>
      </c>
      <c r="G110">
        <v>3600</v>
      </c>
    </row>
    <row r="111" spans="1:7" s="54" customFormat="1" ht="12.75">
      <c r="A111" s="53"/>
      <c r="B111" s="55">
        <v>37099</v>
      </c>
      <c r="C111">
        <v>29.38</v>
      </c>
      <c r="D111">
        <v>29.38</v>
      </c>
      <c r="E111">
        <v>29.3</v>
      </c>
      <c r="F111">
        <v>29.31</v>
      </c>
      <c r="G111">
        <v>1600</v>
      </c>
    </row>
    <row r="112" spans="1:7" s="54" customFormat="1" ht="12.75">
      <c r="A112" s="53"/>
      <c r="B112" s="55">
        <v>37098</v>
      </c>
      <c r="C112">
        <v>29.6</v>
      </c>
      <c r="D112">
        <v>29.78</v>
      </c>
      <c r="E112">
        <v>29.4</v>
      </c>
      <c r="F112">
        <v>29.42</v>
      </c>
      <c r="G112">
        <v>4300</v>
      </c>
    </row>
    <row r="113" spans="1:7" s="54" customFormat="1" ht="12.75">
      <c r="A113" s="53"/>
      <c r="B113" s="55">
        <v>37097</v>
      </c>
      <c r="C113">
        <v>29.27</v>
      </c>
      <c r="D113">
        <v>30</v>
      </c>
      <c r="E113">
        <v>29.27</v>
      </c>
      <c r="F113">
        <v>29.85</v>
      </c>
      <c r="G113">
        <v>9600</v>
      </c>
    </row>
    <row r="114" spans="1:7" s="54" customFormat="1" ht="12.75">
      <c r="A114" s="53"/>
      <c r="B114" s="55">
        <v>37096</v>
      </c>
      <c r="C114">
        <v>29.37</v>
      </c>
      <c r="D114">
        <v>29.41</v>
      </c>
      <c r="E114">
        <v>29.27</v>
      </c>
      <c r="F114">
        <v>29.27</v>
      </c>
      <c r="G114">
        <v>3700</v>
      </c>
    </row>
    <row r="115" spans="1:7" s="54" customFormat="1" ht="12.75">
      <c r="A115" s="53"/>
      <c r="B115" s="55">
        <v>37093</v>
      </c>
      <c r="C115">
        <v>29.42</v>
      </c>
      <c r="D115">
        <v>29.42</v>
      </c>
      <c r="E115">
        <v>29.33</v>
      </c>
      <c r="F115">
        <v>29.33</v>
      </c>
      <c r="G115">
        <v>1300</v>
      </c>
    </row>
    <row r="116" spans="1:7" s="54" customFormat="1" ht="12.75">
      <c r="A116" s="53"/>
      <c r="B116" s="55">
        <v>37092</v>
      </c>
      <c r="C116">
        <v>29.7</v>
      </c>
      <c r="D116">
        <v>29.7</v>
      </c>
      <c r="E116">
        <v>29.5</v>
      </c>
      <c r="F116">
        <v>29.57</v>
      </c>
      <c r="G116">
        <v>4000</v>
      </c>
    </row>
    <row r="117" spans="1:7" s="54" customFormat="1" ht="12.75">
      <c r="A117" s="53"/>
      <c r="B117" s="55">
        <v>37091</v>
      </c>
      <c r="C117">
        <v>29.7</v>
      </c>
      <c r="D117">
        <v>29.7</v>
      </c>
      <c r="E117">
        <v>29.43</v>
      </c>
      <c r="F117">
        <v>29.45</v>
      </c>
      <c r="G117">
        <v>2600</v>
      </c>
    </row>
    <row r="118" spans="1:7" s="54" customFormat="1" ht="12.75">
      <c r="A118" s="53"/>
      <c r="B118" s="55">
        <v>37090</v>
      </c>
      <c r="C118">
        <v>29.78</v>
      </c>
      <c r="D118">
        <v>29.97</v>
      </c>
      <c r="E118">
        <v>29.78</v>
      </c>
      <c r="F118">
        <v>29.9</v>
      </c>
      <c r="G118">
        <v>2900</v>
      </c>
    </row>
    <row r="119" spans="1:7" s="54" customFormat="1" ht="12.75">
      <c r="A119" s="53"/>
      <c r="B119" s="55">
        <v>37089</v>
      </c>
      <c r="C119">
        <v>29.74</v>
      </c>
      <c r="D119">
        <v>29.93</v>
      </c>
      <c r="E119">
        <v>29.72</v>
      </c>
      <c r="F119">
        <v>29.93</v>
      </c>
      <c r="G119">
        <v>4300</v>
      </c>
    </row>
    <row r="120" spans="1:7" s="54" customFormat="1" ht="12.75">
      <c r="A120" s="53"/>
      <c r="B120" s="55">
        <v>37086</v>
      </c>
      <c r="C120">
        <v>29.75</v>
      </c>
      <c r="D120">
        <v>29.76</v>
      </c>
      <c r="E120">
        <v>29.7</v>
      </c>
      <c r="F120">
        <v>29.71</v>
      </c>
      <c r="G120">
        <v>2900</v>
      </c>
    </row>
    <row r="121" spans="1:7" s="54" customFormat="1" ht="12.75">
      <c r="A121" s="53"/>
      <c r="B121" s="55">
        <v>37085</v>
      </c>
      <c r="C121">
        <v>29.8</v>
      </c>
      <c r="D121">
        <v>29.9</v>
      </c>
      <c r="E121">
        <v>29.8</v>
      </c>
      <c r="F121">
        <v>29.81</v>
      </c>
      <c r="G121">
        <v>3500</v>
      </c>
    </row>
    <row r="122" spans="1:7" s="54" customFormat="1" ht="12.75">
      <c r="A122" s="53"/>
      <c r="B122" s="55">
        <v>37084</v>
      </c>
      <c r="C122">
        <v>29.78</v>
      </c>
      <c r="D122">
        <v>29.8</v>
      </c>
      <c r="E122">
        <v>29.75</v>
      </c>
      <c r="F122">
        <v>29.76</v>
      </c>
      <c r="G122">
        <v>1200</v>
      </c>
    </row>
    <row r="123" spans="1:7" s="54" customFormat="1" ht="12.75">
      <c r="A123" s="53"/>
      <c r="B123" s="55">
        <v>37083</v>
      </c>
      <c r="C123">
        <v>29.4</v>
      </c>
      <c r="D123">
        <v>29.62</v>
      </c>
      <c r="E123">
        <v>29.4</v>
      </c>
      <c r="F123">
        <v>29.6</v>
      </c>
      <c r="G123">
        <v>5200</v>
      </c>
    </row>
    <row r="124" spans="1:7" s="54" customFormat="1" ht="12.75">
      <c r="A124" s="53"/>
      <c r="B124" s="55">
        <v>37082</v>
      </c>
      <c r="C124">
        <v>29.3</v>
      </c>
      <c r="D124">
        <v>29.49</v>
      </c>
      <c r="E124">
        <v>29.3</v>
      </c>
      <c r="F124">
        <v>29.41</v>
      </c>
      <c r="G124">
        <v>4000</v>
      </c>
    </row>
    <row r="125" spans="1:7" s="54" customFormat="1" ht="12.75">
      <c r="A125" s="53"/>
      <c r="B125" s="55">
        <v>37079</v>
      </c>
      <c r="C125">
        <v>29.29</v>
      </c>
      <c r="D125">
        <v>29.43</v>
      </c>
      <c r="E125">
        <v>29.21</v>
      </c>
      <c r="F125">
        <v>29.43</v>
      </c>
      <c r="G125">
        <v>2200</v>
      </c>
    </row>
    <row r="126" spans="1:7" s="54" customFormat="1" ht="12.75">
      <c r="A126" s="53"/>
      <c r="B126" s="55">
        <v>37078</v>
      </c>
      <c r="C126">
        <v>29.18</v>
      </c>
      <c r="D126">
        <v>29.4</v>
      </c>
      <c r="E126">
        <v>29.1</v>
      </c>
      <c r="F126">
        <v>29.28</v>
      </c>
      <c r="G126">
        <v>2800</v>
      </c>
    </row>
    <row r="127" spans="1:7" s="54" customFormat="1" ht="12.75">
      <c r="A127" s="53"/>
      <c r="B127" s="55">
        <v>37077</v>
      </c>
      <c r="C127">
        <v>29.42</v>
      </c>
      <c r="D127">
        <v>29.69</v>
      </c>
      <c r="E127">
        <v>29.34</v>
      </c>
      <c r="F127">
        <v>29.48</v>
      </c>
      <c r="G127">
        <v>2600</v>
      </c>
    </row>
    <row r="128" spans="1:7" s="54" customFormat="1" ht="12.75">
      <c r="A128" s="53"/>
      <c r="B128" s="55">
        <v>37076</v>
      </c>
      <c r="C128">
        <v>29.6</v>
      </c>
      <c r="D128">
        <v>29.71</v>
      </c>
      <c r="E128">
        <v>29.6</v>
      </c>
      <c r="F128">
        <v>29.71</v>
      </c>
      <c r="G128">
        <v>900</v>
      </c>
    </row>
    <row r="129" spans="1:7" s="54" customFormat="1" ht="12.75">
      <c r="A129" s="53"/>
      <c r="B129" s="55">
        <v>37072</v>
      </c>
      <c r="C129">
        <v>29.44</v>
      </c>
      <c r="D129">
        <v>29.79</v>
      </c>
      <c r="E129">
        <v>29.42</v>
      </c>
      <c r="F129">
        <v>29.79</v>
      </c>
      <c r="G129">
        <v>6800</v>
      </c>
    </row>
    <row r="130" spans="1:7" s="54" customFormat="1" ht="12.75">
      <c r="A130" s="53"/>
      <c r="B130" s="55">
        <v>37071</v>
      </c>
      <c r="C130">
        <v>29.5</v>
      </c>
      <c r="D130">
        <v>29.85</v>
      </c>
      <c r="E130">
        <v>29.35</v>
      </c>
      <c r="F130">
        <v>29.84</v>
      </c>
      <c r="G130">
        <v>11300</v>
      </c>
    </row>
    <row r="131" spans="1:7" s="54" customFormat="1" ht="12.75">
      <c r="A131" s="53"/>
      <c r="B131" s="55">
        <v>37070</v>
      </c>
      <c r="C131">
        <v>29.49</v>
      </c>
      <c r="D131">
        <v>29.5</v>
      </c>
      <c r="E131">
        <v>29.33</v>
      </c>
      <c r="F131">
        <v>29.33</v>
      </c>
      <c r="G131">
        <v>1500</v>
      </c>
    </row>
    <row r="132" spans="1:7" s="54" customFormat="1" ht="12.75">
      <c r="A132" s="53"/>
      <c r="B132" s="55">
        <v>37069</v>
      </c>
      <c r="C132">
        <v>29.23</v>
      </c>
      <c r="D132">
        <v>29.42</v>
      </c>
      <c r="E132">
        <v>29.15</v>
      </c>
      <c r="F132">
        <v>29.34</v>
      </c>
      <c r="G132">
        <v>4500</v>
      </c>
    </row>
    <row r="133" spans="1:7" s="54" customFormat="1" ht="12.75">
      <c r="A133" s="53"/>
      <c r="B133" s="55">
        <v>37068</v>
      </c>
      <c r="C133">
        <v>29.19</v>
      </c>
      <c r="D133">
        <v>29.5</v>
      </c>
      <c r="E133">
        <v>29.19</v>
      </c>
      <c r="F133">
        <v>29.48</v>
      </c>
      <c r="G133">
        <v>5500</v>
      </c>
    </row>
    <row r="134" spans="1:7" s="54" customFormat="1" ht="12.75">
      <c r="A134" s="53"/>
      <c r="B134" s="55">
        <v>37065</v>
      </c>
      <c r="C134">
        <v>29.16</v>
      </c>
      <c r="D134">
        <v>29.33</v>
      </c>
      <c r="E134">
        <v>29.15</v>
      </c>
      <c r="F134">
        <v>29.17</v>
      </c>
      <c r="G134">
        <v>3200</v>
      </c>
    </row>
    <row r="135" spans="1:7" s="54" customFormat="1" ht="12.75">
      <c r="A135" s="53"/>
      <c r="B135" s="55">
        <v>37064</v>
      </c>
      <c r="C135">
        <v>29.25</v>
      </c>
      <c r="D135">
        <v>29.25</v>
      </c>
      <c r="E135">
        <v>28.95</v>
      </c>
      <c r="F135">
        <v>29.25</v>
      </c>
      <c r="G135">
        <v>4000</v>
      </c>
    </row>
    <row r="136" spans="1:7" s="54" customFormat="1" ht="12.75">
      <c r="A136" s="53"/>
      <c r="B136" s="55">
        <v>37063</v>
      </c>
      <c r="C136">
        <v>29.4</v>
      </c>
      <c r="D136">
        <v>29.49</v>
      </c>
      <c r="E136">
        <v>29.36</v>
      </c>
      <c r="F136">
        <v>29.49</v>
      </c>
      <c r="G136">
        <v>1200</v>
      </c>
    </row>
    <row r="137" spans="1:7" s="54" customFormat="1" ht="12.75">
      <c r="A137" s="53"/>
      <c r="B137" s="54" t="s">
        <v>111</v>
      </c>
      <c r="C137" s="56">
        <f>AVERAGE(C107:C136)</f>
        <v>29.452999999999996</v>
      </c>
      <c r="D137" s="56">
        <f>AVERAGE(D107:D136)</f>
        <v>29.628333333333334</v>
      </c>
      <c r="E137" s="56">
        <f>AVERAGE(E107:E136)</f>
        <v>29.37400000000001</v>
      </c>
      <c r="F137" s="57">
        <f>AVERAGE(F107:F136)</f>
        <v>29.538999999999998</v>
      </c>
      <c r="G137" s="56">
        <f>AVERAGE(G107:G136)</f>
        <v>3850</v>
      </c>
    </row>
    <row r="138" spans="1:7" s="54" customFormat="1" ht="12.75">
      <c r="A138" s="53"/>
      <c r="B138" s="54" t="s">
        <v>38</v>
      </c>
      <c r="C138" s="54">
        <f>MEDIAN(C107:C136)</f>
        <v>29.41</v>
      </c>
      <c r="D138" s="54">
        <f>MEDIAN(D107:D136)</f>
        <v>29.65</v>
      </c>
      <c r="E138" s="54">
        <f>MEDIAN(E107:E136)</f>
        <v>29.335</v>
      </c>
      <c r="F138" s="54">
        <f>MEDIAN(F107:F136)</f>
        <v>29.48</v>
      </c>
      <c r="G138" s="54">
        <f>MEDIAN(G107:G136)</f>
        <v>3550</v>
      </c>
    </row>
    <row r="139" spans="1:7" s="54" customFormat="1" ht="12.75">
      <c r="A139" s="53"/>
      <c r="B139" s="54" t="s">
        <v>139</v>
      </c>
      <c r="C139" s="54">
        <f>MAX(C107:C136)</f>
        <v>29.8</v>
      </c>
      <c r="D139" s="54">
        <f>MAX(D107:D136)</f>
        <v>30</v>
      </c>
      <c r="E139" s="54">
        <f>MAX(E107:E136)</f>
        <v>29.8</v>
      </c>
      <c r="F139" s="54">
        <f>MAX(F107:F136)</f>
        <v>29.93</v>
      </c>
      <c r="G139" s="54">
        <f>MAX(G107:G136)</f>
        <v>11300</v>
      </c>
    </row>
    <row r="140" spans="1:7" s="54" customFormat="1" ht="12.75">
      <c r="A140" s="53"/>
      <c r="B140" s="54" t="s">
        <v>140</v>
      </c>
      <c r="C140" s="54">
        <f>MIN(C107:C136)</f>
        <v>29.16</v>
      </c>
      <c r="D140" s="54">
        <f>MIN(D107:D136)</f>
        <v>29.25</v>
      </c>
      <c r="E140" s="54">
        <f>MIN(E107:E136)</f>
        <v>28.95</v>
      </c>
      <c r="F140" s="54">
        <f>MIN(F107:F136)</f>
        <v>29.17</v>
      </c>
      <c r="G140" s="54">
        <f>MIN(G107:G136)</f>
        <v>900</v>
      </c>
    </row>
    <row r="141" spans="1:7" s="54" customFormat="1" ht="12.75">
      <c r="A141" s="53" t="s">
        <v>174</v>
      </c>
      <c r="B141" t="s">
        <v>25</v>
      </c>
      <c r="C141" t="s">
        <v>26</v>
      </c>
      <c r="D141" t="s">
        <v>27</v>
      </c>
      <c r="E141" t="s">
        <v>28</v>
      </c>
      <c r="F141" t="s">
        <v>29</v>
      </c>
      <c r="G141" t="s">
        <v>30</v>
      </c>
    </row>
    <row r="142" spans="1:7" s="54" customFormat="1" ht="12.75">
      <c r="A142" s="53"/>
      <c r="B142" s="55">
        <v>37105</v>
      </c>
      <c r="C142">
        <v>21.79</v>
      </c>
      <c r="D142">
        <v>21.95</v>
      </c>
      <c r="E142">
        <v>21.52</v>
      </c>
      <c r="F142">
        <v>21.64</v>
      </c>
      <c r="G142">
        <v>522000</v>
      </c>
    </row>
    <row r="143" spans="1:7" s="54" customFormat="1" ht="12.75">
      <c r="A143" s="53"/>
      <c r="B143" s="55">
        <v>37104</v>
      </c>
      <c r="C143">
        <v>21.49</v>
      </c>
      <c r="D143">
        <v>21.81</v>
      </c>
      <c r="E143">
        <v>21.4</v>
      </c>
      <c r="F143">
        <v>21.79</v>
      </c>
      <c r="G143">
        <v>502200</v>
      </c>
    </row>
    <row r="144" spans="1:7" s="54" customFormat="1" ht="12.75">
      <c r="A144" s="53"/>
      <c r="B144" s="55">
        <v>37103</v>
      </c>
      <c r="C144">
        <v>21.58</v>
      </c>
      <c r="D144">
        <v>21.88</v>
      </c>
      <c r="E144">
        <v>21.33</v>
      </c>
      <c r="F144">
        <v>21.38</v>
      </c>
      <c r="G144">
        <v>804800</v>
      </c>
    </row>
    <row r="145" spans="1:7" s="54" customFormat="1" ht="12.75">
      <c r="A145" s="53"/>
      <c r="B145" s="55">
        <v>37100</v>
      </c>
      <c r="C145">
        <v>21.43</v>
      </c>
      <c r="D145">
        <v>21.61</v>
      </c>
      <c r="E145">
        <v>21.4</v>
      </c>
      <c r="F145">
        <v>21.58</v>
      </c>
      <c r="G145">
        <v>569000</v>
      </c>
    </row>
    <row r="146" spans="1:7" s="54" customFormat="1" ht="12.75">
      <c r="A146" s="53"/>
      <c r="B146" s="55">
        <v>37099</v>
      </c>
      <c r="C146">
        <v>21.25</v>
      </c>
      <c r="D146">
        <v>21.34</v>
      </c>
      <c r="E146">
        <v>21.05</v>
      </c>
      <c r="F146">
        <v>21.33</v>
      </c>
      <c r="G146">
        <v>354500</v>
      </c>
    </row>
    <row r="147" spans="1:7" s="54" customFormat="1" ht="12.75">
      <c r="A147" s="53"/>
      <c r="B147" s="55">
        <v>37098</v>
      </c>
      <c r="C147">
        <v>21.25</v>
      </c>
      <c r="D147">
        <v>21.42</v>
      </c>
      <c r="E147">
        <v>20.93</v>
      </c>
      <c r="F147">
        <v>21.25</v>
      </c>
      <c r="G147">
        <v>806000</v>
      </c>
    </row>
    <row r="148" spans="1:7" s="54" customFormat="1" ht="12.75">
      <c r="A148" s="53"/>
      <c r="B148" s="55">
        <v>37097</v>
      </c>
      <c r="C148">
        <v>21.42</v>
      </c>
      <c r="D148">
        <v>21.58</v>
      </c>
      <c r="E148">
        <v>21.07</v>
      </c>
      <c r="F148">
        <v>21.43</v>
      </c>
      <c r="G148">
        <v>473500</v>
      </c>
    </row>
    <row r="149" spans="1:7" s="54" customFormat="1" ht="12.75">
      <c r="A149" s="53"/>
      <c r="B149" s="55">
        <v>37096</v>
      </c>
      <c r="C149">
        <v>21.31</v>
      </c>
      <c r="D149">
        <v>21.53</v>
      </c>
      <c r="E149">
        <v>21.2</v>
      </c>
      <c r="F149">
        <v>21.35</v>
      </c>
      <c r="G149">
        <v>777100</v>
      </c>
    </row>
    <row r="150" spans="1:7" s="54" customFormat="1" ht="12.75">
      <c r="A150" s="53"/>
      <c r="B150" s="55">
        <v>37093</v>
      </c>
      <c r="C150">
        <v>21.06</v>
      </c>
      <c r="D150">
        <v>21.38</v>
      </c>
      <c r="E150">
        <v>21.06</v>
      </c>
      <c r="F150">
        <v>21.34</v>
      </c>
      <c r="G150">
        <v>330800</v>
      </c>
    </row>
    <row r="151" spans="1:7" s="54" customFormat="1" ht="12.75">
      <c r="A151" s="53"/>
      <c r="B151" s="55">
        <v>37092</v>
      </c>
      <c r="C151">
        <v>21.42</v>
      </c>
      <c r="D151">
        <v>21.48</v>
      </c>
      <c r="E151">
        <v>20.98</v>
      </c>
      <c r="F151">
        <v>21.13</v>
      </c>
      <c r="G151">
        <v>482200</v>
      </c>
    </row>
    <row r="152" spans="1:7" s="54" customFormat="1" ht="12.75">
      <c r="A152" s="53"/>
      <c r="B152" s="55">
        <v>37091</v>
      </c>
      <c r="C152">
        <v>21.46</v>
      </c>
      <c r="D152">
        <v>21.52</v>
      </c>
      <c r="E152">
        <v>21.3</v>
      </c>
      <c r="F152">
        <v>21.42</v>
      </c>
      <c r="G152">
        <v>349300</v>
      </c>
    </row>
    <row r="153" spans="1:7" s="54" customFormat="1" ht="12.75">
      <c r="A153" s="53"/>
      <c r="B153" s="55">
        <v>37090</v>
      </c>
      <c r="C153">
        <v>21.48</v>
      </c>
      <c r="D153">
        <v>21.53</v>
      </c>
      <c r="E153">
        <v>21.36</v>
      </c>
      <c r="F153">
        <v>21.5</v>
      </c>
      <c r="G153">
        <v>361700</v>
      </c>
    </row>
    <row r="154" spans="1:7" s="54" customFormat="1" ht="12.75">
      <c r="A154" s="53"/>
      <c r="B154" s="55">
        <v>37089</v>
      </c>
      <c r="C154">
        <v>21.47</v>
      </c>
      <c r="D154">
        <v>21.62</v>
      </c>
      <c r="E154">
        <v>21.42</v>
      </c>
      <c r="F154">
        <v>21.45</v>
      </c>
      <c r="G154">
        <v>432700</v>
      </c>
    </row>
    <row r="155" spans="1:7" s="54" customFormat="1" ht="12.75">
      <c r="A155" s="53"/>
      <c r="B155" s="55">
        <v>37086</v>
      </c>
      <c r="C155">
        <v>21.49</v>
      </c>
      <c r="D155">
        <v>21.71</v>
      </c>
      <c r="E155">
        <v>21.44</v>
      </c>
      <c r="F155">
        <v>21.52</v>
      </c>
      <c r="G155">
        <v>699800</v>
      </c>
    </row>
    <row r="156" spans="1:7" s="54" customFormat="1" ht="12.75">
      <c r="A156" s="53"/>
      <c r="B156" s="55">
        <v>37085</v>
      </c>
      <c r="C156">
        <v>21.39</v>
      </c>
      <c r="D156">
        <v>21.74</v>
      </c>
      <c r="E156">
        <v>21.23</v>
      </c>
      <c r="F156">
        <v>21.52</v>
      </c>
      <c r="G156">
        <v>1150400</v>
      </c>
    </row>
    <row r="157" spans="1:7" s="54" customFormat="1" ht="12.75">
      <c r="A157" s="53"/>
      <c r="B157" s="55">
        <v>37084</v>
      </c>
      <c r="C157">
        <v>21.23</v>
      </c>
      <c r="D157">
        <v>21.56</v>
      </c>
      <c r="E157">
        <v>21.17</v>
      </c>
      <c r="F157">
        <v>21.42</v>
      </c>
      <c r="G157">
        <v>1225400</v>
      </c>
    </row>
    <row r="158" spans="1:7" s="54" customFormat="1" ht="12.75">
      <c r="A158" s="53"/>
      <c r="B158" s="55">
        <v>37083</v>
      </c>
      <c r="C158">
        <v>20.94</v>
      </c>
      <c r="D158">
        <v>21.2</v>
      </c>
      <c r="E158">
        <v>20.94</v>
      </c>
      <c r="F158">
        <v>21.06</v>
      </c>
      <c r="G158">
        <v>601400</v>
      </c>
    </row>
    <row r="159" spans="1:7" s="54" customFormat="1" ht="12.75">
      <c r="A159" s="53"/>
      <c r="B159" s="55">
        <v>37082</v>
      </c>
      <c r="C159">
        <v>20.95</v>
      </c>
      <c r="D159">
        <v>20.99</v>
      </c>
      <c r="E159">
        <v>20.85</v>
      </c>
      <c r="F159">
        <v>20.97</v>
      </c>
      <c r="G159">
        <v>425800</v>
      </c>
    </row>
    <row r="160" spans="1:7" s="54" customFormat="1" ht="12.75">
      <c r="A160" s="53"/>
      <c r="B160" s="55">
        <v>37079</v>
      </c>
      <c r="C160">
        <v>20.71</v>
      </c>
      <c r="D160">
        <v>20.95</v>
      </c>
      <c r="E160">
        <v>20.65</v>
      </c>
      <c r="F160">
        <v>20.89</v>
      </c>
      <c r="G160">
        <v>530700</v>
      </c>
    </row>
    <row r="161" spans="1:7" s="54" customFormat="1" ht="12.75">
      <c r="A161" s="53"/>
      <c r="B161" s="55">
        <v>37078</v>
      </c>
      <c r="C161">
        <v>20.46</v>
      </c>
      <c r="D161">
        <v>20.71</v>
      </c>
      <c r="E161">
        <v>20.41</v>
      </c>
      <c r="F161">
        <v>20.69</v>
      </c>
      <c r="G161">
        <v>684700</v>
      </c>
    </row>
    <row r="162" spans="1:7" s="54" customFormat="1" ht="12.75">
      <c r="A162" s="53"/>
      <c r="B162" s="55">
        <v>37077</v>
      </c>
      <c r="C162">
        <v>21</v>
      </c>
      <c r="D162">
        <v>21.01</v>
      </c>
      <c r="E162">
        <v>20.63</v>
      </c>
      <c r="F162">
        <v>20.65</v>
      </c>
      <c r="G162">
        <v>473300</v>
      </c>
    </row>
    <row r="163" spans="1:7" s="54" customFormat="1" ht="12.75">
      <c r="A163" s="53"/>
      <c r="B163" s="55">
        <v>37076</v>
      </c>
      <c r="C163">
        <v>20.96</v>
      </c>
      <c r="D163">
        <v>21.06</v>
      </c>
      <c r="E163">
        <v>20.8</v>
      </c>
      <c r="F163">
        <v>21.06</v>
      </c>
      <c r="G163">
        <v>943200</v>
      </c>
    </row>
    <row r="164" spans="1:7" s="54" customFormat="1" ht="12.75">
      <c r="A164" s="53"/>
      <c r="B164" s="55">
        <v>37072</v>
      </c>
      <c r="C164">
        <v>20.9</v>
      </c>
      <c r="D164">
        <v>21.05</v>
      </c>
      <c r="E164">
        <v>20.89</v>
      </c>
      <c r="F164">
        <v>20.99</v>
      </c>
      <c r="G164">
        <v>436300</v>
      </c>
    </row>
    <row r="165" spans="1:7" s="54" customFormat="1" ht="12.75">
      <c r="A165" s="53"/>
      <c r="B165" s="55">
        <v>37071</v>
      </c>
      <c r="C165">
        <v>20.99</v>
      </c>
      <c r="D165">
        <v>21.03</v>
      </c>
      <c r="E165">
        <v>20.86</v>
      </c>
      <c r="F165">
        <v>20.86</v>
      </c>
      <c r="G165">
        <v>588600</v>
      </c>
    </row>
    <row r="166" spans="1:7" s="54" customFormat="1" ht="12.75">
      <c r="A166" s="53"/>
      <c r="B166" s="55">
        <v>37070</v>
      </c>
      <c r="C166">
        <v>20.98</v>
      </c>
      <c r="D166">
        <v>20.98</v>
      </c>
      <c r="E166">
        <v>20.83</v>
      </c>
      <c r="F166">
        <v>20.97</v>
      </c>
      <c r="G166">
        <v>344400</v>
      </c>
    </row>
    <row r="167" spans="1:7" s="54" customFormat="1" ht="12.75">
      <c r="A167" s="53"/>
      <c r="B167" s="55">
        <v>37069</v>
      </c>
      <c r="C167">
        <v>20.95</v>
      </c>
      <c r="D167">
        <v>21</v>
      </c>
      <c r="E167">
        <v>20.87</v>
      </c>
      <c r="F167">
        <v>20.9</v>
      </c>
      <c r="G167">
        <v>530200</v>
      </c>
    </row>
    <row r="168" spans="1:7" s="54" customFormat="1" ht="12.75">
      <c r="A168" s="53"/>
      <c r="B168" s="55">
        <v>37068</v>
      </c>
      <c r="C168">
        <v>20.72</v>
      </c>
      <c r="D168">
        <v>20.97</v>
      </c>
      <c r="E168">
        <v>20.65</v>
      </c>
      <c r="F168">
        <v>20.85</v>
      </c>
      <c r="G168">
        <v>503200</v>
      </c>
    </row>
    <row r="169" spans="1:7" s="54" customFormat="1" ht="12.75">
      <c r="A169" s="53"/>
      <c r="B169" s="55">
        <v>37065</v>
      </c>
      <c r="C169">
        <v>21</v>
      </c>
      <c r="D169">
        <v>21</v>
      </c>
      <c r="E169">
        <v>20.71</v>
      </c>
      <c r="F169">
        <v>20.72</v>
      </c>
      <c r="G169">
        <v>429800</v>
      </c>
    </row>
    <row r="170" spans="1:7" s="54" customFormat="1" ht="12.75">
      <c r="A170" s="53"/>
      <c r="B170" s="55">
        <v>37064</v>
      </c>
      <c r="C170">
        <v>21</v>
      </c>
      <c r="D170">
        <v>21.13</v>
      </c>
      <c r="E170">
        <v>20.96</v>
      </c>
      <c r="F170">
        <v>21.11</v>
      </c>
      <c r="G170">
        <v>350400</v>
      </c>
    </row>
    <row r="171" spans="1:7" s="54" customFormat="1" ht="12.75">
      <c r="A171" s="53"/>
      <c r="B171" s="55">
        <v>37063</v>
      </c>
      <c r="C171">
        <v>21.05</v>
      </c>
      <c r="D171">
        <v>21.15</v>
      </c>
      <c r="E171">
        <v>20.82</v>
      </c>
      <c r="F171">
        <v>21</v>
      </c>
      <c r="G171">
        <v>740900</v>
      </c>
    </row>
    <row r="172" spans="1:7" s="54" customFormat="1" ht="12.75">
      <c r="A172" s="53"/>
      <c r="B172" s="54" t="s">
        <v>111</v>
      </c>
      <c r="C172" s="56">
        <f>AVERAGE(C142:C171)</f>
        <v>21.170999999999996</v>
      </c>
      <c r="D172" s="56">
        <f>AVERAGE(D142:D171)</f>
        <v>21.329666666666665</v>
      </c>
      <c r="E172" s="56">
        <f>AVERAGE(E142:E171)</f>
        <v>21.024333333333338</v>
      </c>
      <c r="F172" s="57">
        <f>AVERAGE(F142:F171)</f>
        <v>21.192333333333334</v>
      </c>
      <c r="G172" s="56">
        <f>AVERAGE(G142:G171)</f>
        <v>580810</v>
      </c>
    </row>
    <row r="173" spans="1:7" s="54" customFormat="1" ht="12.75">
      <c r="A173" s="53"/>
      <c r="B173" s="54" t="s">
        <v>38</v>
      </c>
      <c r="C173" s="54">
        <f>MEDIAN(C142:C171)</f>
        <v>21.145</v>
      </c>
      <c r="D173" s="54">
        <f>MEDIAN(D142:D171)</f>
        <v>21.36</v>
      </c>
      <c r="E173" s="54">
        <f>MEDIAN(E142:E171)</f>
        <v>20.97</v>
      </c>
      <c r="F173" s="54">
        <f>MEDIAN(F142:F171)</f>
        <v>21.189999999999998</v>
      </c>
      <c r="G173" s="54">
        <f>MEDIAN(G142:G171)</f>
        <v>512600</v>
      </c>
    </row>
    <row r="174" spans="1:7" s="54" customFormat="1" ht="12.75">
      <c r="A174" s="53"/>
      <c r="B174" s="54" t="s">
        <v>139</v>
      </c>
      <c r="C174" s="54">
        <f>MAX(C142:C171)</f>
        <v>21.79</v>
      </c>
      <c r="D174" s="54">
        <f>MAX(D142:D171)</f>
        <v>21.95</v>
      </c>
      <c r="E174" s="54">
        <f>MAX(E142:E171)</f>
        <v>21.52</v>
      </c>
      <c r="F174" s="54">
        <f>MAX(F142:F171)</f>
        <v>21.79</v>
      </c>
      <c r="G174" s="54">
        <f>MAX(G142:G171)</f>
        <v>1225400</v>
      </c>
    </row>
    <row r="175" spans="1:7" s="54" customFormat="1" ht="12.75">
      <c r="A175" s="53"/>
      <c r="B175" s="54" t="s">
        <v>140</v>
      </c>
      <c r="C175" s="54">
        <f>MIN(C142:C171)</f>
        <v>20.46</v>
      </c>
      <c r="D175" s="54">
        <f>MIN(D142:D171)</f>
        <v>20.71</v>
      </c>
      <c r="E175" s="54">
        <f>MIN(E142:E171)</f>
        <v>20.41</v>
      </c>
      <c r="F175" s="54">
        <f>MIN(F142:F171)</f>
        <v>20.65</v>
      </c>
      <c r="G175" s="54">
        <f>MIN(G142:G171)</f>
        <v>330800</v>
      </c>
    </row>
    <row r="176" spans="1:7" s="54" customFormat="1" ht="12.75">
      <c r="A176" s="53" t="s">
        <v>175</v>
      </c>
      <c r="B176" t="s">
        <v>25</v>
      </c>
      <c r="C176" t="s">
        <v>26</v>
      </c>
      <c r="D176" t="s">
        <v>27</v>
      </c>
      <c r="E176" t="s">
        <v>28</v>
      </c>
      <c r="F176" t="s">
        <v>29</v>
      </c>
      <c r="G176" t="s">
        <v>30</v>
      </c>
    </row>
    <row r="177" spans="1:7" s="54" customFormat="1" ht="12.75">
      <c r="A177" s="53"/>
      <c r="B177" s="85">
        <v>37105</v>
      </c>
      <c r="C177" s="1">
        <v>43.9</v>
      </c>
      <c r="D177" s="1">
        <v>44.65</v>
      </c>
      <c r="E177" s="1">
        <v>43.9</v>
      </c>
      <c r="F177" s="1">
        <v>44.34</v>
      </c>
      <c r="G177" s="1">
        <v>720900</v>
      </c>
    </row>
    <row r="178" spans="1:7" s="54" customFormat="1" ht="12.75">
      <c r="A178" s="53"/>
      <c r="B178" s="85">
        <v>37104</v>
      </c>
      <c r="C178" s="1">
        <v>43.95</v>
      </c>
      <c r="D178" s="1">
        <v>44.72</v>
      </c>
      <c r="E178" s="1">
        <v>43.9</v>
      </c>
      <c r="F178" s="1">
        <v>44.37</v>
      </c>
      <c r="G178" s="1">
        <v>661900</v>
      </c>
    </row>
    <row r="179" spans="1:7" s="54" customFormat="1" ht="12.75">
      <c r="A179" s="53"/>
      <c r="B179" s="85">
        <v>37103</v>
      </c>
      <c r="C179" s="1">
        <v>44.08</v>
      </c>
      <c r="D179" s="1">
        <v>44.08</v>
      </c>
      <c r="E179" s="1">
        <v>43.71</v>
      </c>
      <c r="F179" s="1">
        <v>43.85</v>
      </c>
      <c r="G179" s="1">
        <v>610000</v>
      </c>
    </row>
    <row r="180" spans="1:7" s="54" customFormat="1" ht="12.75">
      <c r="A180" s="53"/>
      <c r="B180" s="85">
        <v>37100</v>
      </c>
      <c r="C180" s="1">
        <v>43.89</v>
      </c>
      <c r="D180" s="1">
        <v>44.22</v>
      </c>
      <c r="E180" s="1">
        <v>43.88</v>
      </c>
      <c r="F180" s="1">
        <v>44.15</v>
      </c>
      <c r="G180" s="1">
        <v>679000</v>
      </c>
    </row>
    <row r="181" spans="1:7" s="54" customFormat="1" ht="12.75">
      <c r="A181" s="53"/>
      <c r="B181" s="85">
        <v>37099</v>
      </c>
      <c r="C181" s="1">
        <v>44.69</v>
      </c>
      <c r="D181" s="1">
        <v>44.69</v>
      </c>
      <c r="E181" s="1">
        <v>43.35</v>
      </c>
      <c r="F181" s="1">
        <v>43.97</v>
      </c>
      <c r="G181" s="1">
        <v>2108400</v>
      </c>
    </row>
    <row r="182" spans="1:7" s="54" customFormat="1" ht="12.75">
      <c r="A182" s="53"/>
      <c r="B182" s="85">
        <v>37098</v>
      </c>
      <c r="C182" s="1">
        <v>44.63</v>
      </c>
      <c r="D182" s="1">
        <v>45.05</v>
      </c>
      <c r="E182" s="1">
        <v>44.57</v>
      </c>
      <c r="F182" s="1">
        <v>45.04</v>
      </c>
      <c r="G182" s="1">
        <v>579300</v>
      </c>
    </row>
    <row r="183" spans="1:7" s="54" customFormat="1" ht="12.75">
      <c r="A183" s="53"/>
      <c r="B183" s="85">
        <v>37097</v>
      </c>
      <c r="C183" s="1">
        <v>44.58</v>
      </c>
      <c r="D183" s="1">
        <v>44.9</v>
      </c>
      <c r="E183" s="1">
        <v>44.5</v>
      </c>
      <c r="F183" s="1">
        <v>44.6</v>
      </c>
      <c r="G183" s="1">
        <v>502400</v>
      </c>
    </row>
    <row r="184" spans="1:7" s="54" customFormat="1" ht="12.75">
      <c r="A184" s="53"/>
      <c r="B184" s="85">
        <v>37096</v>
      </c>
      <c r="C184" s="1">
        <v>44.95</v>
      </c>
      <c r="D184" s="1">
        <v>45.01</v>
      </c>
      <c r="E184" s="1">
        <v>44.56</v>
      </c>
      <c r="F184" s="1">
        <v>44.57</v>
      </c>
      <c r="G184" s="1">
        <v>445000</v>
      </c>
    </row>
    <row r="185" spans="1:7" s="54" customFormat="1" ht="12.75">
      <c r="A185" s="53"/>
      <c r="B185" s="85">
        <v>37093</v>
      </c>
      <c r="C185" s="1">
        <v>44.54</v>
      </c>
      <c r="D185" s="1">
        <v>45.1</v>
      </c>
      <c r="E185" s="1">
        <v>44.54</v>
      </c>
      <c r="F185" s="1">
        <v>44.98</v>
      </c>
      <c r="G185" s="1">
        <v>442200</v>
      </c>
    </row>
    <row r="186" spans="1:7" s="54" customFormat="1" ht="12.75">
      <c r="A186" s="53"/>
      <c r="B186" s="85">
        <v>37092</v>
      </c>
      <c r="C186" s="1">
        <v>45.15</v>
      </c>
      <c r="D186" s="1">
        <v>45.2</v>
      </c>
      <c r="E186" s="1">
        <v>44.43</v>
      </c>
      <c r="F186" s="1">
        <v>44.5</v>
      </c>
      <c r="G186" s="1">
        <v>900300</v>
      </c>
    </row>
    <row r="187" spans="1:7" s="54" customFormat="1" ht="12.75">
      <c r="A187" s="53"/>
      <c r="B187" s="85">
        <v>37091</v>
      </c>
      <c r="C187" s="1">
        <v>45.2</v>
      </c>
      <c r="D187" s="1">
        <v>45.46</v>
      </c>
      <c r="E187" s="1">
        <v>44.85</v>
      </c>
      <c r="F187" s="1">
        <v>45.31</v>
      </c>
      <c r="G187" s="1">
        <v>551700</v>
      </c>
    </row>
    <row r="188" spans="1:7" s="54" customFormat="1" ht="12.75">
      <c r="A188" s="53"/>
      <c r="B188" s="85">
        <v>37090</v>
      </c>
      <c r="C188" s="1">
        <v>45.1</v>
      </c>
      <c r="D188" s="1">
        <v>45.39</v>
      </c>
      <c r="E188" s="1">
        <v>44.81</v>
      </c>
      <c r="F188" s="1">
        <v>45.3</v>
      </c>
      <c r="G188" s="1">
        <v>352000</v>
      </c>
    </row>
    <row r="189" spans="1:7" s="54" customFormat="1" ht="12.75">
      <c r="A189" s="53"/>
      <c r="B189" s="85">
        <v>37089</v>
      </c>
      <c r="C189" s="1">
        <v>45.09</v>
      </c>
      <c r="D189" s="1">
        <v>45.2</v>
      </c>
      <c r="E189" s="1">
        <v>44.97</v>
      </c>
      <c r="F189" s="1">
        <v>44.98</v>
      </c>
      <c r="G189" s="1">
        <v>345000</v>
      </c>
    </row>
    <row r="190" spans="1:7" s="54" customFormat="1" ht="12.75">
      <c r="A190" s="53"/>
      <c r="B190" s="85">
        <v>37086</v>
      </c>
      <c r="C190" s="1">
        <v>45.02</v>
      </c>
      <c r="D190" s="1">
        <v>45.23</v>
      </c>
      <c r="E190" s="1">
        <v>44.85</v>
      </c>
      <c r="F190" s="1">
        <v>45.13</v>
      </c>
      <c r="G190" s="1">
        <v>434100</v>
      </c>
    </row>
    <row r="191" spans="1:7" s="54" customFormat="1" ht="12.75">
      <c r="A191" s="53"/>
      <c r="B191" s="85">
        <v>37085</v>
      </c>
      <c r="C191" s="1">
        <v>45.6</v>
      </c>
      <c r="D191" s="1">
        <v>45.95</v>
      </c>
      <c r="E191" s="1">
        <v>44.95</v>
      </c>
      <c r="F191" s="1">
        <v>45.01</v>
      </c>
      <c r="G191" s="1">
        <v>483400</v>
      </c>
    </row>
    <row r="192" spans="1:7" s="54" customFormat="1" ht="12.75">
      <c r="A192" s="53"/>
      <c r="B192" s="85">
        <v>37084</v>
      </c>
      <c r="C192" s="1">
        <v>45.19</v>
      </c>
      <c r="D192" s="1">
        <v>45.56</v>
      </c>
      <c r="E192" s="1">
        <v>45.18</v>
      </c>
      <c r="F192" s="1">
        <v>45.54</v>
      </c>
      <c r="G192" s="1">
        <v>389800</v>
      </c>
    </row>
    <row r="193" spans="1:7" s="54" customFormat="1" ht="12.75">
      <c r="A193" s="53"/>
      <c r="B193" s="85">
        <v>37083</v>
      </c>
      <c r="C193" s="1">
        <v>45.12</v>
      </c>
      <c r="D193" s="1">
        <v>45.39</v>
      </c>
      <c r="E193" s="1">
        <v>44.94</v>
      </c>
      <c r="F193" s="1">
        <v>45.18</v>
      </c>
      <c r="G193" s="1">
        <v>410800</v>
      </c>
    </row>
    <row r="194" spans="1:7" s="54" customFormat="1" ht="12.75">
      <c r="A194" s="53"/>
      <c r="B194" s="85">
        <v>37082</v>
      </c>
      <c r="C194" s="1">
        <v>45.39</v>
      </c>
      <c r="D194" s="1">
        <v>45.39</v>
      </c>
      <c r="E194" s="1">
        <v>44.99</v>
      </c>
      <c r="F194" s="1">
        <v>45.16</v>
      </c>
      <c r="G194" s="1">
        <v>580300</v>
      </c>
    </row>
    <row r="195" spans="1:7" s="54" customFormat="1" ht="12.75">
      <c r="A195" s="53"/>
      <c r="B195" s="85">
        <v>37079</v>
      </c>
      <c r="C195" s="1">
        <v>44.53</v>
      </c>
      <c r="D195" s="1">
        <v>44.98</v>
      </c>
      <c r="E195" s="1">
        <v>44.45</v>
      </c>
      <c r="F195" s="1">
        <v>44.97</v>
      </c>
      <c r="G195" s="1">
        <v>539000</v>
      </c>
    </row>
    <row r="196" spans="1:7" s="54" customFormat="1" ht="12.75">
      <c r="A196" s="53"/>
      <c r="B196" s="85">
        <v>37078</v>
      </c>
      <c r="C196" s="1">
        <v>43.9</v>
      </c>
      <c r="D196" s="1">
        <v>44.5</v>
      </c>
      <c r="E196" s="1">
        <v>43.6</v>
      </c>
      <c r="F196" s="1">
        <v>44.49</v>
      </c>
      <c r="G196" s="1">
        <v>944500</v>
      </c>
    </row>
    <row r="197" spans="1:7" s="54" customFormat="1" ht="12.75">
      <c r="A197" s="53"/>
      <c r="B197" s="85">
        <v>37077</v>
      </c>
      <c r="C197" s="1">
        <v>45.46</v>
      </c>
      <c r="D197" s="1">
        <v>45.54</v>
      </c>
      <c r="E197" s="1">
        <v>44.39</v>
      </c>
      <c r="F197" s="1">
        <v>44.42</v>
      </c>
      <c r="G197" s="1">
        <v>555400</v>
      </c>
    </row>
    <row r="198" spans="1:7" s="54" customFormat="1" ht="12.75">
      <c r="A198" s="53"/>
      <c r="B198" s="85">
        <v>37076</v>
      </c>
      <c r="C198" s="1">
        <v>45.41</v>
      </c>
      <c r="D198" s="1">
        <v>45.6</v>
      </c>
      <c r="E198" s="1">
        <v>44.94</v>
      </c>
      <c r="F198" s="1">
        <v>45.5</v>
      </c>
      <c r="G198" s="1">
        <v>472900</v>
      </c>
    </row>
    <row r="199" spans="1:7" s="54" customFormat="1" ht="12.75">
      <c r="A199" s="53"/>
      <c r="B199" s="85">
        <v>37072</v>
      </c>
      <c r="C199" s="1">
        <v>45</v>
      </c>
      <c r="D199" s="1">
        <v>45.43</v>
      </c>
      <c r="E199" s="1">
        <v>44.95</v>
      </c>
      <c r="F199" s="1">
        <v>45.41</v>
      </c>
      <c r="G199" s="1">
        <v>473200</v>
      </c>
    </row>
    <row r="200" spans="1:7" s="54" customFormat="1" ht="12.75">
      <c r="A200" s="53"/>
      <c r="B200" s="85">
        <v>37071</v>
      </c>
      <c r="C200" s="1">
        <v>44.74</v>
      </c>
      <c r="D200" s="1">
        <v>45.3</v>
      </c>
      <c r="E200" s="1">
        <v>44.71</v>
      </c>
      <c r="F200" s="1">
        <v>44.82</v>
      </c>
      <c r="G200" s="1">
        <v>525400</v>
      </c>
    </row>
    <row r="201" spans="1:7" s="54" customFormat="1" ht="12.75">
      <c r="A201" s="53"/>
      <c r="B201" s="85">
        <v>37070</v>
      </c>
      <c r="C201" s="1">
        <v>44.92</v>
      </c>
      <c r="D201" s="1">
        <v>44.93</v>
      </c>
      <c r="E201" s="1">
        <v>44.5</v>
      </c>
      <c r="F201" s="1">
        <v>44.64</v>
      </c>
      <c r="G201" s="1">
        <v>507000</v>
      </c>
    </row>
    <row r="202" spans="1:7" s="54" customFormat="1" ht="12.75">
      <c r="A202" s="53"/>
      <c r="B202" s="85">
        <v>37069</v>
      </c>
      <c r="C202" s="1">
        <v>44.54</v>
      </c>
      <c r="D202" s="1">
        <v>44.94</v>
      </c>
      <c r="E202" s="1">
        <v>44.52</v>
      </c>
      <c r="F202" s="1">
        <v>44.93</v>
      </c>
      <c r="G202" s="1">
        <v>604300</v>
      </c>
    </row>
    <row r="203" spans="1:7" s="54" customFormat="1" ht="12.75">
      <c r="A203" s="53"/>
      <c r="B203" s="85">
        <v>37068</v>
      </c>
      <c r="C203" s="1">
        <v>43.98</v>
      </c>
      <c r="D203" s="1">
        <v>44.54</v>
      </c>
      <c r="E203" s="1">
        <v>43.77</v>
      </c>
      <c r="F203" s="1">
        <v>44.54</v>
      </c>
      <c r="G203" s="1">
        <v>491300</v>
      </c>
    </row>
    <row r="204" spans="1:7" s="54" customFormat="1" ht="12.75">
      <c r="A204" s="53"/>
      <c r="B204" s="85">
        <v>37065</v>
      </c>
      <c r="C204" s="1">
        <v>44.35</v>
      </c>
      <c r="D204" s="1">
        <v>44.36</v>
      </c>
      <c r="E204" s="1">
        <v>43.71</v>
      </c>
      <c r="F204" s="1">
        <v>43.98</v>
      </c>
      <c r="G204" s="1">
        <v>695900</v>
      </c>
    </row>
    <row r="205" spans="1:7" s="54" customFormat="1" ht="12.75">
      <c r="A205" s="53"/>
      <c r="B205" s="85">
        <v>37064</v>
      </c>
      <c r="C205" s="1">
        <v>43.92</v>
      </c>
      <c r="D205" s="1">
        <v>44.64</v>
      </c>
      <c r="E205" s="1">
        <v>43.9</v>
      </c>
      <c r="F205" s="1">
        <v>44.41</v>
      </c>
      <c r="G205" s="1">
        <v>712000</v>
      </c>
    </row>
    <row r="206" spans="1:7" s="54" customFormat="1" ht="12.75">
      <c r="A206" s="53"/>
      <c r="B206" s="85">
        <v>37063</v>
      </c>
      <c r="C206" s="1">
        <v>44</v>
      </c>
      <c r="D206" s="1">
        <v>44.18</v>
      </c>
      <c r="E206" s="1">
        <v>43.83</v>
      </c>
      <c r="F206" s="1">
        <v>44</v>
      </c>
      <c r="G206" s="1">
        <v>484600</v>
      </c>
    </row>
    <row r="207" spans="1:7" s="54" customFormat="1" ht="12.75">
      <c r="A207" s="53"/>
      <c r="B207" s="54" t="s">
        <v>111</v>
      </c>
      <c r="C207" s="56">
        <f>AVERAGE(C177:C206)</f>
        <v>44.693999999999996</v>
      </c>
      <c r="D207" s="56">
        <f>AVERAGE(D177:D206)</f>
        <v>45.004333333333335</v>
      </c>
      <c r="E207" s="56">
        <f>AVERAGE(E177:E206)</f>
        <v>44.40500000000001</v>
      </c>
      <c r="F207" s="57">
        <f>AVERAGE(F177:F206)</f>
        <v>44.73633333333334</v>
      </c>
      <c r="G207" s="56">
        <f>AVERAGE(G177:G206)</f>
        <v>606733.3333333334</v>
      </c>
    </row>
    <row r="208" spans="1:7" s="54" customFormat="1" ht="12.75">
      <c r="A208" s="53"/>
      <c r="B208" s="54" t="s">
        <v>38</v>
      </c>
      <c r="C208" s="54">
        <f>MEDIAN(C177:C206)</f>
        <v>44.715</v>
      </c>
      <c r="D208" s="54">
        <f>MEDIAN(D177:D206)</f>
        <v>45.03</v>
      </c>
      <c r="E208" s="54">
        <f>MEDIAN(E177:E206)</f>
        <v>44.510000000000005</v>
      </c>
      <c r="F208" s="54">
        <f>MEDIAN(F177:F206)</f>
        <v>44.730000000000004</v>
      </c>
      <c r="G208" s="54">
        <f>MEDIAN(G177:G206)</f>
        <v>532200</v>
      </c>
    </row>
    <row r="209" spans="1:7" s="54" customFormat="1" ht="12.75">
      <c r="A209" s="53"/>
      <c r="B209" s="54" t="s">
        <v>139</v>
      </c>
      <c r="C209" s="54">
        <f>MAX(C177:C206)</f>
        <v>45.6</v>
      </c>
      <c r="D209" s="54">
        <f>MAX(D177:D206)</f>
        <v>45.95</v>
      </c>
      <c r="E209" s="54">
        <f>MAX(E177:E206)</f>
        <v>45.18</v>
      </c>
      <c r="F209" s="54">
        <f>MAX(F177:F206)</f>
        <v>45.54</v>
      </c>
      <c r="G209" s="54">
        <f>MAX(G177:G206)</f>
        <v>2108400</v>
      </c>
    </row>
    <row r="210" spans="1:7" s="54" customFormat="1" ht="12.75">
      <c r="A210" s="53"/>
      <c r="B210" s="54" t="s">
        <v>140</v>
      </c>
      <c r="C210" s="54">
        <f>MIN(C177:C206)</f>
        <v>43.89</v>
      </c>
      <c r="D210" s="54">
        <f>MIN(D177:D206)</f>
        <v>44.08</v>
      </c>
      <c r="E210" s="54">
        <f>MIN(E177:E206)</f>
        <v>43.35</v>
      </c>
      <c r="F210" s="54">
        <f>MIN(F177:F206)</f>
        <v>43.85</v>
      </c>
      <c r="G210" s="54">
        <f>MIN(G177:G206)</f>
        <v>345000</v>
      </c>
    </row>
    <row r="211" spans="1:7" s="54" customFormat="1" ht="12.75">
      <c r="A211" s="53" t="s">
        <v>118</v>
      </c>
      <c r="B211" t="s">
        <v>25</v>
      </c>
      <c r="C211" t="s">
        <v>26</v>
      </c>
      <c r="D211" t="s">
        <v>27</v>
      </c>
      <c r="E211" t="s">
        <v>28</v>
      </c>
      <c r="F211" t="s">
        <v>29</v>
      </c>
      <c r="G211" t="s">
        <v>30</v>
      </c>
    </row>
    <row r="212" spans="1:7" s="54" customFormat="1" ht="12.75">
      <c r="A212" s="53"/>
      <c r="B212" s="85">
        <v>37105</v>
      </c>
      <c r="C212" s="1">
        <v>22.75</v>
      </c>
      <c r="D212" s="1">
        <v>23.23</v>
      </c>
      <c r="E212" s="1">
        <v>22.71</v>
      </c>
      <c r="F212" s="1">
        <v>23</v>
      </c>
      <c r="G212" s="1">
        <v>232600</v>
      </c>
    </row>
    <row r="213" spans="1:7" s="54" customFormat="1" ht="12.75">
      <c r="A213" s="53"/>
      <c r="B213" s="85">
        <v>37104</v>
      </c>
      <c r="C213" s="1">
        <v>22.15</v>
      </c>
      <c r="D213" s="1">
        <v>22.84</v>
      </c>
      <c r="E213" s="1">
        <v>22.15</v>
      </c>
      <c r="F213" s="1">
        <v>22.82</v>
      </c>
      <c r="G213" s="1">
        <v>187500</v>
      </c>
    </row>
    <row r="214" spans="1:7" s="54" customFormat="1" ht="12.75">
      <c r="A214" s="53"/>
      <c r="B214" s="85">
        <v>37103</v>
      </c>
      <c r="C214" s="1">
        <v>22.49</v>
      </c>
      <c r="D214" s="1">
        <v>22.55</v>
      </c>
      <c r="E214" s="1">
        <v>21.95</v>
      </c>
      <c r="F214" s="1">
        <v>22.22</v>
      </c>
      <c r="G214" s="1">
        <v>206300</v>
      </c>
    </row>
    <row r="215" spans="1:7" s="54" customFormat="1" ht="12.75">
      <c r="A215" s="53"/>
      <c r="B215" s="85">
        <v>37100</v>
      </c>
      <c r="C215" s="1">
        <v>22.33</v>
      </c>
      <c r="D215" s="1">
        <v>22.49</v>
      </c>
      <c r="E215" s="1">
        <v>22.26</v>
      </c>
      <c r="F215" s="1">
        <v>22.48</v>
      </c>
      <c r="G215" s="1">
        <v>122400</v>
      </c>
    </row>
    <row r="216" spans="1:7" s="54" customFormat="1" ht="12.75">
      <c r="A216" s="53"/>
      <c r="B216" s="85">
        <v>37099</v>
      </c>
      <c r="C216" s="1">
        <v>22.33</v>
      </c>
      <c r="D216" s="1">
        <v>22.41</v>
      </c>
      <c r="E216" s="1">
        <v>22.13</v>
      </c>
      <c r="F216" s="1">
        <v>22.4</v>
      </c>
      <c r="G216" s="1">
        <v>100000</v>
      </c>
    </row>
    <row r="217" spans="1:7" s="54" customFormat="1" ht="12.75">
      <c r="A217" s="53"/>
      <c r="B217" s="85">
        <v>37098</v>
      </c>
      <c r="C217" s="1">
        <v>22.18</v>
      </c>
      <c r="D217" s="1">
        <v>22.34</v>
      </c>
      <c r="E217" s="1">
        <v>22</v>
      </c>
      <c r="F217" s="1">
        <v>22.33</v>
      </c>
      <c r="G217" s="1">
        <v>117500</v>
      </c>
    </row>
    <row r="218" spans="1:7" s="54" customFormat="1" ht="12.75">
      <c r="A218" s="53"/>
      <c r="B218" s="85">
        <v>37097</v>
      </c>
      <c r="C218" s="1">
        <v>22.29</v>
      </c>
      <c r="D218" s="1">
        <v>22.41</v>
      </c>
      <c r="E218" s="1">
        <v>22.07</v>
      </c>
      <c r="F218" s="1">
        <v>22.13</v>
      </c>
      <c r="G218" s="1">
        <v>195700</v>
      </c>
    </row>
    <row r="219" spans="1:7" s="54" customFormat="1" ht="12.75">
      <c r="A219" s="53"/>
      <c r="B219" s="85">
        <v>37096</v>
      </c>
      <c r="C219" s="1">
        <v>22.42</v>
      </c>
      <c r="D219" s="1">
        <v>22.55</v>
      </c>
      <c r="E219" s="1">
        <v>22.22</v>
      </c>
      <c r="F219" s="1">
        <v>22.35</v>
      </c>
      <c r="G219" s="1">
        <v>160700</v>
      </c>
    </row>
    <row r="220" spans="1:7" s="54" customFormat="1" ht="12.75">
      <c r="A220" s="53"/>
      <c r="B220" s="85">
        <v>37093</v>
      </c>
      <c r="C220" s="1">
        <v>21.95</v>
      </c>
      <c r="D220" s="1">
        <v>22.43</v>
      </c>
      <c r="E220" s="1">
        <v>21.9</v>
      </c>
      <c r="F220" s="1">
        <v>22.43</v>
      </c>
      <c r="G220" s="1">
        <v>101800</v>
      </c>
    </row>
    <row r="221" spans="1:7" s="54" customFormat="1" ht="12.75">
      <c r="A221" s="53"/>
      <c r="B221" s="85">
        <v>37092</v>
      </c>
      <c r="C221" s="1">
        <v>22.25</v>
      </c>
      <c r="D221" s="1">
        <v>22.33</v>
      </c>
      <c r="E221" s="1">
        <v>21.84</v>
      </c>
      <c r="F221" s="1">
        <v>21.93</v>
      </c>
      <c r="G221" s="1">
        <v>157100</v>
      </c>
    </row>
    <row r="222" spans="1:7" s="54" customFormat="1" ht="12.75">
      <c r="A222" s="53"/>
      <c r="B222" s="85">
        <v>37091</v>
      </c>
      <c r="C222" s="1">
        <v>22.05</v>
      </c>
      <c r="D222" s="1">
        <v>22.25</v>
      </c>
      <c r="E222" s="1">
        <v>21.89</v>
      </c>
      <c r="F222" s="1">
        <v>22.23</v>
      </c>
      <c r="G222" s="1">
        <v>89900</v>
      </c>
    </row>
    <row r="223" spans="1:7" s="54" customFormat="1" ht="12.75">
      <c r="A223" s="53"/>
      <c r="B223" s="85">
        <v>37090</v>
      </c>
      <c r="C223" s="1">
        <v>22.1</v>
      </c>
      <c r="D223" s="1">
        <v>22.2</v>
      </c>
      <c r="E223" s="1">
        <v>22.02</v>
      </c>
      <c r="F223" s="1">
        <v>22.1</v>
      </c>
      <c r="G223" s="1">
        <v>80400</v>
      </c>
    </row>
    <row r="224" spans="1:7" s="54" customFormat="1" ht="12.75">
      <c r="A224" s="53"/>
      <c r="B224" s="85">
        <v>37089</v>
      </c>
      <c r="C224" s="1">
        <v>22.14</v>
      </c>
      <c r="D224" s="1">
        <v>22.26</v>
      </c>
      <c r="E224" s="1">
        <v>21.9</v>
      </c>
      <c r="F224" s="1">
        <v>22</v>
      </c>
      <c r="G224" s="1">
        <v>92800</v>
      </c>
    </row>
    <row r="225" spans="1:7" s="54" customFormat="1" ht="12.75">
      <c r="A225" s="53"/>
      <c r="B225" s="85">
        <v>37086</v>
      </c>
      <c r="C225" s="1">
        <v>22.05</v>
      </c>
      <c r="D225" s="1">
        <v>22.2</v>
      </c>
      <c r="E225" s="1">
        <v>21.91</v>
      </c>
      <c r="F225" s="1">
        <v>22.14</v>
      </c>
      <c r="G225" s="1">
        <v>181700</v>
      </c>
    </row>
    <row r="226" spans="1:7" s="54" customFormat="1" ht="12.75">
      <c r="A226" s="53"/>
      <c r="B226" s="85">
        <v>37085</v>
      </c>
      <c r="C226" s="1">
        <v>22.5</v>
      </c>
      <c r="D226" s="1">
        <v>22.54</v>
      </c>
      <c r="E226" s="1">
        <v>22</v>
      </c>
      <c r="F226" s="1">
        <v>22.06</v>
      </c>
      <c r="G226" s="1">
        <v>199400</v>
      </c>
    </row>
    <row r="227" spans="1:7" s="54" customFormat="1" ht="12.75">
      <c r="A227" s="53"/>
      <c r="B227" s="85">
        <v>37084</v>
      </c>
      <c r="C227" s="1">
        <v>22.3</v>
      </c>
      <c r="D227" s="1">
        <v>22.58</v>
      </c>
      <c r="E227" s="1">
        <v>22.18</v>
      </c>
      <c r="F227" s="1">
        <v>22.33</v>
      </c>
      <c r="G227" s="1">
        <v>161200</v>
      </c>
    </row>
    <row r="228" spans="1:7" s="54" customFormat="1" ht="12.75">
      <c r="A228" s="53"/>
      <c r="B228" s="85">
        <v>37083</v>
      </c>
      <c r="C228" s="1">
        <v>22.08</v>
      </c>
      <c r="D228" s="1">
        <v>22.55</v>
      </c>
      <c r="E228" s="1">
        <v>22.06</v>
      </c>
      <c r="F228" s="1">
        <v>22.29</v>
      </c>
      <c r="G228" s="1">
        <v>133700</v>
      </c>
    </row>
    <row r="229" spans="1:7" s="54" customFormat="1" ht="12.75">
      <c r="A229" s="53"/>
      <c r="B229" s="85">
        <v>37082</v>
      </c>
      <c r="C229" s="1">
        <v>22.03</v>
      </c>
      <c r="D229" s="1">
        <v>22.55</v>
      </c>
      <c r="E229" s="1">
        <v>22</v>
      </c>
      <c r="F229" s="1">
        <v>22.25</v>
      </c>
      <c r="G229" s="1">
        <v>143700</v>
      </c>
    </row>
    <row r="230" spans="1:7" s="54" customFormat="1" ht="12.75">
      <c r="A230" s="53"/>
      <c r="B230" s="85">
        <v>37079</v>
      </c>
      <c r="C230" s="1">
        <v>21.59</v>
      </c>
      <c r="D230" s="1">
        <v>22.05</v>
      </c>
      <c r="E230" s="1">
        <v>21.59</v>
      </c>
      <c r="F230" s="1">
        <v>22.01</v>
      </c>
      <c r="G230" s="1">
        <v>118000</v>
      </c>
    </row>
    <row r="231" spans="1:7" s="54" customFormat="1" ht="12.75">
      <c r="A231" s="53"/>
      <c r="B231" s="85">
        <v>37078</v>
      </c>
      <c r="C231" s="1">
        <v>21.05</v>
      </c>
      <c r="D231" s="1">
        <v>21.7</v>
      </c>
      <c r="E231" s="1">
        <v>21</v>
      </c>
      <c r="F231" s="1">
        <v>21.64</v>
      </c>
      <c r="G231" s="1">
        <v>138800</v>
      </c>
    </row>
    <row r="232" spans="1:7" s="54" customFormat="1" ht="12.75">
      <c r="A232" s="53"/>
      <c r="B232" s="85">
        <v>37077</v>
      </c>
      <c r="C232" s="1">
        <v>22.11</v>
      </c>
      <c r="D232" s="1">
        <v>22.15</v>
      </c>
      <c r="E232" s="1">
        <v>21.42</v>
      </c>
      <c r="F232" s="1">
        <v>21.53</v>
      </c>
      <c r="G232" s="1">
        <v>132600</v>
      </c>
    </row>
    <row r="233" spans="1:7" s="54" customFormat="1" ht="12.75">
      <c r="A233" s="53"/>
      <c r="B233" s="85">
        <v>37076</v>
      </c>
      <c r="C233" s="1">
        <v>21.72</v>
      </c>
      <c r="D233" s="1">
        <v>22.09</v>
      </c>
      <c r="E233" s="1">
        <v>21.59</v>
      </c>
      <c r="F233" s="1">
        <v>22.09</v>
      </c>
      <c r="G233" s="1">
        <v>120900</v>
      </c>
    </row>
    <row r="234" spans="1:7" s="54" customFormat="1" ht="12.75">
      <c r="A234" s="53"/>
      <c r="B234" s="85">
        <v>37072</v>
      </c>
      <c r="C234" s="1">
        <v>21.6</v>
      </c>
      <c r="D234" s="1">
        <v>21.81</v>
      </c>
      <c r="E234" s="1">
        <v>21.45</v>
      </c>
      <c r="F234" s="1">
        <v>21.8</v>
      </c>
      <c r="G234" s="1">
        <v>164100</v>
      </c>
    </row>
    <row r="235" spans="1:7" s="54" customFormat="1" ht="12.75">
      <c r="A235" s="53"/>
      <c r="B235" s="85">
        <v>37071</v>
      </c>
      <c r="C235" s="1">
        <v>21.46</v>
      </c>
      <c r="D235" s="1">
        <v>21.61</v>
      </c>
      <c r="E235" s="1">
        <v>21.37</v>
      </c>
      <c r="F235" s="1">
        <v>21.57</v>
      </c>
      <c r="G235" s="1">
        <v>177200</v>
      </c>
    </row>
    <row r="236" spans="1:7" s="54" customFormat="1" ht="12.75">
      <c r="A236" s="53"/>
      <c r="B236" s="85">
        <v>37070</v>
      </c>
      <c r="C236" s="1">
        <v>21.44</v>
      </c>
      <c r="D236" s="1">
        <v>21.5</v>
      </c>
      <c r="E236" s="1">
        <v>21.31</v>
      </c>
      <c r="F236" s="1">
        <v>21.48</v>
      </c>
      <c r="G236" s="1">
        <v>120200</v>
      </c>
    </row>
    <row r="237" spans="1:7" s="54" customFormat="1" ht="12.75">
      <c r="A237" s="53"/>
      <c r="B237" s="85">
        <v>37069</v>
      </c>
      <c r="C237" s="1">
        <v>21.18</v>
      </c>
      <c r="D237" s="1">
        <v>21.5</v>
      </c>
      <c r="E237" s="1">
        <v>21.18</v>
      </c>
      <c r="F237" s="1">
        <v>21.41</v>
      </c>
      <c r="G237" s="1">
        <v>223800</v>
      </c>
    </row>
    <row r="238" spans="1:7" s="54" customFormat="1" ht="12.75">
      <c r="A238" s="53"/>
      <c r="B238" s="85">
        <v>37068</v>
      </c>
      <c r="C238" s="1">
        <v>21.1</v>
      </c>
      <c r="D238" s="1">
        <v>21.3</v>
      </c>
      <c r="E238" s="1">
        <v>20.96</v>
      </c>
      <c r="F238" s="1">
        <v>21.05</v>
      </c>
      <c r="G238" s="1">
        <v>163400</v>
      </c>
    </row>
    <row r="239" spans="1:7" s="54" customFormat="1" ht="12.75">
      <c r="A239" s="53"/>
      <c r="B239" s="85">
        <v>37065</v>
      </c>
      <c r="C239" s="1">
        <v>21.38</v>
      </c>
      <c r="D239" s="1">
        <v>21.43</v>
      </c>
      <c r="E239" s="1">
        <v>21.09</v>
      </c>
      <c r="F239" s="1">
        <v>21.1</v>
      </c>
      <c r="G239" s="1">
        <v>241400</v>
      </c>
    </row>
    <row r="240" spans="1:7" s="54" customFormat="1" ht="12.75">
      <c r="A240" s="53"/>
      <c r="B240" s="85">
        <v>37064</v>
      </c>
      <c r="C240" s="1">
        <v>21.62</v>
      </c>
      <c r="D240" s="1">
        <v>21.81</v>
      </c>
      <c r="E240" s="1">
        <v>21.32</v>
      </c>
      <c r="F240" s="1">
        <v>21.43</v>
      </c>
      <c r="G240" s="1">
        <v>185000</v>
      </c>
    </row>
    <row r="241" spans="1:7" s="54" customFormat="1" ht="12.75">
      <c r="A241" s="53"/>
      <c r="B241" s="85">
        <v>37063</v>
      </c>
      <c r="C241" s="1">
        <v>21.37</v>
      </c>
      <c r="D241" s="1">
        <v>21.69</v>
      </c>
      <c r="E241" s="1">
        <v>21.37</v>
      </c>
      <c r="F241" s="1">
        <v>21.65</v>
      </c>
      <c r="G241" s="1">
        <v>123300</v>
      </c>
    </row>
    <row r="242" spans="1:7" s="54" customFormat="1" ht="12.75">
      <c r="A242" s="53"/>
      <c r="B242" s="54" t="s">
        <v>111</v>
      </c>
      <c r="C242" s="56">
        <f>AVERAGE(C212:C241)</f>
        <v>21.93366666666667</v>
      </c>
      <c r="D242" s="56">
        <f>AVERAGE(D212:D241)</f>
        <v>22.178333333333327</v>
      </c>
      <c r="E242" s="56">
        <f>AVERAGE(E212:E241)</f>
        <v>21.76133333333333</v>
      </c>
      <c r="F242" s="57">
        <f>AVERAGE(F212:F241)</f>
        <v>22.00833333333333</v>
      </c>
      <c r="G242" s="56">
        <f>AVERAGE(G212:G241)</f>
        <v>152436.66666666666</v>
      </c>
    </row>
    <row r="243" spans="1:7" s="54" customFormat="1" ht="12.75">
      <c r="A243" s="53"/>
      <c r="B243" s="54" t="s">
        <v>38</v>
      </c>
      <c r="C243" s="54">
        <f>MEDIAN(C212:C241)</f>
        <v>22.064999999999998</v>
      </c>
      <c r="D243" s="54">
        <f>MEDIAN(D212:D241)</f>
        <v>22.255000000000003</v>
      </c>
      <c r="E243" s="54">
        <f>MEDIAN(E212:E241)</f>
        <v>21.9</v>
      </c>
      <c r="F243" s="54">
        <f>MEDIAN(F212:F241)</f>
        <v>22.095</v>
      </c>
      <c r="G243" s="54">
        <f>MEDIAN(G212:G241)</f>
        <v>150400</v>
      </c>
    </row>
    <row r="244" spans="1:7" s="54" customFormat="1" ht="12.75">
      <c r="A244" s="53"/>
      <c r="B244" s="54" t="s">
        <v>139</v>
      </c>
      <c r="C244" s="54">
        <f>MAX(C212:C241)</f>
        <v>22.75</v>
      </c>
      <c r="D244" s="54">
        <f>MAX(D212:D241)</f>
        <v>23.23</v>
      </c>
      <c r="E244" s="54">
        <f>MAX(E212:E241)</f>
        <v>22.71</v>
      </c>
      <c r="F244" s="54">
        <f>MAX(F212:F241)</f>
        <v>23</v>
      </c>
      <c r="G244" s="54">
        <f>MAX(G212:G241)</f>
        <v>241400</v>
      </c>
    </row>
    <row r="245" spans="1:7" s="54" customFormat="1" ht="12.75">
      <c r="A245" s="53"/>
      <c r="B245" s="54" t="s">
        <v>140</v>
      </c>
      <c r="C245" s="54">
        <f>MIN(C212:C241)</f>
        <v>21.05</v>
      </c>
      <c r="D245" s="54">
        <f>MIN(D212:D241)</f>
        <v>21.3</v>
      </c>
      <c r="E245" s="54">
        <f>MIN(E212:E241)</f>
        <v>20.96</v>
      </c>
      <c r="F245" s="54">
        <f>MIN(F212:F241)</f>
        <v>21.05</v>
      </c>
      <c r="G245" s="54">
        <f>MIN(G212:G241)</f>
        <v>80400</v>
      </c>
    </row>
    <row r="246" spans="1:7" s="54" customFormat="1" ht="12.75">
      <c r="A246" s="53" t="s">
        <v>119</v>
      </c>
      <c r="B246" t="s">
        <v>25</v>
      </c>
      <c r="C246" t="s">
        <v>26</v>
      </c>
      <c r="D246" t="s">
        <v>27</v>
      </c>
      <c r="E246" t="s">
        <v>28</v>
      </c>
      <c r="F246" t="s">
        <v>29</v>
      </c>
      <c r="G246" t="s">
        <v>30</v>
      </c>
    </row>
    <row r="247" spans="1:7" s="54" customFormat="1" ht="12.75">
      <c r="A247" s="53"/>
      <c r="B247" s="85">
        <v>37105</v>
      </c>
      <c r="C247" s="1">
        <v>23.73</v>
      </c>
      <c r="D247" s="1">
        <v>23.95</v>
      </c>
      <c r="E247" s="1">
        <v>23.7</v>
      </c>
      <c r="F247" s="1">
        <v>23.72</v>
      </c>
      <c r="G247" s="1">
        <v>96900</v>
      </c>
    </row>
    <row r="248" spans="1:7" s="54" customFormat="1" ht="12.75">
      <c r="A248" s="53"/>
      <c r="B248" s="85">
        <v>37104</v>
      </c>
      <c r="C248" s="1">
        <v>23.67</v>
      </c>
      <c r="D248" s="1">
        <v>23.77</v>
      </c>
      <c r="E248" s="1">
        <v>23.37</v>
      </c>
      <c r="F248" s="1">
        <v>23.77</v>
      </c>
      <c r="G248" s="1">
        <v>158100</v>
      </c>
    </row>
    <row r="249" spans="1:7" s="54" customFormat="1" ht="12.75">
      <c r="A249" s="53"/>
      <c r="B249" s="85">
        <v>37103</v>
      </c>
      <c r="C249" s="1">
        <v>24.2</v>
      </c>
      <c r="D249" s="1">
        <v>24.41</v>
      </c>
      <c r="E249" s="1">
        <v>23.61</v>
      </c>
      <c r="F249" s="1">
        <v>23.69</v>
      </c>
      <c r="G249" s="1">
        <v>80800</v>
      </c>
    </row>
    <row r="250" spans="1:7" s="54" customFormat="1" ht="12.75">
      <c r="A250" s="53"/>
      <c r="B250" s="85">
        <v>37100</v>
      </c>
      <c r="C250" s="1">
        <v>24.4</v>
      </c>
      <c r="D250" s="1">
        <v>24.44</v>
      </c>
      <c r="E250" s="1">
        <v>24.05</v>
      </c>
      <c r="F250" s="1">
        <v>24.18</v>
      </c>
      <c r="G250" s="1">
        <v>78900</v>
      </c>
    </row>
    <row r="251" spans="1:7" s="54" customFormat="1" ht="12.75">
      <c r="A251" s="53"/>
      <c r="B251" s="85">
        <v>37099</v>
      </c>
      <c r="C251" s="1">
        <v>24.15</v>
      </c>
      <c r="D251" s="1">
        <v>24.5</v>
      </c>
      <c r="E251" s="1">
        <v>24.06</v>
      </c>
      <c r="F251" s="1">
        <v>24.5</v>
      </c>
      <c r="G251" s="1">
        <v>62600</v>
      </c>
    </row>
    <row r="252" spans="1:7" s="54" customFormat="1" ht="12.75">
      <c r="A252" s="53"/>
      <c r="B252" s="85">
        <v>37098</v>
      </c>
      <c r="C252" s="1">
        <v>23.75</v>
      </c>
      <c r="D252" s="1">
        <v>24.05</v>
      </c>
      <c r="E252" s="1">
        <v>23.65</v>
      </c>
      <c r="F252" s="1">
        <v>24.05</v>
      </c>
      <c r="G252" s="1">
        <v>55900</v>
      </c>
    </row>
    <row r="253" spans="1:7" s="54" customFormat="1" ht="12.75">
      <c r="A253" s="53"/>
      <c r="B253" s="85">
        <v>37097</v>
      </c>
      <c r="C253" s="1">
        <v>23.73</v>
      </c>
      <c r="D253" s="1">
        <v>23.9</v>
      </c>
      <c r="E253" s="1">
        <v>23.57</v>
      </c>
      <c r="F253" s="1">
        <v>23.82</v>
      </c>
      <c r="G253" s="1">
        <v>64300</v>
      </c>
    </row>
    <row r="254" spans="1:7" s="54" customFormat="1" ht="12.75">
      <c r="A254" s="53"/>
      <c r="B254" s="85">
        <v>37096</v>
      </c>
      <c r="C254" s="1">
        <v>24.1</v>
      </c>
      <c r="D254" s="1">
        <v>24.1</v>
      </c>
      <c r="E254" s="1">
        <v>23.7</v>
      </c>
      <c r="F254" s="1">
        <v>23.73</v>
      </c>
      <c r="G254" s="1">
        <v>50500</v>
      </c>
    </row>
    <row r="255" spans="1:7" s="54" customFormat="1" ht="12.75">
      <c r="A255" s="53"/>
      <c r="B255" s="85">
        <v>37093</v>
      </c>
      <c r="C255" s="1">
        <v>23.61</v>
      </c>
      <c r="D255" s="1">
        <v>24.2</v>
      </c>
      <c r="E255" s="1">
        <v>23.57</v>
      </c>
      <c r="F255" s="1">
        <v>24.1</v>
      </c>
      <c r="G255" s="1">
        <v>69800</v>
      </c>
    </row>
    <row r="256" spans="1:7" s="54" customFormat="1" ht="12.75">
      <c r="A256" s="53"/>
      <c r="B256" s="85">
        <v>37092</v>
      </c>
      <c r="C256" s="1">
        <v>24.2</v>
      </c>
      <c r="D256" s="1">
        <v>24.2</v>
      </c>
      <c r="E256" s="1">
        <v>23.6</v>
      </c>
      <c r="F256" s="1">
        <v>23.61</v>
      </c>
      <c r="G256" s="1">
        <v>56800</v>
      </c>
    </row>
    <row r="257" spans="1:7" s="54" customFormat="1" ht="12.75">
      <c r="A257" s="53"/>
      <c r="B257" s="85">
        <v>37091</v>
      </c>
      <c r="C257" s="1">
        <v>24.14</v>
      </c>
      <c r="D257" s="1">
        <v>24.2</v>
      </c>
      <c r="E257" s="1">
        <v>23.95</v>
      </c>
      <c r="F257" s="1">
        <v>24.18</v>
      </c>
      <c r="G257" s="1">
        <v>67600</v>
      </c>
    </row>
    <row r="258" spans="1:7" s="54" customFormat="1" ht="12.75">
      <c r="A258" s="53"/>
      <c r="B258" s="85">
        <v>37090</v>
      </c>
      <c r="C258" s="1">
        <v>23.82</v>
      </c>
      <c r="D258" s="1">
        <v>24.15</v>
      </c>
      <c r="E258" s="1">
        <v>23.82</v>
      </c>
      <c r="F258" s="1">
        <v>24.1</v>
      </c>
      <c r="G258" s="1">
        <v>37100</v>
      </c>
    </row>
    <row r="259" spans="1:7" s="54" customFormat="1" ht="12.75">
      <c r="A259" s="53"/>
      <c r="B259" s="85">
        <v>37089</v>
      </c>
      <c r="C259" s="1">
        <v>24.11</v>
      </c>
      <c r="D259" s="1">
        <v>24.25</v>
      </c>
      <c r="E259" s="1">
        <v>23.81</v>
      </c>
      <c r="F259" s="1">
        <v>23.82</v>
      </c>
      <c r="G259" s="1">
        <v>49800</v>
      </c>
    </row>
    <row r="260" spans="1:7" s="54" customFormat="1" ht="12.75">
      <c r="A260" s="53"/>
      <c r="B260" s="85">
        <v>37086</v>
      </c>
      <c r="C260" s="1">
        <v>24.01</v>
      </c>
      <c r="D260" s="1">
        <v>24.21</v>
      </c>
      <c r="E260" s="1">
        <v>23.69</v>
      </c>
      <c r="F260" s="1">
        <v>24.14</v>
      </c>
      <c r="G260" s="1">
        <v>92400</v>
      </c>
    </row>
    <row r="261" spans="1:7" s="54" customFormat="1" ht="12.75">
      <c r="A261" s="53"/>
      <c r="B261" s="85">
        <v>37085</v>
      </c>
      <c r="C261" s="1">
        <v>24.6</v>
      </c>
      <c r="D261" s="1">
        <v>24.83</v>
      </c>
      <c r="E261" s="1">
        <v>24.02</v>
      </c>
      <c r="F261" s="1">
        <v>24.02</v>
      </c>
      <c r="G261" s="1">
        <v>82800</v>
      </c>
    </row>
    <row r="262" spans="1:7" s="54" customFormat="1" ht="12.75">
      <c r="A262" s="53"/>
      <c r="B262" s="85">
        <v>37084</v>
      </c>
      <c r="C262" s="1">
        <v>24.77</v>
      </c>
      <c r="D262" s="1">
        <v>24.8</v>
      </c>
      <c r="E262" s="1">
        <v>24.42</v>
      </c>
      <c r="F262" s="1">
        <v>24.44</v>
      </c>
      <c r="G262" s="1">
        <v>57100</v>
      </c>
    </row>
    <row r="263" spans="1:7" s="54" customFormat="1" ht="12.75">
      <c r="A263" s="53"/>
      <c r="B263" s="85">
        <v>37083</v>
      </c>
      <c r="C263" s="1">
        <v>24.8</v>
      </c>
      <c r="D263" s="1">
        <v>25.01</v>
      </c>
      <c r="E263" s="1">
        <v>24.65</v>
      </c>
      <c r="F263" s="1">
        <v>24.87</v>
      </c>
      <c r="G263" s="1">
        <v>58300</v>
      </c>
    </row>
    <row r="264" spans="1:7" s="54" customFormat="1" ht="12.75">
      <c r="A264" s="53"/>
      <c r="B264" s="85">
        <v>37082</v>
      </c>
      <c r="C264" s="1">
        <v>24.6</v>
      </c>
      <c r="D264" s="1">
        <v>25</v>
      </c>
      <c r="E264" s="1">
        <v>24.6</v>
      </c>
      <c r="F264" s="1">
        <v>24.9</v>
      </c>
      <c r="G264" s="1">
        <v>85700</v>
      </c>
    </row>
    <row r="265" spans="1:7" s="54" customFormat="1" ht="12.75">
      <c r="A265" s="53"/>
      <c r="B265" s="85">
        <v>37079</v>
      </c>
      <c r="C265" s="1">
        <v>23.96</v>
      </c>
      <c r="D265" s="1">
        <v>24.67</v>
      </c>
      <c r="E265" s="1">
        <v>23.85</v>
      </c>
      <c r="F265" s="1">
        <v>24.57</v>
      </c>
      <c r="G265" s="1">
        <v>58000</v>
      </c>
    </row>
    <row r="266" spans="1:7" s="54" customFormat="1" ht="12.75">
      <c r="A266" s="53"/>
      <c r="B266" s="85">
        <v>37078</v>
      </c>
      <c r="C266" s="1">
        <v>23.87</v>
      </c>
      <c r="D266" s="1">
        <v>23.91</v>
      </c>
      <c r="E266" s="1">
        <v>23.61</v>
      </c>
      <c r="F266" s="1">
        <v>23.91</v>
      </c>
      <c r="G266" s="1">
        <v>47900</v>
      </c>
    </row>
    <row r="267" spans="1:7" s="54" customFormat="1" ht="12.75">
      <c r="A267" s="53"/>
      <c r="B267" s="85">
        <v>37077</v>
      </c>
      <c r="C267" s="1">
        <v>24.45</v>
      </c>
      <c r="D267" s="1">
        <v>24.5</v>
      </c>
      <c r="E267" s="1">
        <v>23.77</v>
      </c>
      <c r="F267" s="1">
        <v>23.87</v>
      </c>
      <c r="G267" s="1">
        <v>88800</v>
      </c>
    </row>
    <row r="268" spans="1:7" s="54" customFormat="1" ht="12.75">
      <c r="A268" s="53"/>
      <c r="B268" s="85">
        <v>37076</v>
      </c>
      <c r="C268" s="1">
        <v>24.35</v>
      </c>
      <c r="D268" s="1">
        <v>24.5</v>
      </c>
      <c r="E268" s="1">
        <v>24.24</v>
      </c>
      <c r="F268" s="1">
        <v>24.5</v>
      </c>
      <c r="G268" s="1">
        <v>72300</v>
      </c>
    </row>
    <row r="269" spans="1:7" s="54" customFormat="1" ht="12.75">
      <c r="A269" s="53"/>
      <c r="B269" s="85">
        <v>37072</v>
      </c>
      <c r="C269" s="1">
        <v>24.05</v>
      </c>
      <c r="D269" s="1">
        <v>24.25</v>
      </c>
      <c r="E269" s="1">
        <v>23.95</v>
      </c>
      <c r="F269" s="1">
        <v>24.25</v>
      </c>
      <c r="G269" s="1">
        <v>32100</v>
      </c>
    </row>
    <row r="270" spans="1:7" s="54" customFormat="1" ht="12.75">
      <c r="A270" s="53"/>
      <c r="B270" s="85">
        <v>37071</v>
      </c>
      <c r="C270" s="1">
        <v>23.98</v>
      </c>
      <c r="D270" s="1">
        <v>24.19</v>
      </c>
      <c r="E270" s="1">
        <v>23.96</v>
      </c>
      <c r="F270" s="1">
        <v>23.96</v>
      </c>
      <c r="G270" s="1">
        <v>43800</v>
      </c>
    </row>
    <row r="271" spans="1:7" s="54" customFormat="1" ht="12.75">
      <c r="A271" s="53"/>
      <c r="B271" s="85">
        <v>37070</v>
      </c>
      <c r="C271" s="1">
        <v>24.05</v>
      </c>
      <c r="D271" s="1">
        <v>24.12</v>
      </c>
      <c r="E271" s="1">
        <v>23.85</v>
      </c>
      <c r="F271" s="1">
        <v>23.98</v>
      </c>
      <c r="G271" s="1">
        <v>39600</v>
      </c>
    </row>
    <row r="272" spans="1:7" s="54" customFormat="1" ht="12.75">
      <c r="A272" s="53"/>
      <c r="B272" s="85">
        <v>37069</v>
      </c>
      <c r="C272" s="1">
        <v>23.6</v>
      </c>
      <c r="D272" s="1">
        <v>24</v>
      </c>
      <c r="E272" s="1">
        <v>23.56</v>
      </c>
      <c r="F272" s="1">
        <v>24</v>
      </c>
      <c r="G272" s="1">
        <v>66800</v>
      </c>
    </row>
    <row r="273" spans="1:7" s="54" customFormat="1" ht="12.75">
      <c r="A273" s="53"/>
      <c r="B273" s="85">
        <v>37068</v>
      </c>
      <c r="C273" s="1">
        <v>23.65</v>
      </c>
      <c r="D273" s="1">
        <v>23.82</v>
      </c>
      <c r="E273" s="1">
        <v>23.49</v>
      </c>
      <c r="F273" s="1">
        <v>23.53</v>
      </c>
      <c r="G273" s="1">
        <v>51400</v>
      </c>
    </row>
    <row r="274" spans="1:7" s="54" customFormat="1" ht="12.75">
      <c r="A274" s="53"/>
      <c r="B274" s="85">
        <v>37065</v>
      </c>
      <c r="C274" s="1">
        <v>23.85</v>
      </c>
      <c r="D274" s="1">
        <v>23.9</v>
      </c>
      <c r="E274" s="1">
        <v>23.4</v>
      </c>
      <c r="F274" s="1">
        <v>23.75</v>
      </c>
      <c r="G274" s="1">
        <v>77800</v>
      </c>
    </row>
    <row r="275" spans="1:7" s="54" customFormat="1" ht="12.75">
      <c r="A275" s="53"/>
      <c r="B275" s="85">
        <v>37064</v>
      </c>
      <c r="C275" s="1">
        <v>24.02</v>
      </c>
      <c r="D275" s="1">
        <v>24.1</v>
      </c>
      <c r="E275" s="1">
        <v>23.6</v>
      </c>
      <c r="F275" s="1">
        <v>23.87</v>
      </c>
      <c r="G275" s="1">
        <v>51500</v>
      </c>
    </row>
    <row r="276" spans="1:7" s="54" customFormat="1" ht="12.75">
      <c r="A276" s="53"/>
      <c r="B276" s="85">
        <v>37063</v>
      </c>
      <c r="C276" s="1">
        <v>23.95</v>
      </c>
      <c r="D276" s="1">
        <v>24.1</v>
      </c>
      <c r="E276" s="1">
        <v>23.51</v>
      </c>
      <c r="F276" s="1">
        <v>24.09</v>
      </c>
      <c r="G276" s="1">
        <v>89100</v>
      </c>
    </row>
    <row r="277" spans="1:7" s="54" customFormat="1" ht="12.75">
      <c r="A277" s="53"/>
      <c r="B277" s="54" t="s">
        <v>111</v>
      </c>
      <c r="C277" s="56">
        <f>AVERAGE(C247:C276)</f>
        <v>24.072333333333333</v>
      </c>
      <c r="D277" s="56">
        <f>AVERAGE(D247:D276)</f>
        <v>24.26766666666667</v>
      </c>
      <c r="E277" s="56">
        <f>AVERAGE(E247:E276)</f>
        <v>23.821</v>
      </c>
      <c r="F277" s="57">
        <f>AVERAGE(F247:F276)</f>
        <v>24.064000000000004</v>
      </c>
      <c r="G277" s="56">
        <f>AVERAGE(G247:G276)</f>
        <v>67483.33333333333</v>
      </c>
    </row>
    <row r="278" spans="1:7" s="54" customFormat="1" ht="12.75">
      <c r="A278" s="53"/>
      <c r="B278" s="54" t="s">
        <v>38</v>
      </c>
      <c r="C278" s="54">
        <f>MEDIAN(C247:C276)</f>
        <v>24.035</v>
      </c>
      <c r="D278" s="54">
        <f>MEDIAN(D247:D276)</f>
        <v>24.2</v>
      </c>
      <c r="E278" s="54">
        <f>MEDIAN(E247:E276)</f>
        <v>23.735</v>
      </c>
      <c r="F278" s="54">
        <f>MEDIAN(F247:F276)</f>
        <v>24.009999999999998</v>
      </c>
      <c r="G278" s="54">
        <f>MEDIAN(G247:G276)</f>
        <v>63450</v>
      </c>
    </row>
    <row r="279" spans="1:7" s="54" customFormat="1" ht="12.75">
      <c r="A279" s="53"/>
      <c r="B279" s="54" t="s">
        <v>139</v>
      </c>
      <c r="C279" s="54">
        <f>MAX(C247:C276)</f>
        <v>24.8</v>
      </c>
      <c r="D279" s="54">
        <f>MAX(D247:D276)</f>
        <v>25.01</v>
      </c>
      <c r="E279" s="54">
        <f>MAX(E247:E276)</f>
        <v>24.65</v>
      </c>
      <c r="F279" s="54">
        <f>MAX(F247:F276)</f>
        <v>24.9</v>
      </c>
      <c r="G279" s="54">
        <f>MAX(G247:G276)</f>
        <v>158100</v>
      </c>
    </row>
    <row r="280" spans="1:7" s="54" customFormat="1" ht="12.75">
      <c r="A280" s="53"/>
      <c r="B280" s="54" t="s">
        <v>140</v>
      </c>
      <c r="C280" s="54">
        <f>MIN(C247:C276)</f>
        <v>23.6</v>
      </c>
      <c r="D280" s="54">
        <f>MIN(D247:D276)</f>
        <v>23.77</v>
      </c>
      <c r="E280" s="54">
        <f>MIN(E247:E276)</f>
        <v>23.37</v>
      </c>
      <c r="F280" s="54">
        <f>MIN(F247:F276)</f>
        <v>23.53</v>
      </c>
      <c r="G280" s="54">
        <f>MIN(G247:G276)</f>
        <v>32100</v>
      </c>
    </row>
    <row r="281" spans="1:7" s="54" customFormat="1" ht="12.75">
      <c r="A281" s="53" t="s">
        <v>120</v>
      </c>
      <c r="B281" t="s">
        <v>25</v>
      </c>
      <c r="C281" t="s">
        <v>26</v>
      </c>
      <c r="D281" t="s">
        <v>27</v>
      </c>
      <c r="E281" t="s">
        <v>28</v>
      </c>
      <c r="F281" t="s">
        <v>29</v>
      </c>
      <c r="G281" t="s">
        <v>30</v>
      </c>
    </row>
    <row r="282" spans="1:7" s="54" customFormat="1" ht="12.75">
      <c r="A282" s="53"/>
      <c r="B282" s="85">
        <v>37105</v>
      </c>
      <c r="C282" s="1">
        <v>77.6</v>
      </c>
      <c r="D282" s="1">
        <v>79.22</v>
      </c>
      <c r="E282" s="1">
        <v>77.39</v>
      </c>
      <c r="F282" s="1">
        <v>78.43</v>
      </c>
      <c r="G282" s="1">
        <v>1143500</v>
      </c>
    </row>
    <row r="283" spans="1:7" s="54" customFormat="1" ht="12.75">
      <c r="A283" s="53"/>
      <c r="B283" s="85">
        <v>37104</v>
      </c>
      <c r="C283" s="1">
        <v>76.1</v>
      </c>
      <c r="D283" s="1">
        <v>77.96</v>
      </c>
      <c r="E283" s="1">
        <v>76.09</v>
      </c>
      <c r="F283" s="1">
        <v>77.6</v>
      </c>
      <c r="G283" s="1">
        <v>1171600</v>
      </c>
    </row>
    <row r="284" spans="1:7" s="54" customFormat="1" ht="12.75">
      <c r="A284" s="53"/>
      <c r="B284" s="85">
        <v>37103</v>
      </c>
      <c r="C284" s="1">
        <v>78.1</v>
      </c>
      <c r="D284" s="1">
        <v>78.3</v>
      </c>
      <c r="E284" s="1">
        <v>75.89</v>
      </c>
      <c r="F284" s="1">
        <v>75.9</v>
      </c>
      <c r="G284" s="1">
        <v>1117400</v>
      </c>
    </row>
    <row r="285" spans="1:7" s="54" customFormat="1" ht="12.75">
      <c r="A285" s="53"/>
      <c r="B285" s="85">
        <v>37100</v>
      </c>
      <c r="C285" s="1">
        <v>77.85</v>
      </c>
      <c r="D285" s="1">
        <v>78.5</v>
      </c>
      <c r="E285" s="1">
        <v>77.82</v>
      </c>
      <c r="F285" s="1">
        <v>77.94</v>
      </c>
      <c r="G285" s="1">
        <v>859900</v>
      </c>
    </row>
    <row r="286" spans="1:7" s="54" customFormat="1" ht="12.75">
      <c r="A286" s="53"/>
      <c r="B286" s="85">
        <v>37099</v>
      </c>
      <c r="C286" s="1">
        <v>77.65</v>
      </c>
      <c r="D286" s="1">
        <v>78.14</v>
      </c>
      <c r="E286" s="1">
        <v>76.97</v>
      </c>
      <c r="F286" s="1">
        <v>78</v>
      </c>
      <c r="G286" s="1">
        <v>570400</v>
      </c>
    </row>
    <row r="287" spans="1:7" s="54" customFormat="1" ht="12.75">
      <c r="A287" s="53"/>
      <c r="B287" s="85">
        <v>37098</v>
      </c>
      <c r="C287" s="1">
        <v>77.9</v>
      </c>
      <c r="D287" s="1">
        <v>78.12</v>
      </c>
      <c r="E287" s="1">
        <v>77.46</v>
      </c>
      <c r="F287" s="1">
        <v>77.6</v>
      </c>
      <c r="G287" s="1">
        <v>755800</v>
      </c>
    </row>
    <row r="288" spans="1:7" s="54" customFormat="1" ht="12.75">
      <c r="A288" s="53"/>
      <c r="B288" s="85">
        <v>37097</v>
      </c>
      <c r="C288" s="1">
        <v>77.26</v>
      </c>
      <c r="D288" s="1">
        <v>77.75</v>
      </c>
      <c r="E288" s="1">
        <v>77.01</v>
      </c>
      <c r="F288" s="1">
        <v>77.45</v>
      </c>
      <c r="G288" s="1">
        <v>935200</v>
      </c>
    </row>
    <row r="289" spans="1:7" s="54" customFormat="1" ht="12.75">
      <c r="A289" s="53"/>
      <c r="B289" s="85">
        <v>37096</v>
      </c>
      <c r="C289" s="1">
        <v>76.5</v>
      </c>
      <c r="D289" s="1">
        <v>77.72</v>
      </c>
      <c r="E289" s="1">
        <v>76.45</v>
      </c>
      <c r="F289" s="1">
        <v>77.01</v>
      </c>
      <c r="G289" s="1">
        <v>1023300</v>
      </c>
    </row>
    <row r="290" spans="1:7" s="54" customFormat="1" ht="12.75">
      <c r="A290" s="53"/>
      <c r="B290" s="85">
        <v>37093</v>
      </c>
      <c r="C290" s="1">
        <v>75.82</v>
      </c>
      <c r="D290" s="1">
        <v>77.01</v>
      </c>
      <c r="E290" s="1">
        <v>75.8</v>
      </c>
      <c r="F290" s="1">
        <v>76.93</v>
      </c>
      <c r="G290" s="1">
        <v>773800</v>
      </c>
    </row>
    <row r="291" spans="1:7" s="54" customFormat="1" ht="12.75">
      <c r="A291" s="53"/>
      <c r="B291" s="85">
        <v>37092</v>
      </c>
      <c r="C291" s="1">
        <v>75.69</v>
      </c>
      <c r="D291" s="1">
        <v>75.8</v>
      </c>
      <c r="E291" s="1">
        <v>74.65</v>
      </c>
      <c r="F291" s="1">
        <v>75.52</v>
      </c>
      <c r="G291" s="1">
        <v>1493000</v>
      </c>
    </row>
    <row r="292" spans="1:7" s="54" customFormat="1" ht="12.75">
      <c r="A292" s="53"/>
      <c r="B292" s="85">
        <v>37091</v>
      </c>
      <c r="C292" s="1">
        <v>75.9</v>
      </c>
      <c r="D292" s="1">
        <v>76</v>
      </c>
      <c r="E292" s="1">
        <v>75.48</v>
      </c>
      <c r="F292" s="1">
        <v>75.8</v>
      </c>
      <c r="G292" s="1">
        <v>1281100</v>
      </c>
    </row>
    <row r="293" spans="1:7" s="54" customFormat="1" ht="12.75">
      <c r="A293" s="53"/>
      <c r="B293" s="85">
        <v>37090</v>
      </c>
      <c r="C293" s="1">
        <v>76.07</v>
      </c>
      <c r="D293" s="1">
        <v>76.46</v>
      </c>
      <c r="E293" s="1">
        <v>75.76</v>
      </c>
      <c r="F293" s="1">
        <v>76.1</v>
      </c>
      <c r="G293" s="1">
        <v>802200</v>
      </c>
    </row>
    <row r="294" spans="1:7" s="54" customFormat="1" ht="12.75">
      <c r="A294" s="53"/>
      <c r="B294" s="85">
        <v>37089</v>
      </c>
      <c r="C294" s="1">
        <v>75.85</v>
      </c>
      <c r="D294" s="1">
        <v>76.18</v>
      </c>
      <c r="E294" s="1">
        <v>75.65</v>
      </c>
      <c r="F294" s="1">
        <v>75.82</v>
      </c>
      <c r="G294" s="1">
        <v>783800</v>
      </c>
    </row>
    <row r="295" spans="1:7" s="54" customFormat="1" ht="12.75">
      <c r="A295" s="53"/>
      <c r="B295" s="85">
        <v>37086</v>
      </c>
      <c r="C295" s="1">
        <v>75.82</v>
      </c>
      <c r="D295" s="1">
        <v>76.15</v>
      </c>
      <c r="E295" s="1">
        <v>75.58</v>
      </c>
      <c r="F295" s="1">
        <v>75.8</v>
      </c>
      <c r="G295" s="1">
        <v>699600</v>
      </c>
    </row>
    <row r="296" spans="1:7" s="54" customFormat="1" ht="12.75">
      <c r="A296" s="53"/>
      <c r="B296" s="85">
        <v>37085</v>
      </c>
      <c r="C296" s="1">
        <v>77.11</v>
      </c>
      <c r="D296" s="1">
        <v>77.49</v>
      </c>
      <c r="E296" s="1">
        <v>75.57</v>
      </c>
      <c r="F296" s="1">
        <v>75.83</v>
      </c>
      <c r="G296" s="1">
        <v>953400</v>
      </c>
    </row>
    <row r="297" spans="1:7" s="54" customFormat="1" ht="12.75">
      <c r="A297" s="53"/>
      <c r="B297" s="85">
        <v>37084</v>
      </c>
      <c r="C297" s="1">
        <v>77.1</v>
      </c>
      <c r="D297" s="1">
        <v>77.44</v>
      </c>
      <c r="E297" s="1">
        <v>76.73</v>
      </c>
      <c r="F297" s="1">
        <v>77.11</v>
      </c>
      <c r="G297" s="1">
        <v>919100</v>
      </c>
    </row>
    <row r="298" spans="1:7" s="54" customFormat="1" ht="12.75">
      <c r="A298" s="53"/>
      <c r="B298" s="85">
        <v>37083</v>
      </c>
      <c r="C298" s="1">
        <v>77.29</v>
      </c>
      <c r="D298" s="1">
        <v>77.33</v>
      </c>
      <c r="E298" s="1">
        <v>76.56</v>
      </c>
      <c r="F298" s="1">
        <v>76.94</v>
      </c>
      <c r="G298" s="1">
        <v>790500</v>
      </c>
    </row>
    <row r="299" spans="1:7" s="54" customFormat="1" ht="12.75">
      <c r="A299" s="53"/>
      <c r="B299" s="85">
        <v>37082</v>
      </c>
      <c r="C299" s="1">
        <v>76.5</v>
      </c>
      <c r="D299" s="1">
        <v>77.23</v>
      </c>
      <c r="E299" s="1">
        <v>76.5</v>
      </c>
      <c r="F299" s="1">
        <v>77.09</v>
      </c>
      <c r="G299" s="1">
        <v>824800</v>
      </c>
    </row>
    <row r="300" spans="1:7" s="54" customFormat="1" ht="12.75">
      <c r="A300" s="53"/>
      <c r="B300" s="85">
        <v>37079</v>
      </c>
      <c r="C300" s="1">
        <v>75.95</v>
      </c>
      <c r="D300" s="1">
        <v>76.59</v>
      </c>
      <c r="E300" s="1">
        <v>75.69</v>
      </c>
      <c r="F300" s="1">
        <v>76.58</v>
      </c>
      <c r="G300" s="1">
        <v>1145200</v>
      </c>
    </row>
    <row r="301" spans="1:7" s="54" customFormat="1" ht="12.75">
      <c r="A301" s="53"/>
      <c r="B301" s="85">
        <v>37078</v>
      </c>
      <c r="C301" s="1">
        <v>75.21</v>
      </c>
      <c r="D301" s="1">
        <v>76.06</v>
      </c>
      <c r="E301" s="1">
        <v>75.1</v>
      </c>
      <c r="F301" s="1">
        <v>76.04</v>
      </c>
      <c r="G301" s="1">
        <v>1150500</v>
      </c>
    </row>
    <row r="302" spans="1:7" s="54" customFormat="1" ht="12.75">
      <c r="A302" s="53"/>
      <c r="B302" s="85">
        <v>37077</v>
      </c>
      <c r="C302" s="1">
        <v>76.47</v>
      </c>
      <c r="D302" s="1">
        <v>76.81</v>
      </c>
      <c r="E302" s="1">
        <v>75.44</v>
      </c>
      <c r="F302" s="1">
        <v>75.46</v>
      </c>
      <c r="G302" s="1">
        <v>986400</v>
      </c>
    </row>
    <row r="303" spans="1:7" s="54" customFormat="1" ht="12.75">
      <c r="A303" s="53"/>
      <c r="B303" s="85">
        <v>37076</v>
      </c>
      <c r="C303" s="1">
        <v>75.3</v>
      </c>
      <c r="D303" s="1">
        <v>76.61</v>
      </c>
      <c r="E303" s="1">
        <v>75.24</v>
      </c>
      <c r="F303" s="1">
        <v>76.51</v>
      </c>
      <c r="G303" s="1">
        <v>725300</v>
      </c>
    </row>
    <row r="304" spans="1:7" s="54" customFormat="1" ht="12.75">
      <c r="A304" s="53"/>
      <c r="B304" s="85">
        <v>37072</v>
      </c>
      <c r="C304" s="1">
        <v>75.75</v>
      </c>
      <c r="D304" s="1">
        <v>75.79</v>
      </c>
      <c r="E304" s="1">
        <v>75.25</v>
      </c>
      <c r="F304" s="1">
        <v>75.77</v>
      </c>
      <c r="G304" s="1">
        <v>1415800</v>
      </c>
    </row>
    <row r="305" spans="1:7" s="54" customFormat="1" ht="12.75">
      <c r="A305" s="53"/>
      <c r="B305" s="85">
        <v>37071</v>
      </c>
      <c r="C305" s="1">
        <v>75.55</v>
      </c>
      <c r="D305" s="1">
        <v>75.95</v>
      </c>
      <c r="E305" s="1">
        <v>75.26</v>
      </c>
      <c r="F305" s="1">
        <v>75.55</v>
      </c>
      <c r="G305" s="1">
        <v>2466900</v>
      </c>
    </row>
    <row r="306" spans="1:7" s="54" customFormat="1" ht="12.75">
      <c r="A306" s="53"/>
      <c r="B306" s="85">
        <v>37070</v>
      </c>
      <c r="C306" s="1">
        <v>75.75</v>
      </c>
      <c r="D306" s="1">
        <v>76.06</v>
      </c>
      <c r="E306" s="1">
        <v>75.25</v>
      </c>
      <c r="F306" s="1">
        <v>75.51</v>
      </c>
      <c r="G306" s="1">
        <v>1368300</v>
      </c>
    </row>
    <row r="307" spans="1:7" s="54" customFormat="1" ht="12.75">
      <c r="A307" s="53"/>
      <c r="B307" s="85">
        <v>37069</v>
      </c>
      <c r="C307" s="1">
        <v>75.25</v>
      </c>
      <c r="D307" s="1">
        <v>75.66</v>
      </c>
      <c r="E307" s="1">
        <v>75.1</v>
      </c>
      <c r="F307" s="1">
        <v>75.5</v>
      </c>
      <c r="G307" s="1">
        <v>938600</v>
      </c>
    </row>
    <row r="308" spans="1:7" s="54" customFormat="1" ht="12.75">
      <c r="A308" s="53"/>
      <c r="B308" s="85">
        <v>37068</v>
      </c>
      <c r="C308" s="1">
        <v>74.86</v>
      </c>
      <c r="D308" s="1">
        <v>75.46</v>
      </c>
      <c r="E308" s="1">
        <v>74.7</v>
      </c>
      <c r="F308" s="1">
        <v>75.01</v>
      </c>
      <c r="G308" s="1">
        <v>707000</v>
      </c>
    </row>
    <row r="309" spans="1:7" s="54" customFormat="1" ht="12.75">
      <c r="A309" s="53"/>
      <c r="B309" s="85">
        <v>37065</v>
      </c>
      <c r="C309" s="1">
        <v>75.69</v>
      </c>
      <c r="D309" s="1">
        <v>76.05</v>
      </c>
      <c r="E309" s="1">
        <v>74.75</v>
      </c>
      <c r="F309" s="1">
        <v>74.91</v>
      </c>
      <c r="G309" s="1">
        <v>857500</v>
      </c>
    </row>
    <row r="310" spans="1:7" s="54" customFormat="1" ht="12.75">
      <c r="A310" s="53"/>
      <c r="B310" s="85">
        <v>37064</v>
      </c>
      <c r="C310" s="1">
        <v>75.3</v>
      </c>
      <c r="D310" s="1">
        <v>76.09</v>
      </c>
      <c r="E310" s="1">
        <v>75.2</v>
      </c>
      <c r="F310" s="1">
        <v>75.87</v>
      </c>
      <c r="G310" s="1">
        <v>1148900</v>
      </c>
    </row>
    <row r="311" spans="1:7" s="54" customFormat="1" ht="12.75">
      <c r="A311" s="53"/>
      <c r="B311" s="85">
        <v>37063</v>
      </c>
      <c r="C311" s="1">
        <v>75.11</v>
      </c>
      <c r="D311" s="1">
        <v>75.42</v>
      </c>
      <c r="E311" s="1">
        <v>74.71</v>
      </c>
      <c r="F311" s="1">
        <v>75.35</v>
      </c>
      <c r="G311" s="1">
        <v>663700</v>
      </c>
    </row>
    <row r="312" spans="1:7" s="54" customFormat="1" ht="12.75">
      <c r="A312" s="53"/>
      <c r="B312" s="54" t="s">
        <v>111</v>
      </c>
      <c r="C312" s="56">
        <f>AVERAGE(C282:C311)</f>
        <v>76.27666666666667</v>
      </c>
      <c r="D312" s="56">
        <f>AVERAGE(D282:D311)</f>
        <v>76.84500000000001</v>
      </c>
      <c r="E312" s="56">
        <f>AVERAGE(E282:E311)</f>
        <v>75.835</v>
      </c>
      <c r="F312" s="57">
        <f>AVERAGE(F282:F311)</f>
        <v>76.3643333333333</v>
      </c>
      <c r="G312" s="56">
        <f>AVERAGE(G282:G311)</f>
        <v>1015750</v>
      </c>
    </row>
    <row r="313" spans="1:7" s="54" customFormat="1" ht="12.75">
      <c r="A313" s="53"/>
      <c r="B313" s="54" t="s">
        <v>38</v>
      </c>
      <c r="C313" s="54">
        <f>MEDIAN(C282:C311)</f>
        <v>75.92500000000001</v>
      </c>
      <c r="D313" s="54">
        <f>MEDIAN(D282:D311)</f>
        <v>76.6</v>
      </c>
      <c r="E313" s="54">
        <f>MEDIAN(E282:E311)</f>
        <v>75.61500000000001</v>
      </c>
      <c r="F313" s="54">
        <f>MEDIAN(F282:F311)</f>
        <v>75.97</v>
      </c>
      <c r="G313" s="54">
        <f>MEDIAN(G282:G311)</f>
        <v>936900</v>
      </c>
    </row>
    <row r="314" spans="1:7" s="54" customFormat="1" ht="12.75">
      <c r="A314" s="53"/>
      <c r="B314" s="54" t="s">
        <v>139</v>
      </c>
      <c r="C314" s="54">
        <f>MAX(C282:C311)</f>
        <v>78.1</v>
      </c>
      <c r="D314" s="54">
        <f>MAX(D282:D311)</f>
        <v>79.22</v>
      </c>
      <c r="E314" s="54">
        <f>MAX(E282:E311)</f>
        <v>77.82</v>
      </c>
      <c r="F314" s="54">
        <f>MAX(F282:F311)</f>
        <v>78.43</v>
      </c>
      <c r="G314" s="54">
        <f>MAX(G282:G311)</f>
        <v>2466900</v>
      </c>
    </row>
    <row r="315" spans="1:7" s="54" customFormat="1" ht="12.75">
      <c r="A315" s="53"/>
      <c r="B315" s="54" t="s">
        <v>140</v>
      </c>
      <c r="C315" s="54">
        <f>MIN(C282:C311)</f>
        <v>74.86</v>
      </c>
      <c r="D315" s="54">
        <f>MIN(D282:D311)</f>
        <v>75.42</v>
      </c>
      <c r="E315" s="54">
        <f>MIN(E282:E311)</f>
        <v>74.65</v>
      </c>
      <c r="F315" s="54">
        <f>MIN(F282:F311)</f>
        <v>74.91</v>
      </c>
      <c r="G315" s="54">
        <f>MIN(G282:G311)</f>
        <v>570400</v>
      </c>
    </row>
    <row r="316" spans="1:7" s="54" customFormat="1" ht="12.75">
      <c r="A316" s="53" t="s">
        <v>188</v>
      </c>
      <c r="B316" t="s">
        <v>25</v>
      </c>
      <c r="C316" t="s">
        <v>26</v>
      </c>
      <c r="D316" t="s">
        <v>27</v>
      </c>
      <c r="E316" t="s">
        <v>28</v>
      </c>
      <c r="F316" t="s">
        <v>29</v>
      </c>
      <c r="G316" t="s">
        <v>30</v>
      </c>
    </row>
    <row r="317" spans="1:7" s="54" customFormat="1" ht="12" customHeight="1">
      <c r="A317" s="53"/>
      <c r="B317" s="85">
        <v>37105</v>
      </c>
      <c r="C317" s="1">
        <v>19.39</v>
      </c>
      <c r="D317" s="1">
        <v>19.5</v>
      </c>
      <c r="E317" s="1">
        <v>19.28</v>
      </c>
      <c r="F317" s="1">
        <v>19.31</v>
      </c>
      <c r="G317" s="1">
        <v>143000</v>
      </c>
    </row>
    <row r="318" spans="1:7" s="54" customFormat="1" ht="12.75">
      <c r="A318" s="53"/>
      <c r="B318" s="85">
        <v>37104</v>
      </c>
      <c r="C318" s="1">
        <v>19.1</v>
      </c>
      <c r="D318" s="1">
        <v>19.41</v>
      </c>
      <c r="E318" s="1">
        <v>19.1</v>
      </c>
      <c r="F318" s="1">
        <v>19.39</v>
      </c>
      <c r="G318" s="1">
        <v>152200</v>
      </c>
    </row>
    <row r="319" spans="1:7" s="54" customFormat="1" ht="12.75">
      <c r="A319" s="53"/>
      <c r="B319" s="85">
        <v>37103</v>
      </c>
      <c r="C319" s="1">
        <v>18.1</v>
      </c>
      <c r="D319" s="1">
        <v>19.33</v>
      </c>
      <c r="E319" s="1">
        <v>18.1</v>
      </c>
      <c r="F319" s="1">
        <v>19.07</v>
      </c>
      <c r="G319" s="1">
        <v>265700</v>
      </c>
    </row>
    <row r="320" spans="1:7" s="54" customFormat="1" ht="12.75">
      <c r="A320" s="53"/>
      <c r="B320" s="85">
        <v>37100</v>
      </c>
      <c r="C320" s="1">
        <v>18.9</v>
      </c>
      <c r="D320" s="1">
        <v>19.25</v>
      </c>
      <c r="E320" s="1">
        <v>18.9</v>
      </c>
      <c r="F320" s="1">
        <v>19.04</v>
      </c>
      <c r="G320" s="1">
        <v>301700</v>
      </c>
    </row>
    <row r="321" spans="1:7" s="54" customFormat="1" ht="12.75">
      <c r="A321" s="53"/>
      <c r="B321" s="85">
        <v>37099</v>
      </c>
      <c r="C321" s="1">
        <v>19</v>
      </c>
      <c r="D321" s="1">
        <v>19.36</v>
      </c>
      <c r="E321" s="1">
        <v>18.85</v>
      </c>
      <c r="F321" s="1">
        <v>18.9</v>
      </c>
      <c r="G321" s="1">
        <v>240600</v>
      </c>
    </row>
    <row r="322" spans="1:7" s="54" customFormat="1" ht="12.75">
      <c r="A322" s="53"/>
      <c r="B322" s="85">
        <v>37098</v>
      </c>
      <c r="C322" s="1">
        <v>18.61</v>
      </c>
      <c r="D322" s="1">
        <v>19.18</v>
      </c>
      <c r="E322" s="1">
        <v>18.61</v>
      </c>
      <c r="F322" s="1">
        <v>18.94</v>
      </c>
      <c r="G322" s="1">
        <v>222000</v>
      </c>
    </row>
    <row r="323" spans="1:7" s="54" customFormat="1" ht="12.75">
      <c r="A323" s="53"/>
      <c r="B323" s="85">
        <v>37097</v>
      </c>
      <c r="C323" s="1">
        <v>18.5</v>
      </c>
      <c r="D323" s="1">
        <v>18.8</v>
      </c>
      <c r="E323" s="1">
        <v>18.48</v>
      </c>
      <c r="F323" s="1">
        <v>18.62</v>
      </c>
      <c r="G323" s="1">
        <v>100000</v>
      </c>
    </row>
    <row r="324" spans="1:7" s="54" customFormat="1" ht="12.75">
      <c r="A324" s="53"/>
      <c r="B324" s="85">
        <v>37096</v>
      </c>
      <c r="C324" s="1">
        <v>18.73</v>
      </c>
      <c r="D324" s="1">
        <v>18.8</v>
      </c>
      <c r="E324" s="1">
        <v>18.49</v>
      </c>
      <c r="F324" s="1">
        <v>18.49</v>
      </c>
      <c r="G324" s="1">
        <v>110300</v>
      </c>
    </row>
    <row r="325" spans="1:7" s="54" customFormat="1" ht="12.75">
      <c r="A325" s="53"/>
      <c r="B325" s="85">
        <v>37093</v>
      </c>
      <c r="C325" s="1">
        <v>18.3</v>
      </c>
      <c r="D325" s="1">
        <v>18.77</v>
      </c>
      <c r="E325" s="1">
        <v>18.29</v>
      </c>
      <c r="F325" s="1">
        <v>18.74</v>
      </c>
      <c r="G325" s="1">
        <v>97800</v>
      </c>
    </row>
    <row r="326" spans="1:7" s="54" customFormat="1" ht="12.75">
      <c r="A326" s="53"/>
      <c r="B326" s="85">
        <v>37092</v>
      </c>
      <c r="C326" s="1">
        <v>18.73</v>
      </c>
      <c r="D326" s="1">
        <v>18.77</v>
      </c>
      <c r="E326" s="1">
        <v>18.26</v>
      </c>
      <c r="F326" s="1">
        <v>18.27</v>
      </c>
      <c r="G326" s="1">
        <v>107800</v>
      </c>
    </row>
    <row r="327" spans="1:7" s="54" customFormat="1" ht="12.75">
      <c r="A327" s="53"/>
      <c r="B327" s="85">
        <v>37091</v>
      </c>
      <c r="C327" s="1">
        <v>18.65</v>
      </c>
      <c r="D327" s="1">
        <v>18.8</v>
      </c>
      <c r="E327" s="1">
        <v>18.63</v>
      </c>
      <c r="F327" s="1">
        <v>18.79</v>
      </c>
      <c r="G327" s="1">
        <v>133600</v>
      </c>
    </row>
    <row r="328" spans="1:7" s="54" customFormat="1" ht="12.75">
      <c r="A328" s="53"/>
      <c r="B328" s="85">
        <v>37090</v>
      </c>
      <c r="C328" s="1">
        <v>18.37</v>
      </c>
      <c r="D328" s="1">
        <v>18.87</v>
      </c>
      <c r="E328" s="1">
        <v>18.37</v>
      </c>
      <c r="F328" s="1">
        <v>18.74</v>
      </c>
      <c r="G328" s="1">
        <v>168900</v>
      </c>
    </row>
    <row r="329" spans="1:7" s="54" customFormat="1" ht="12.75">
      <c r="A329" s="53"/>
      <c r="B329" s="85">
        <v>37089</v>
      </c>
      <c r="C329" s="1">
        <v>18.5</v>
      </c>
      <c r="D329" s="1">
        <v>18.66</v>
      </c>
      <c r="E329" s="1">
        <v>18.32</v>
      </c>
      <c r="F329" s="1">
        <v>18.32</v>
      </c>
      <c r="G329" s="1">
        <v>141100</v>
      </c>
    </row>
    <row r="330" spans="1:7" s="54" customFormat="1" ht="12.75">
      <c r="A330" s="53"/>
      <c r="B330" s="85">
        <v>37086</v>
      </c>
      <c r="C330" s="1">
        <v>18.52</v>
      </c>
      <c r="D330" s="1">
        <v>18.67</v>
      </c>
      <c r="E330" s="1">
        <v>18.47</v>
      </c>
      <c r="F330" s="1">
        <v>18.51</v>
      </c>
      <c r="G330" s="1">
        <v>106200</v>
      </c>
    </row>
    <row r="331" spans="1:7" s="54" customFormat="1" ht="12.75">
      <c r="A331" s="53"/>
      <c r="B331" s="85">
        <v>37085</v>
      </c>
      <c r="C331" s="1">
        <v>18.84</v>
      </c>
      <c r="D331" s="1">
        <v>18.9</v>
      </c>
      <c r="E331" s="1">
        <v>18.44</v>
      </c>
      <c r="F331" s="1">
        <v>18.53</v>
      </c>
      <c r="G331" s="1">
        <v>179900</v>
      </c>
    </row>
    <row r="332" spans="1:7" s="54" customFormat="1" ht="12.75">
      <c r="A332" s="53"/>
      <c r="B332" s="85">
        <v>37084</v>
      </c>
      <c r="C332" s="1">
        <v>18.75</v>
      </c>
      <c r="D332" s="1">
        <v>18.8</v>
      </c>
      <c r="E332" s="1">
        <v>18.57</v>
      </c>
      <c r="F332" s="1">
        <v>18.57</v>
      </c>
      <c r="G332" s="1">
        <v>118800</v>
      </c>
    </row>
    <row r="333" spans="1:7" s="54" customFormat="1" ht="12.75">
      <c r="A333" s="53"/>
      <c r="B333" s="85">
        <v>37083</v>
      </c>
      <c r="C333" s="1">
        <v>18.91</v>
      </c>
      <c r="D333" s="1">
        <v>19</v>
      </c>
      <c r="E333" s="1">
        <v>18.74</v>
      </c>
      <c r="F333" s="1">
        <v>18.76</v>
      </c>
      <c r="G333" s="1">
        <v>139800</v>
      </c>
    </row>
    <row r="334" spans="1:7" s="54" customFormat="1" ht="12.75">
      <c r="A334" s="53"/>
      <c r="B334" s="85">
        <v>37082</v>
      </c>
      <c r="C334" s="1">
        <v>18.72</v>
      </c>
      <c r="D334" s="1">
        <v>19.05</v>
      </c>
      <c r="E334" s="1">
        <v>18.7</v>
      </c>
      <c r="F334" s="1">
        <v>18.9</v>
      </c>
      <c r="G334" s="1">
        <v>173500</v>
      </c>
    </row>
    <row r="335" spans="1:7" s="54" customFormat="1" ht="12.75">
      <c r="A335" s="53"/>
      <c r="B335" s="85">
        <v>37079</v>
      </c>
      <c r="C335" s="1">
        <v>18.59</v>
      </c>
      <c r="D335" s="1">
        <v>18.77</v>
      </c>
      <c r="E335" s="1">
        <v>18.42</v>
      </c>
      <c r="F335" s="1">
        <v>18.68</v>
      </c>
      <c r="G335" s="1">
        <v>119000</v>
      </c>
    </row>
    <row r="336" spans="1:7" s="54" customFormat="1" ht="12.75">
      <c r="A336" s="53"/>
      <c r="B336" s="85">
        <v>37078</v>
      </c>
      <c r="C336" s="1">
        <v>18.2</v>
      </c>
      <c r="D336" s="1">
        <v>18.59</v>
      </c>
      <c r="E336" s="1">
        <v>18.1</v>
      </c>
      <c r="F336" s="1">
        <v>18.56</v>
      </c>
      <c r="G336" s="1">
        <v>100300</v>
      </c>
    </row>
    <row r="337" spans="1:7" s="54" customFormat="1" ht="12.75">
      <c r="A337" s="53"/>
      <c r="B337" s="85">
        <v>37077</v>
      </c>
      <c r="C337" s="1">
        <v>18.8</v>
      </c>
      <c r="D337" s="1">
        <v>18.85</v>
      </c>
      <c r="E337" s="1">
        <v>18.38</v>
      </c>
      <c r="F337" s="1">
        <v>18.4</v>
      </c>
      <c r="G337" s="1">
        <v>108500</v>
      </c>
    </row>
    <row r="338" spans="1:7" s="54" customFormat="1" ht="12.75">
      <c r="A338" s="53"/>
      <c r="B338" s="85">
        <v>37076</v>
      </c>
      <c r="C338" s="1">
        <v>18.63</v>
      </c>
      <c r="D338" s="1">
        <v>18.85</v>
      </c>
      <c r="E338" s="1">
        <v>18.61</v>
      </c>
      <c r="F338" s="1">
        <v>18.81</v>
      </c>
      <c r="G338" s="1">
        <v>180400</v>
      </c>
    </row>
    <row r="339" spans="1:7" s="54" customFormat="1" ht="12.75">
      <c r="A339" s="53"/>
      <c r="B339" s="85">
        <v>37072</v>
      </c>
      <c r="C339" s="1">
        <v>18.63</v>
      </c>
      <c r="D339" s="1">
        <v>18.82</v>
      </c>
      <c r="E339" s="1">
        <v>18.54</v>
      </c>
      <c r="F339" s="1">
        <v>18.66</v>
      </c>
      <c r="G339" s="1">
        <v>186400</v>
      </c>
    </row>
    <row r="340" spans="1:7" s="54" customFormat="1" ht="12.75">
      <c r="A340" s="53"/>
      <c r="B340" s="85">
        <v>37071</v>
      </c>
      <c r="C340" s="1">
        <v>18.24</v>
      </c>
      <c r="D340" s="1">
        <v>18.66</v>
      </c>
      <c r="E340" s="1">
        <v>18.24</v>
      </c>
      <c r="F340" s="1">
        <v>18.59</v>
      </c>
      <c r="G340" s="1">
        <v>266500</v>
      </c>
    </row>
    <row r="341" spans="1:7" s="54" customFormat="1" ht="12.75">
      <c r="A341" s="53"/>
      <c r="B341" s="85">
        <v>37070</v>
      </c>
      <c r="C341" s="1">
        <v>18.36</v>
      </c>
      <c r="D341" s="1">
        <v>18.53</v>
      </c>
      <c r="E341" s="1">
        <v>18.2</v>
      </c>
      <c r="F341" s="1">
        <v>18.31</v>
      </c>
      <c r="G341" s="1">
        <v>296300</v>
      </c>
    </row>
    <row r="342" spans="1:7" s="54" customFormat="1" ht="12.75">
      <c r="A342" s="53"/>
      <c r="B342" s="85">
        <v>37069</v>
      </c>
      <c r="C342" s="1">
        <v>18.08</v>
      </c>
      <c r="D342" s="1">
        <v>18.39</v>
      </c>
      <c r="E342" s="1">
        <v>18.08</v>
      </c>
      <c r="F342" s="1">
        <v>18.34</v>
      </c>
      <c r="G342" s="1">
        <v>186300</v>
      </c>
    </row>
    <row r="343" spans="1:7" s="54" customFormat="1" ht="12.75">
      <c r="A343" s="53"/>
      <c r="B343" s="85">
        <v>37068</v>
      </c>
      <c r="C343" s="1">
        <v>17.79</v>
      </c>
      <c r="D343" s="1">
        <v>18.08</v>
      </c>
      <c r="E343" s="1">
        <v>17.61</v>
      </c>
      <c r="F343" s="1">
        <v>18.03</v>
      </c>
      <c r="G343" s="1">
        <v>160200</v>
      </c>
    </row>
    <row r="344" spans="1:7" s="54" customFormat="1" ht="12.75">
      <c r="A344" s="53"/>
      <c r="B344" s="85">
        <v>37065</v>
      </c>
      <c r="C344" s="1">
        <v>17.81</v>
      </c>
      <c r="D344" s="1">
        <v>18.02</v>
      </c>
      <c r="E344" s="1">
        <v>17.73</v>
      </c>
      <c r="F344" s="1">
        <v>17.82</v>
      </c>
      <c r="G344" s="1">
        <v>225200</v>
      </c>
    </row>
    <row r="345" spans="1:7" s="54" customFormat="1" ht="12.75">
      <c r="A345" s="53"/>
      <c r="B345" s="85">
        <v>37064</v>
      </c>
      <c r="C345" s="1">
        <v>18.02</v>
      </c>
      <c r="D345" s="1">
        <v>18.08</v>
      </c>
      <c r="E345" s="1">
        <v>17.81</v>
      </c>
      <c r="F345" s="1">
        <v>17.81</v>
      </c>
      <c r="G345" s="1">
        <v>183600</v>
      </c>
    </row>
    <row r="346" spans="1:7" s="54" customFormat="1" ht="12.75">
      <c r="A346" s="53"/>
      <c r="B346" s="85">
        <v>37063</v>
      </c>
      <c r="C346" s="1">
        <v>17.95</v>
      </c>
      <c r="D346" s="1">
        <v>18.1</v>
      </c>
      <c r="E346" s="1">
        <v>17.81</v>
      </c>
      <c r="F346" s="1">
        <v>18.06</v>
      </c>
      <c r="G346" s="1">
        <v>221800</v>
      </c>
    </row>
    <row r="347" spans="1:7" s="54" customFormat="1" ht="12.75">
      <c r="A347" s="53"/>
      <c r="B347" s="54" t="s">
        <v>111</v>
      </c>
      <c r="C347" s="56">
        <f>AVERAGE(C317:C346)</f>
        <v>18.524</v>
      </c>
      <c r="D347" s="56">
        <f>AVERAGE(D317:D346)</f>
        <v>18.788666666666675</v>
      </c>
      <c r="E347" s="56">
        <f>AVERAGE(E317:E346)</f>
        <v>18.40433333333333</v>
      </c>
      <c r="F347" s="57">
        <f>AVERAGE(F317:F346)</f>
        <v>18.598666666666663</v>
      </c>
      <c r="G347" s="56">
        <f>AVERAGE(G317:G346)</f>
        <v>171246.66666666666</v>
      </c>
    </row>
    <row r="348" spans="1:7" s="54" customFormat="1" ht="12.75">
      <c r="A348" s="53"/>
      <c r="B348" s="54" t="s">
        <v>38</v>
      </c>
      <c r="C348" s="54">
        <f>MEDIAN(C317:C346)</f>
        <v>18.6</v>
      </c>
      <c r="D348" s="54">
        <f>MEDIAN(D317:D346)</f>
        <v>18.8</v>
      </c>
      <c r="E348" s="54">
        <f>MEDIAN(E317:E346)</f>
        <v>18.43</v>
      </c>
      <c r="F348" s="54">
        <f>MEDIAN(F317:F346)</f>
        <v>18.605</v>
      </c>
      <c r="G348" s="54">
        <f>MEDIAN(G317:G346)</f>
        <v>164550</v>
      </c>
    </row>
    <row r="349" spans="1:7" s="54" customFormat="1" ht="12.75">
      <c r="A349" s="53"/>
      <c r="B349" s="54" t="s">
        <v>139</v>
      </c>
      <c r="C349" s="54">
        <f>MAX(C317:C346)</f>
        <v>19.39</v>
      </c>
      <c r="D349" s="54">
        <f>MAX(D317:D346)</f>
        <v>19.5</v>
      </c>
      <c r="E349" s="54">
        <f>MAX(E317:E346)</f>
        <v>19.28</v>
      </c>
      <c r="F349" s="54">
        <f>MAX(F317:F346)</f>
        <v>19.39</v>
      </c>
      <c r="G349" s="54">
        <f>MAX(G317:G346)</f>
        <v>301700</v>
      </c>
    </row>
    <row r="350" spans="1:7" s="54" customFormat="1" ht="12.75">
      <c r="A350" s="53"/>
      <c r="B350" s="54" t="s">
        <v>140</v>
      </c>
      <c r="C350" s="54">
        <f>MIN(C317:C346)</f>
        <v>17.79</v>
      </c>
      <c r="D350" s="54">
        <f>MIN(D317:D346)</f>
        <v>18.02</v>
      </c>
      <c r="E350" s="54">
        <f>MIN(E317:E346)</f>
        <v>17.61</v>
      </c>
      <c r="F350" s="54">
        <f>MIN(F317:F346)</f>
        <v>17.81</v>
      </c>
      <c r="G350" s="54">
        <f>MIN(G317:G346)</f>
        <v>97800</v>
      </c>
    </row>
    <row r="351" spans="1:7" s="54" customFormat="1" ht="12.75">
      <c r="A351" s="53" t="s">
        <v>121</v>
      </c>
      <c r="B351" t="s">
        <v>25</v>
      </c>
      <c r="C351" t="s">
        <v>26</v>
      </c>
      <c r="D351" t="s">
        <v>27</v>
      </c>
      <c r="E351" t="s">
        <v>28</v>
      </c>
      <c r="F351" t="s">
        <v>29</v>
      </c>
      <c r="G351" t="s">
        <v>30</v>
      </c>
    </row>
    <row r="352" spans="1:7" s="54" customFormat="1" ht="12.75">
      <c r="A352" s="53"/>
      <c r="B352" s="85">
        <v>37105</v>
      </c>
      <c r="C352" s="1">
        <v>27.47</v>
      </c>
      <c r="D352" s="1">
        <v>27.81</v>
      </c>
      <c r="E352" s="1">
        <v>27.43</v>
      </c>
      <c r="F352" s="1">
        <v>27.63</v>
      </c>
      <c r="G352" s="1">
        <v>202600</v>
      </c>
    </row>
    <row r="353" spans="1:7" s="54" customFormat="1" ht="12.75">
      <c r="A353" s="53"/>
      <c r="B353" s="85">
        <v>37104</v>
      </c>
      <c r="C353" s="1">
        <v>27.26</v>
      </c>
      <c r="D353" s="1">
        <v>27.55</v>
      </c>
      <c r="E353" s="1">
        <v>27.25</v>
      </c>
      <c r="F353" s="1">
        <v>27.49</v>
      </c>
      <c r="G353" s="1">
        <v>220500</v>
      </c>
    </row>
    <row r="354" spans="1:7" s="54" customFormat="1" ht="12.75">
      <c r="A354" s="53"/>
      <c r="B354" s="85">
        <v>37103</v>
      </c>
      <c r="C354" s="1">
        <v>27</v>
      </c>
      <c r="D354" s="1">
        <v>27.32</v>
      </c>
      <c r="E354" s="1">
        <v>26.99</v>
      </c>
      <c r="F354" s="1">
        <v>27.19</v>
      </c>
      <c r="G354" s="1">
        <v>384200</v>
      </c>
    </row>
    <row r="355" spans="1:7" s="54" customFormat="1" ht="12.75">
      <c r="A355" s="53"/>
      <c r="B355" s="85">
        <v>37100</v>
      </c>
      <c r="C355" s="1">
        <v>26.85</v>
      </c>
      <c r="D355" s="1">
        <v>27</v>
      </c>
      <c r="E355" s="1">
        <v>26.82</v>
      </c>
      <c r="F355" s="1">
        <v>26.93</v>
      </c>
      <c r="G355" s="1">
        <v>238000</v>
      </c>
    </row>
    <row r="356" spans="1:7" s="54" customFormat="1" ht="12.75">
      <c r="A356" s="53"/>
      <c r="B356" s="85">
        <v>37099</v>
      </c>
      <c r="C356" s="1">
        <v>26.68</v>
      </c>
      <c r="D356" s="1">
        <v>26.82</v>
      </c>
      <c r="E356" s="1">
        <v>26.55</v>
      </c>
      <c r="F356" s="1">
        <v>26.81</v>
      </c>
      <c r="G356" s="1">
        <v>367000</v>
      </c>
    </row>
    <row r="357" spans="1:7" s="54" customFormat="1" ht="12.75">
      <c r="A357" s="53"/>
      <c r="B357" s="85">
        <v>37098</v>
      </c>
      <c r="C357" s="1">
        <v>27</v>
      </c>
      <c r="D357" s="1">
        <v>27</v>
      </c>
      <c r="E357" s="1">
        <v>26.66</v>
      </c>
      <c r="F357" s="1">
        <v>26.68</v>
      </c>
      <c r="G357" s="1">
        <v>390900</v>
      </c>
    </row>
    <row r="358" spans="1:7" s="54" customFormat="1" ht="12.75">
      <c r="A358" s="53"/>
      <c r="B358" s="85">
        <v>37097</v>
      </c>
      <c r="C358" s="1">
        <v>27.36</v>
      </c>
      <c r="D358" s="1">
        <v>27.36</v>
      </c>
      <c r="E358" s="1">
        <v>26.88</v>
      </c>
      <c r="F358" s="1">
        <v>26.92</v>
      </c>
      <c r="G358" s="1">
        <v>229300</v>
      </c>
    </row>
    <row r="359" spans="1:7" s="54" customFormat="1" ht="12.75">
      <c r="A359" s="53"/>
      <c r="B359" s="85">
        <v>37096</v>
      </c>
      <c r="C359" s="1">
        <v>27.77</v>
      </c>
      <c r="D359" s="1">
        <v>27.77</v>
      </c>
      <c r="E359" s="1">
        <v>27.3</v>
      </c>
      <c r="F359" s="1">
        <v>27.37</v>
      </c>
      <c r="G359" s="1">
        <v>211500</v>
      </c>
    </row>
    <row r="360" spans="1:7" s="54" customFormat="1" ht="12.75">
      <c r="A360" s="53"/>
      <c r="B360" s="85">
        <v>37093</v>
      </c>
      <c r="C360" s="1">
        <v>27.23</v>
      </c>
      <c r="D360" s="1">
        <v>27.67</v>
      </c>
      <c r="E360" s="1">
        <v>27.23</v>
      </c>
      <c r="F360" s="1">
        <v>27.67</v>
      </c>
      <c r="G360" s="1">
        <v>179200</v>
      </c>
    </row>
    <row r="361" spans="1:7" s="54" customFormat="1" ht="12.75">
      <c r="A361" s="53"/>
      <c r="B361" s="85">
        <v>37092</v>
      </c>
      <c r="C361" s="1">
        <v>27.43</v>
      </c>
      <c r="D361" s="1">
        <v>27.5</v>
      </c>
      <c r="E361" s="1">
        <v>27.01</v>
      </c>
      <c r="F361" s="1">
        <v>27.24</v>
      </c>
      <c r="G361" s="1">
        <v>274600</v>
      </c>
    </row>
    <row r="362" spans="1:7" s="54" customFormat="1" ht="12.75">
      <c r="A362" s="53"/>
      <c r="B362" s="85">
        <v>37091</v>
      </c>
      <c r="C362" s="1">
        <v>27.58</v>
      </c>
      <c r="D362" s="1">
        <v>27.7</v>
      </c>
      <c r="E362" s="1">
        <v>27.47</v>
      </c>
      <c r="F362" s="1">
        <v>27.48</v>
      </c>
      <c r="G362" s="1">
        <v>146600</v>
      </c>
    </row>
    <row r="363" spans="1:7" s="54" customFormat="1" ht="12.75">
      <c r="A363" s="53"/>
      <c r="B363" s="85">
        <v>37090</v>
      </c>
      <c r="C363" s="1">
        <v>27.59</v>
      </c>
      <c r="D363" s="1">
        <v>27.63</v>
      </c>
      <c r="E363" s="1">
        <v>27.44</v>
      </c>
      <c r="F363" s="1">
        <v>27.55</v>
      </c>
      <c r="G363" s="1">
        <v>202500</v>
      </c>
    </row>
    <row r="364" spans="1:7" s="54" customFormat="1" ht="12.75">
      <c r="A364" s="53"/>
      <c r="B364" s="85">
        <v>37089</v>
      </c>
      <c r="C364" s="1">
        <v>27.33</v>
      </c>
      <c r="D364" s="1">
        <v>27.66</v>
      </c>
      <c r="E364" s="1">
        <v>27.33</v>
      </c>
      <c r="F364" s="1">
        <v>27.44</v>
      </c>
      <c r="G364" s="1">
        <v>288800</v>
      </c>
    </row>
    <row r="365" spans="1:7" s="54" customFormat="1" ht="12.75">
      <c r="A365" s="53"/>
      <c r="B365" s="85">
        <v>37086</v>
      </c>
      <c r="C365" s="1">
        <v>27.3</v>
      </c>
      <c r="D365" s="1">
        <v>27.44</v>
      </c>
      <c r="E365" s="1">
        <v>27.21</v>
      </c>
      <c r="F365" s="1">
        <v>27.4</v>
      </c>
      <c r="G365" s="1">
        <v>181000</v>
      </c>
    </row>
    <row r="366" spans="1:7" s="54" customFormat="1" ht="12.75">
      <c r="A366" s="53"/>
      <c r="B366" s="85">
        <v>37085</v>
      </c>
      <c r="C366" s="1">
        <v>27.62</v>
      </c>
      <c r="D366" s="1">
        <v>27.62</v>
      </c>
      <c r="E366" s="1">
        <v>27.22</v>
      </c>
      <c r="F366" s="1">
        <v>27.32</v>
      </c>
      <c r="G366" s="1">
        <v>245000</v>
      </c>
    </row>
    <row r="367" spans="1:7" s="54" customFormat="1" ht="12.75">
      <c r="A367" s="53"/>
      <c r="B367" s="85">
        <v>37084</v>
      </c>
      <c r="C367" s="1">
        <v>27.6</v>
      </c>
      <c r="D367" s="1">
        <v>27.74</v>
      </c>
      <c r="E367" s="1">
        <v>27.45</v>
      </c>
      <c r="F367" s="1">
        <v>27.46</v>
      </c>
      <c r="G367" s="1">
        <v>148200</v>
      </c>
    </row>
    <row r="368" spans="1:7" s="54" customFormat="1" ht="12.75">
      <c r="A368" s="53"/>
      <c r="B368" s="85">
        <v>37083</v>
      </c>
      <c r="C368" s="1">
        <v>27.31</v>
      </c>
      <c r="D368" s="1">
        <v>27.6</v>
      </c>
      <c r="E368" s="1">
        <v>27.25</v>
      </c>
      <c r="F368" s="1">
        <v>27.45</v>
      </c>
      <c r="G368" s="1">
        <v>135600</v>
      </c>
    </row>
    <row r="369" spans="1:7" s="54" customFormat="1" ht="12.75">
      <c r="A369" s="53"/>
      <c r="B369" s="85">
        <v>37082</v>
      </c>
      <c r="C369" s="1">
        <v>27.2</v>
      </c>
      <c r="D369" s="1">
        <v>27.37</v>
      </c>
      <c r="E369" s="1">
        <v>27.17</v>
      </c>
      <c r="F369" s="1">
        <v>27.33</v>
      </c>
      <c r="G369" s="1">
        <v>113400</v>
      </c>
    </row>
    <row r="370" spans="1:7" s="54" customFormat="1" ht="12.75">
      <c r="A370" s="53"/>
      <c r="B370" s="85">
        <v>37079</v>
      </c>
      <c r="C370" s="1">
        <v>26.73</v>
      </c>
      <c r="D370" s="1">
        <v>27.13</v>
      </c>
      <c r="E370" s="1">
        <v>26.7</v>
      </c>
      <c r="F370" s="1">
        <v>27.12</v>
      </c>
      <c r="G370" s="1">
        <v>113800</v>
      </c>
    </row>
    <row r="371" spans="1:7" s="54" customFormat="1" ht="12.75">
      <c r="A371" s="53"/>
      <c r="B371" s="85">
        <v>37078</v>
      </c>
      <c r="C371" s="1">
        <v>26.52</v>
      </c>
      <c r="D371" s="1">
        <v>26.83</v>
      </c>
      <c r="E371" s="1">
        <v>26.51</v>
      </c>
      <c r="F371" s="1">
        <v>26.66</v>
      </c>
      <c r="G371" s="1">
        <v>198900</v>
      </c>
    </row>
    <row r="372" spans="1:7" s="54" customFormat="1" ht="12.75">
      <c r="A372" s="53"/>
      <c r="B372" s="85">
        <v>37077</v>
      </c>
      <c r="C372" s="1">
        <v>27.34</v>
      </c>
      <c r="D372" s="1">
        <v>27.35</v>
      </c>
      <c r="E372" s="1">
        <v>26.64</v>
      </c>
      <c r="F372" s="1">
        <v>26.66</v>
      </c>
      <c r="G372" s="1">
        <v>206200</v>
      </c>
    </row>
    <row r="373" spans="1:7" s="54" customFormat="1" ht="12.75">
      <c r="A373" s="53"/>
      <c r="B373" s="85">
        <v>37076</v>
      </c>
      <c r="C373" s="1">
        <v>27.15</v>
      </c>
      <c r="D373" s="1">
        <v>27.31</v>
      </c>
      <c r="E373" s="1">
        <v>26.98</v>
      </c>
      <c r="F373" s="1">
        <v>27.27</v>
      </c>
      <c r="G373" s="1">
        <v>159400</v>
      </c>
    </row>
    <row r="374" spans="1:7" s="54" customFormat="1" ht="12.75">
      <c r="A374" s="53"/>
      <c r="B374" s="85">
        <v>37072</v>
      </c>
      <c r="C374" s="1">
        <v>26.81</v>
      </c>
      <c r="D374" s="1">
        <v>27.22</v>
      </c>
      <c r="E374" s="1">
        <v>26.81</v>
      </c>
      <c r="F374" s="1">
        <v>27.2</v>
      </c>
      <c r="G374" s="1">
        <v>187700</v>
      </c>
    </row>
    <row r="375" spans="1:7" s="54" customFormat="1" ht="12.75">
      <c r="A375" s="53"/>
      <c r="B375" s="85">
        <v>37071</v>
      </c>
      <c r="C375" s="1">
        <v>26.93</v>
      </c>
      <c r="D375" s="1">
        <v>27.09</v>
      </c>
      <c r="E375" s="1">
        <v>26.79</v>
      </c>
      <c r="F375" s="1">
        <v>26.81</v>
      </c>
      <c r="G375" s="1">
        <v>203700</v>
      </c>
    </row>
    <row r="376" spans="1:7" s="54" customFormat="1" ht="12.75">
      <c r="A376" s="53"/>
      <c r="B376" s="85">
        <v>37070</v>
      </c>
      <c r="C376" s="1">
        <v>26.8</v>
      </c>
      <c r="D376" s="1">
        <v>27.06</v>
      </c>
      <c r="E376" s="1">
        <v>26.7</v>
      </c>
      <c r="F376" s="1">
        <v>26.89</v>
      </c>
      <c r="G376" s="1">
        <v>155600</v>
      </c>
    </row>
    <row r="377" spans="1:7" s="54" customFormat="1" ht="12.75">
      <c r="A377" s="53"/>
      <c r="B377" s="85">
        <v>37069</v>
      </c>
      <c r="C377" s="1">
        <v>26.78</v>
      </c>
      <c r="D377" s="1">
        <v>26.98</v>
      </c>
      <c r="E377" s="1">
        <v>26.74</v>
      </c>
      <c r="F377" s="1">
        <v>26.84</v>
      </c>
      <c r="G377" s="1">
        <v>230900</v>
      </c>
    </row>
    <row r="378" spans="1:7" s="54" customFormat="1" ht="12.75">
      <c r="A378" s="53"/>
      <c r="B378" s="85">
        <v>37068</v>
      </c>
      <c r="C378" s="1">
        <v>26.61</v>
      </c>
      <c r="D378" s="1">
        <v>26.77</v>
      </c>
      <c r="E378" s="1">
        <v>26.51</v>
      </c>
      <c r="F378" s="1">
        <v>26.65</v>
      </c>
      <c r="G378" s="1">
        <v>184100</v>
      </c>
    </row>
    <row r="379" spans="1:7" s="54" customFormat="1" ht="12.75">
      <c r="A379" s="53"/>
      <c r="B379" s="85">
        <v>37065</v>
      </c>
      <c r="C379" s="1">
        <v>27.12</v>
      </c>
      <c r="D379" s="1">
        <v>27.21</v>
      </c>
      <c r="E379" s="1">
        <v>26.58</v>
      </c>
      <c r="F379" s="1">
        <v>26.59</v>
      </c>
      <c r="G379" s="1">
        <v>281000</v>
      </c>
    </row>
    <row r="380" spans="1:7" s="54" customFormat="1" ht="12.75">
      <c r="A380" s="53"/>
      <c r="B380" s="85">
        <v>37064</v>
      </c>
      <c r="C380" s="1">
        <v>27.21</v>
      </c>
      <c r="D380" s="1">
        <v>27.4</v>
      </c>
      <c r="E380" s="1">
        <v>27.04</v>
      </c>
      <c r="F380" s="1">
        <v>27.17</v>
      </c>
      <c r="G380" s="1">
        <v>203900</v>
      </c>
    </row>
    <row r="381" spans="1:7" s="54" customFormat="1" ht="12.75">
      <c r="A381" s="53"/>
      <c r="B381" s="85">
        <v>37063</v>
      </c>
      <c r="C381" s="1">
        <v>27.17</v>
      </c>
      <c r="D381" s="1">
        <v>27.35</v>
      </c>
      <c r="E381" s="1">
        <v>27.08</v>
      </c>
      <c r="F381" s="1">
        <v>27.21</v>
      </c>
      <c r="G381" s="1">
        <v>193200</v>
      </c>
    </row>
    <row r="382" spans="1:7" s="54" customFormat="1" ht="12.75">
      <c r="A382" s="53"/>
      <c r="B382" s="54" t="s">
        <v>111</v>
      </c>
      <c r="C382" s="56">
        <f>AVERAGE(C352:C381)</f>
        <v>27.158333333333324</v>
      </c>
      <c r="D382" s="56">
        <f>AVERAGE(D352:D381)</f>
        <v>27.342000000000002</v>
      </c>
      <c r="E382" s="56">
        <f>AVERAGE(E352:E381)</f>
        <v>26.991333333333333</v>
      </c>
      <c r="F382" s="57">
        <f>AVERAGE(F352:F381)</f>
        <v>27.147666666666666</v>
      </c>
      <c r="G382" s="56">
        <f>AVERAGE(G352:G381)</f>
        <v>215910</v>
      </c>
    </row>
    <row r="383" spans="1:7" s="54" customFormat="1" ht="12.75">
      <c r="A383" s="53"/>
      <c r="B383" s="54" t="s">
        <v>38</v>
      </c>
      <c r="C383" s="54">
        <f>MEDIAN(C352:C381)</f>
        <v>27.205</v>
      </c>
      <c r="D383" s="54">
        <f>MEDIAN(D352:D381)</f>
        <v>27.355</v>
      </c>
      <c r="E383" s="54">
        <f>MEDIAN(E352:E381)</f>
        <v>27</v>
      </c>
      <c r="F383" s="54">
        <f>MEDIAN(F352:F381)</f>
        <v>27.205</v>
      </c>
      <c r="G383" s="54">
        <f>MEDIAN(G352:G381)</f>
        <v>203150</v>
      </c>
    </row>
    <row r="384" spans="1:7" s="54" customFormat="1" ht="12.75">
      <c r="A384" s="53"/>
      <c r="B384" s="54" t="s">
        <v>139</v>
      </c>
      <c r="C384" s="54">
        <f>MAX(C352:C381)</f>
        <v>27.77</v>
      </c>
      <c r="D384" s="54">
        <f>MAX(D352:D381)</f>
        <v>27.81</v>
      </c>
      <c r="E384" s="54">
        <f>MAX(E352:E381)</f>
        <v>27.47</v>
      </c>
      <c r="F384" s="54">
        <f>MAX(F352:F381)</f>
        <v>27.67</v>
      </c>
      <c r="G384" s="54">
        <f>MAX(G352:G381)</f>
        <v>390900</v>
      </c>
    </row>
    <row r="385" spans="1:7" s="54" customFormat="1" ht="12.75">
      <c r="A385" s="53"/>
      <c r="B385" s="54" t="s">
        <v>140</v>
      </c>
      <c r="C385" s="54">
        <f>MIN(C352:C381)</f>
        <v>26.52</v>
      </c>
      <c r="D385" s="54">
        <f>MIN(D352:D381)</f>
        <v>26.77</v>
      </c>
      <c r="E385" s="54">
        <f>MIN(E352:E381)</f>
        <v>26.51</v>
      </c>
      <c r="F385" s="54">
        <f>MIN(F352:F381)</f>
        <v>26.59</v>
      </c>
      <c r="G385" s="54">
        <f>MIN(G352:G381)</f>
        <v>113400</v>
      </c>
    </row>
    <row r="386" spans="1:7" s="54" customFormat="1" ht="12.75">
      <c r="A386" s="53" t="s">
        <v>33</v>
      </c>
      <c r="B386" t="s">
        <v>25</v>
      </c>
      <c r="C386" t="s">
        <v>26</v>
      </c>
      <c r="D386" t="s">
        <v>27</v>
      </c>
      <c r="E386" t="s">
        <v>28</v>
      </c>
      <c r="F386" t="s">
        <v>29</v>
      </c>
      <c r="G386" t="s">
        <v>30</v>
      </c>
    </row>
    <row r="387" spans="1:7" s="54" customFormat="1" ht="12.75">
      <c r="A387" s="53"/>
      <c r="B387" s="85">
        <v>37105</v>
      </c>
      <c r="C387" s="1">
        <v>29.88</v>
      </c>
      <c r="D387" s="1">
        <v>30.43</v>
      </c>
      <c r="E387" s="1">
        <v>29.82</v>
      </c>
      <c r="F387" s="1">
        <v>30.26</v>
      </c>
      <c r="G387" s="1">
        <v>703600</v>
      </c>
    </row>
    <row r="388" spans="1:7" s="54" customFormat="1" ht="12.75">
      <c r="A388" s="53"/>
      <c r="B388" s="85">
        <v>37104</v>
      </c>
      <c r="C388" s="1">
        <v>29</v>
      </c>
      <c r="D388" s="1">
        <v>29.81</v>
      </c>
      <c r="E388" s="1">
        <v>29</v>
      </c>
      <c r="F388" s="1">
        <v>29.65</v>
      </c>
      <c r="G388" s="1">
        <v>594300</v>
      </c>
    </row>
    <row r="389" spans="1:7" s="54" customFormat="1" ht="12.75">
      <c r="A389" s="53"/>
      <c r="B389" s="85">
        <v>37103</v>
      </c>
      <c r="C389" s="1">
        <v>29.6</v>
      </c>
      <c r="D389" s="1">
        <v>29.6</v>
      </c>
      <c r="E389" s="1">
        <v>28.78</v>
      </c>
      <c r="F389" s="1">
        <v>28.89</v>
      </c>
      <c r="G389" s="1">
        <v>314000</v>
      </c>
    </row>
    <row r="390" spans="1:7" s="54" customFormat="1" ht="12.75">
      <c r="A390" s="53"/>
      <c r="B390" s="85">
        <v>37100</v>
      </c>
      <c r="C390" s="1">
        <v>29.15</v>
      </c>
      <c r="D390" s="1">
        <v>29.49</v>
      </c>
      <c r="E390" s="1">
        <v>29.09</v>
      </c>
      <c r="F390" s="1">
        <v>29.39</v>
      </c>
      <c r="G390" s="1">
        <v>532100</v>
      </c>
    </row>
    <row r="391" spans="1:7" s="54" customFormat="1" ht="12.75">
      <c r="A391" s="53"/>
      <c r="B391" s="85">
        <v>37099</v>
      </c>
      <c r="C391" s="1">
        <v>28.85</v>
      </c>
      <c r="D391" s="1">
        <v>29.26</v>
      </c>
      <c r="E391" s="1">
        <v>28.81</v>
      </c>
      <c r="F391" s="1">
        <v>29.15</v>
      </c>
      <c r="G391" s="1">
        <v>559600</v>
      </c>
    </row>
    <row r="392" spans="1:7" s="54" customFormat="1" ht="12.75">
      <c r="A392" s="53"/>
      <c r="B392" s="85">
        <v>37098</v>
      </c>
      <c r="C392" s="1">
        <v>29.09</v>
      </c>
      <c r="D392" s="1">
        <v>29.09</v>
      </c>
      <c r="E392" s="1">
        <v>28.61</v>
      </c>
      <c r="F392" s="1">
        <v>28.85</v>
      </c>
      <c r="G392" s="1">
        <v>485900</v>
      </c>
    </row>
    <row r="393" spans="1:7" s="54" customFormat="1" ht="12.75">
      <c r="A393" s="53"/>
      <c r="B393" s="85">
        <v>37097</v>
      </c>
      <c r="C393" s="1">
        <v>29.15</v>
      </c>
      <c r="D393" s="1">
        <v>29.15</v>
      </c>
      <c r="E393" s="1">
        <v>28.57</v>
      </c>
      <c r="F393" s="1">
        <v>28.83</v>
      </c>
      <c r="G393" s="1">
        <v>465200</v>
      </c>
    </row>
    <row r="394" spans="1:7" s="54" customFormat="1" ht="12.75">
      <c r="A394" s="53"/>
      <c r="B394" s="85">
        <v>37096</v>
      </c>
      <c r="C394" s="1">
        <v>28.89</v>
      </c>
      <c r="D394" s="1">
        <v>29</v>
      </c>
      <c r="E394" s="1">
        <v>28.65</v>
      </c>
      <c r="F394" s="1">
        <v>28.8</v>
      </c>
      <c r="G394" s="1">
        <v>396700</v>
      </c>
    </row>
    <row r="395" spans="1:7" s="54" customFormat="1" ht="12.75">
      <c r="A395" s="53"/>
      <c r="B395" s="85">
        <v>37093</v>
      </c>
      <c r="C395" s="1">
        <v>28.7</v>
      </c>
      <c r="D395" s="1">
        <v>28.96</v>
      </c>
      <c r="E395" s="1">
        <v>28.62</v>
      </c>
      <c r="F395" s="1">
        <v>28.87</v>
      </c>
      <c r="G395" s="1">
        <v>351900</v>
      </c>
    </row>
    <row r="396" spans="1:7" s="54" customFormat="1" ht="12.75">
      <c r="A396" s="53"/>
      <c r="B396" s="85">
        <v>37092</v>
      </c>
      <c r="C396" s="1">
        <v>29.01</v>
      </c>
      <c r="D396" s="1">
        <v>29.16</v>
      </c>
      <c r="E396" s="1">
        <v>28.35</v>
      </c>
      <c r="F396" s="1">
        <v>28.63</v>
      </c>
      <c r="G396" s="1">
        <v>442000</v>
      </c>
    </row>
    <row r="397" spans="1:7" s="54" customFormat="1" ht="12.75">
      <c r="A397" s="53"/>
      <c r="B397" s="85">
        <v>37091</v>
      </c>
      <c r="C397" s="1">
        <v>28.89</v>
      </c>
      <c r="D397" s="1">
        <v>29.14</v>
      </c>
      <c r="E397" s="1">
        <v>28.72</v>
      </c>
      <c r="F397" s="1">
        <v>29.01</v>
      </c>
      <c r="G397" s="1">
        <v>370100</v>
      </c>
    </row>
    <row r="398" spans="1:7" s="54" customFormat="1" ht="12.75">
      <c r="A398" s="53"/>
      <c r="B398" s="85">
        <v>37090</v>
      </c>
      <c r="C398" s="1">
        <v>29.17</v>
      </c>
      <c r="D398" s="1">
        <v>29.19</v>
      </c>
      <c r="E398" s="1">
        <v>28.8</v>
      </c>
      <c r="F398" s="1">
        <v>28.87</v>
      </c>
      <c r="G398" s="1">
        <v>651600</v>
      </c>
    </row>
    <row r="399" spans="1:7" s="54" customFormat="1" ht="12.75">
      <c r="A399" s="53"/>
      <c r="B399" s="85">
        <v>37089</v>
      </c>
      <c r="C399" s="1">
        <v>29.1</v>
      </c>
      <c r="D399" s="1">
        <v>29.18</v>
      </c>
      <c r="E399" s="1">
        <v>28.99</v>
      </c>
      <c r="F399" s="1">
        <v>29.1</v>
      </c>
      <c r="G399" s="1">
        <v>321100</v>
      </c>
    </row>
    <row r="400" spans="1:7" s="54" customFormat="1" ht="12.75">
      <c r="A400" s="53"/>
      <c r="B400" s="85">
        <v>37086</v>
      </c>
      <c r="C400" s="1">
        <v>29.2</v>
      </c>
      <c r="D400" s="1">
        <v>29.5</v>
      </c>
      <c r="E400" s="1">
        <v>28.96</v>
      </c>
      <c r="F400" s="1">
        <v>29.09</v>
      </c>
      <c r="G400" s="1">
        <v>285000</v>
      </c>
    </row>
    <row r="401" spans="1:7" s="54" customFormat="1" ht="12.75">
      <c r="A401" s="53"/>
      <c r="B401" s="85">
        <v>37085</v>
      </c>
      <c r="C401" s="1">
        <v>29.66</v>
      </c>
      <c r="D401" s="1">
        <v>29.85</v>
      </c>
      <c r="E401" s="1">
        <v>29.18</v>
      </c>
      <c r="F401" s="1">
        <v>29.36</v>
      </c>
      <c r="G401" s="1">
        <v>739500</v>
      </c>
    </row>
    <row r="402" spans="1:7" s="54" customFormat="1" ht="12.75">
      <c r="A402" s="53"/>
      <c r="B402" s="85">
        <v>37084</v>
      </c>
      <c r="C402" s="1">
        <v>29.33</v>
      </c>
      <c r="D402" s="1">
        <v>29.64</v>
      </c>
      <c r="E402" s="1">
        <v>29.31</v>
      </c>
      <c r="F402" s="1">
        <v>29.5</v>
      </c>
      <c r="G402" s="1">
        <v>735100</v>
      </c>
    </row>
    <row r="403" spans="1:7" s="54" customFormat="1" ht="12.75">
      <c r="A403" s="53"/>
      <c r="B403" s="85">
        <v>37083</v>
      </c>
      <c r="C403" s="1">
        <v>28.74</v>
      </c>
      <c r="D403" s="1">
        <v>29.61</v>
      </c>
      <c r="E403" s="1">
        <v>28.73</v>
      </c>
      <c r="F403" s="1">
        <v>29.33</v>
      </c>
      <c r="G403" s="1">
        <v>973700</v>
      </c>
    </row>
    <row r="404" spans="1:7" s="54" customFormat="1" ht="12.75">
      <c r="A404" s="53"/>
      <c r="B404" s="85">
        <v>37082</v>
      </c>
      <c r="C404" s="1">
        <v>28.9</v>
      </c>
      <c r="D404" s="1">
        <v>28.91</v>
      </c>
      <c r="E404" s="1">
        <v>28.25</v>
      </c>
      <c r="F404" s="1">
        <v>28.65</v>
      </c>
      <c r="G404" s="1">
        <v>1265700</v>
      </c>
    </row>
    <row r="405" spans="1:7" s="54" customFormat="1" ht="12.75">
      <c r="A405" s="53"/>
      <c r="B405" s="85">
        <v>37079</v>
      </c>
      <c r="C405" s="1">
        <v>28.77</v>
      </c>
      <c r="D405" s="1">
        <v>28.91</v>
      </c>
      <c r="E405" s="1">
        <v>28.56</v>
      </c>
      <c r="F405" s="1">
        <v>28.76</v>
      </c>
      <c r="G405" s="1">
        <v>857800</v>
      </c>
    </row>
    <row r="406" spans="1:7" s="54" customFormat="1" ht="12.75">
      <c r="A406" s="53"/>
      <c r="B406" s="85">
        <v>37078</v>
      </c>
      <c r="C406" s="1">
        <v>28.41</v>
      </c>
      <c r="D406" s="1">
        <v>28.84</v>
      </c>
      <c r="E406" s="1">
        <v>28.24</v>
      </c>
      <c r="F406" s="1">
        <v>28.69</v>
      </c>
      <c r="G406" s="1">
        <v>513200</v>
      </c>
    </row>
    <row r="407" spans="1:7" s="54" customFormat="1" ht="12.75">
      <c r="A407" s="53"/>
      <c r="B407" s="85">
        <v>37077</v>
      </c>
      <c r="C407" s="1">
        <v>29.35</v>
      </c>
      <c r="D407" s="1">
        <v>29.69</v>
      </c>
      <c r="E407" s="1">
        <v>28.39</v>
      </c>
      <c r="F407" s="1">
        <v>28.41</v>
      </c>
      <c r="G407" s="1">
        <v>524700</v>
      </c>
    </row>
    <row r="408" spans="1:7" s="54" customFormat="1" ht="12.75">
      <c r="A408" s="53"/>
      <c r="B408" s="85">
        <v>37076</v>
      </c>
      <c r="C408" s="1">
        <v>29.05</v>
      </c>
      <c r="D408" s="1">
        <v>29.58</v>
      </c>
      <c r="E408" s="1">
        <v>29.05</v>
      </c>
      <c r="F408" s="1">
        <v>29.38</v>
      </c>
      <c r="G408" s="1">
        <v>438800</v>
      </c>
    </row>
    <row r="409" spans="1:7" s="54" customFormat="1" ht="12.75">
      <c r="A409" s="53"/>
      <c r="B409" s="85">
        <v>37072</v>
      </c>
      <c r="C409" s="1">
        <v>28.94</v>
      </c>
      <c r="D409" s="1">
        <v>29.18</v>
      </c>
      <c r="E409" s="1">
        <v>28.82</v>
      </c>
      <c r="F409" s="1">
        <v>29.17</v>
      </c>
      <c r="G409" s="1">
        <v>533800</v>
      </c>
    </row>
    <row r="410" spans="1:7" s="54" customFormat="1" ht="12.75">
      <c r="A410" s="53"/>
      <c r="B410" s="85">
        <v>37071</v>
      </c>
      <c r="C410" s="1">
        <v>29.1</v>
      </c>
      <c r="D410" s="1">
        <v>29.4</v>
      </c>
      <c r="E410" s="1">
        <v>28.81</v>
      </c>
      <c r="F410" s="1">
        <v>28.81</v>
      </c>
      <c r="G410" s="1">
        <v>620400</v>
      </c>
    </row>
    <row r="411" spans="1:7" s="54" customFormat="1" ht="12.75">
      <c r="A411" s="53"/>
      <c r="B411" s="85">
        <v>37070</v>
      </c>
      <c r="C411" s="1">
        <v>29.44</v>
      </c>
      <c r="D411" s="1">
        <v>29.5</v>
      </c>
      <c r="E411" s="1">
        <v>28.95</v>
      </c>
      <c r="F411" s="1">
        <v>29.1</v>
      </c>
      <c r="G411" s="1">
        <v>616100</v>
      </c>
    </row>
    <row r="412" spans="1:7" s="54" customFormat="1" ht="12.75">
      <c r="A412" s="53"/>
      <c r="B412" s="85">
        <v>37069</v>
      </c>
      <c r="C412" s="1">
        <v>29.71</v>
      </c>
      <c r="D412" s="1">
        <v>29.71</v>
      </c>
      <c r="E412" s="1">
        <v>29.11</v>
      </c>
      <c r="F412" s="1">
        <v>29.33</v>
      </c>
      <c r="G412" s="1">
        <v>727900</v>
      </c>
    </row>
    <row r="413" spans="1:7" s="54" customFormat="1" ht="12.75">
      <c r="A413" s="53"/>
      <c r="B413" s="85">
        <v>37068</v>
      </c>
      <c r="C413" s="1">
        <v>29.63</v>
      </c>
      <c r="D413" s="1">
        <v>29.8</v>
      </c>
      <c r="E413" s="1">
        <v>29.3</v>
      </c>
      <c r="F413" s="1">
        <v>29.63</v>
      </c>
      <c r="G413" s="1">
        <v>626800</v>
      </c>
    </row>
    <row r="414" spans="1:7" s="54" customFormat="1" ht="12.75">
      <c r="A414" s="53"/>
      <c r="B414" s="85">
        <v>37065</v>
      </c>
      <c r="C414" s="1">
        <v>29.8</v>
      </c>
      <c r="D414" s="1">
        <v>30.12</v>
      </c>
      <c r="E414" s="1">
        <v>29.37</v>
      </c>
      <c r="F414" s="1">
        <v>29.79</v>
      </c>
      <c r="G414" s="1">
        <v>1837500</v>
      </c>
    </row>
    <row r="415" spans="1:7" s="54" customFormat="1" ht="12.75">
      <c r="A415" s="53"/>
      <c r="B415" s="85">
        <v>37064</v>
      </c>
      <c r="C415" s="1">
        <v>29.8</v>
      </c>
      <c r="D415" s="1">
        <v>30.25</v>
      </c>
      <c r="E415" s="1">
        <v>29.69</v>
      </c>
      <c r="F415" s="1">
        <v>29.74</v>
      </c>
      <c r="G415" s="1">
        <v>627400</v>
      </c>
    </row>
    <row r="416" spans="1:7" s="54" customFormat="1" ht="12.75">
      <c r="A416" s="53"/>
      <c r="B416" s="85">
        <v>37063</v>
      </c>
      <c r="C416" s="1">
        <v>29.95</v>
      </c>
      <c r="D416" s="1">
        <v>30.17</v>
      </c>
      <c r="E416" s="1">
        <v>29.64</v>
      </c>
      <c r="F416" s="1">
        <v>29.79</v>
      </c>
      <c r="G416" s="1">
        <v>1480800</v>
      </c>
    </row>
    <row r="417" spans="1:7" s="54" customFormat="1" ht="12.75">
      <c r="A417" s="53"/>
      <c r="B417" s="54" t="s">
        <v>111</v>
      </c>
      <c r="C417" s="56">
        <f>AVERAGE(C387:C416)</f>
        <v>29.20866666666667</v>
      </c>
      <c r="D417" s="56">
        <f>AVERAGE(D387:D416)</f>
        <v>29.470666666666666</v>
      </c>
      <c r="E417" s="56">
        <f>AVERAGE(E387:E416)</f>
        <v>28.905666666666665</v>
      </c>
      <c r="F417" s="57">
        <f>AVERAGE(F387:F416)</f>
        <v>29.160999999999998</v>
      </c>
      <c r="G417" s="56">
        <f>AVERAGE(G387:G416)</f>
        <v>653076.6666666666</v>
      </c>
    </row>
    <row r="418" spans="1:7" s="54" customFormat="1" ht="12.75">
      <c r="A418" s="53"/>
      <c r="B418" s="54" t="s">
        <v>38</v>
      </c>
      <c r="C418" s="54">
        <f>MEDIAN(C387:C416)</f>
        <v>29.125</v>
      </c>
      <c r="D418" s="54">
        <f>MEDIAN(D387:D416)</f>
        <v>29.494999999999997</v>
      </c>
      <c r="E418" s="54">
        <f>MEDIAN(E387:E416)</f>
        <v>28.814999999999998</v>
      </c>
      <c r="F418" s="54">
        <f>MEDIAN(F387:F416)</f>
        <v>29.1</v>
      </c>
      <c r="G418" s="54">
        <f>MEDIAN(G387:G416)</f>
        <v>576950</v>
      </c>
    </row>
    <row r="419" spans="1:7" s="54" customFormat="1" ht="12.75">
      <c r="A419" s="53"/>
      <c r="B419" s="54" t="s">
        <v>139</v>
      </c>
      <c r="C419" s="54">
        <f>MAX(C387:C416)</f>
        <v>29.95</v>
      </c>
      <c r="D419" s="54">
        <f>MAX(D387:D416)</f>
        <v>30.43</v>
      </c>
      <c r="E419" s="54">
        <f>MAX(E387:E416)</f>
        <v>29.82</v>
      </c>
      <c r="F419" s="54">
        <f>MAX(F387:F416)</f>
        <v>30.26</v>
      </c>
      <c r="G419" s="54">
        <f>MAX(G387:G416)</f>
        <v>1837500</v>
      </c>
    </row>
    <row r="420" spans="1:7" s="54" customFormat="1" ht="12.75">
      <c r="A420" s="53"/>
      <c r="B420" s="54" t="s">
        <v>140</v>
      </c>
      <c r="C420" s="54">
        <f>MIN(C387:C416)</f>
        <v>28.41</v>
      </c>
      <c r="D420" s="54">
        <f>MIN(D387:D416)</f>
        <v>28.84</v>
      </c>
      <c r="E420" s="54">
        <f>MIN(E387:E416)</f>
        <v>28.24</v>
      </c>
      <c r="F420" s="54">
        <f>MIN(F387:F416)</f>
        <v>28.41</v>
      </c>
      <c r="G420" s="54">
        <f>MIN(G387:G416)</f>
        <v>285000</v>
      </c>
    </row>
    <row r="421" spans="1:7" s="54" customFormat="1" ht="12.75">
      <c r="A421" s="53" t="s">
        <v>155</v>
      </c>
      <c r="B421" t="s">
        <v>25</v>
      </c>
      <c r="C421" t="s">
        <v>26</v>
      </c>
      <c r="D421" t="s">
        <v>27</v>
      </c>
      <c r="E421" t="s">
        <v>28</v>
      </c>
      <c r="F421" t="s">
        <v>29</v>
      </c>
      <c r="G421" t="s">
        <v>30</v>
      </c>
    </row>
    <row r="422" spans="1:7" s="54" customFormat="1" ht="12.75">
      <c r="A422" s="53"/>
      <c r="B422" s="85">
        <v>37105</v>
      </c>
      <c r="C422" s="1">
        <v>46.39</v>
      </c>
      <c r="D422" s="1">
        <v>46.68</v>
      </c>
      <c r="E422" s="1">
        <v>46.13</v>
      </c>
      <c r="F422" s="1">
        <v>46.39</v>
      </c>
      <c r="G422" s="1">
        <v>384700</v>
      </c>
    </row>
    <row r="423" spans="1:7" s="54" customFormat="1" ht="12.75">
      <c r="A423" s="53"/>
      <c r="B423" s="85">
        <v>37104</v>
      </c>
      <c r="C423" s="1">
        <v>45.8</v>
      </c>
      <c r="D423" s="1">
        <v>46.52</v>
      </c>
      <c r="E423" s="1">
        <v>45.8</v>
      </c>
      <c r="F423" s="1">
        <v>46.39</v>
      </c>
      <c r="G423" s="1">
        <v>433600</v>
      </c>
    </row>
    <row r="424" spans="1:7" s="54" customFormat="1" ht="12.75">
      <c r="A424" s="53"/>
      <c r="B424" s="85">
        <v>37103</v>
      </c>
      <c r="C424" s="1">
        <v>45.99</v>
      </c>
      <c r="D424" s="1">
        <v>46.18</v>
      </c>
      <c r="E424" s="1">
        <v>45.51</v>
      </c>
      <c r="F424" s="1">
        <v>45.72</v>
      </c>
      <c r="G424" s="1">
        <v>563800</v>
      </c>
    </row>
    <row r="425" spans="1:7" s="54" customFormat="1" ht="12.75">
      <c r="A425" s="53"/>
      <c r="B425" s="85">
        <v>37100</v>
      </c>
      <c r="C425" s="1">
        <v>45.38</v>
      </c>
      <c r="D425" s="1">
        <v>45.98</v>
      </c>
      <c r="E425" s="1">
        <v>45.37</v>
      </c>
      <c r="F425" s="1">
        <v>45.8</v>
      </c>
      <c r="G425" s="1">
        <v>815000</v>
      </c>
    </row>
    <row r="426" spans="1:7" s="54" customFormat="1" ht="12.75">
      <c r="A426" s="53"/>
      <c r="B426" s="85">
        <v>37099</v>
      </c>
      <c r="C426" s="1">
        <v>45.12</v>
      </c>
      <c r="D426" s="1">
        <v>45.31</v>
      </c>
      <c r="E426" s="1">
        <v>44.94</v>
      </c>
      <c r="F426" s="1">
        <v>45.2</v>
      </c>
      <c r="G426" s="1">
        <v>655800</v>
      </c>
    </row>
    <row r="427" spans="1:7" s="54" customFormat="1" ht="12.75">
      <c r="A427" s="53"/>
      <c r="B427" s="85">
        <v>37098</v>
      </c>
      <c r="C427" s="1">
        <v>45.69</v>
      </c>
      <c r="D427" s="1">
        <v>45.79</v>
      </c>
      <c r="E427" s="1">
        <v>45.45</v>
      </c>
      <c r="F427" s="1">
        <v>45.6</v>
      </c>
      <c r="G427" s="1">
        <v>525000</v>
      </c>
    </row>
    <row r="428" spans="1:7" s="54" customFormat="1" ht="12.75">
      <c r="A428" s="53"/>
      <c r="B428" s="85">
        <v>37097</v>
      </c>
      <c r="C428" s="1">
        <v>45.34</v>
      </c>
      <c r="D428" s="1">
        <v>45.59</v>
      </c>
      <c r="E428" s="1">
        <v>45.27</v>
      </c>
      <c r="F428" s="1">
        <v>45.5</v>
      </c>
      <c r="G428" s="1">
        <v>373800</v>
      </c>
    </row>
    <row r="429" spans="1:7" s="54" customFormat="1" ht="12.75">
      <c r="A429" s="53"/>
      <c r="B429" s="85">
        <v>37096</v>
      </c>
      <c r="C429" s="1">
        <v>45.6</v>
      </c>
      <c r="D429" s="1">
        <v>45.77</v>
      </c>
      <c r="E429" s="1">
        <v>45.25</v>
      </c>
      <c r="F429" s="1">
        <v>45.34</v>
      </c>
      <c r="G429" s="1">
        <v>304600</v>
      </c>
    </row>
    <row r="430" spans="1:7" s="54" customFormat="1" ht="12.75">
      <c r="A430" s="53"/>
      <c r="B430" s="85">
        <v>37093</v>
      </c>
      <c r="C430" s="1">
        <v>45.46</v>
      </c>
      <c r="D430" s="1">
        <v>45.59</v>
      </c>
      <c r="E430" s="1">
        <v>45.24</v>
      </c>
      <c r="F430" s="1">
        <v>45.55</v>
      </c>
      <c r="G430" s="1">
        <v>383700</v>
      </c>
    </row>
    <row r="431" spans="1:7" s="54" customFormat="1" ht="12.75">
      <c r="A431" s="53"/>
      <c r="B431" s="85">
        <v>37092</v>
      </c>
      <c r="C431" s="1">
        <v>45.72</v>
      </c>
      <c r="D431" s="1">
        <v>46</v>
      </c>
      <c r="E431" s="1">
        <v>44.98</v>
      </c>
      <c r="F431" s="1">
        <v>45.21</v>
      </c>
      <c r="G431" s="1">
        <v>850700</v>
      </c>
    </row>
    <row r="432" spans="1:7" s="54" customFormat="1" ht="12.75">
      <c r="A432" s="53"/>
      <c r="B432" s="85">
        <v>37091</v>
      </c>
      <c r="C432" s="1">
        <v>45.71</v>
      </c>
      <c r="D432" s="1">
        <v>45.89</v>
      </c>
      <c r="E432" s="1">
        <v>45.43</v>
      </c>
      <c r="F432" s="1">
        <v>45.68</v>
      </c>
      <c r="G432" s="1">
        <v>531100</v>
      </c>
    </row>
    <row r="433" spans="1:7" s="54" customFormat="1" ht="12.75">
      <c r="A433" s="53"/>
      <c r="B433" s="85">
        <v>37090</v>
      </c>
      <c r="C433" s="1">
        <v>45.78</v>
      </c>
      <c r="D433" s="1">
        <v>46.16</v>
      </c>
      <c r="E433" s="1">
        <v>45.5</v>
      </c>
      <c r="F433" s="1">
        <v>45.71</v>
      </c>
      <c r="G433" s="1">
        <v>731600</v>
      </c>
    </row>
    <row r="434" spans="1:7" s="54" customFormat="1" ht="12.75">
      <c r="A434" s="53"/>
      <c r="B434" s="85">
        <v>37089</v>
      </c>
      <c r="C434" s="1">
        <v>44.6</v>
      </c>
      <c r="D434" s="1">
        <v>45.79</v>
      </c>
      <c r="E434" s="1">
        <v>44.6</v>
      </c>
      <c r="F434" s="1">
        <v>45.63</v>
      </c>
      <c r="G434" s="1">
        <v>668000</v>
      </c>
    </row>
    <row r="435" spans="1:7" s="54" customFormat="1" ht="12.75">
      <c r="A435" s="53"/>
      <c r="B435" s="85">
        <v>37086</v>
      </c>
      <c r="C435" s="1">
        <v>44.86</v>
      </c>
      <c r="D435" s="1">
        <v>45.03</v>
      </c>
      <c r="E435" s="1">
        <v>44.64</v>
      </c>
      <c r="F435" s="1">
        <v>44.83</v>
      </c>
      <c r="G435" s="1">
        <v>342200</v>
      </c>
    </row>
    <row r="436" spans="1:7" s="54" customFormat="1" ht="12.75">
      <c r="A436" s="53"/>
      <c r="B436" s="85">
        <v>37085</v>
      </c>
      <c r="C436" s="1">
        <v>45.1</v>
      </c>
      <c r="D436" s="1">
        <v>45.32</v>
      </c>
      <c r="E436" s="1">
        <v>44.61</v>
      </c>
      <c r="F436" s="1">
        <v>44.9</v>
      </c>
      <c r="G436" s="1">
        <v>333400</v>
      </c>
    </row>
    <row r="437" spans="1:7" s="54" customFormat="1" ht="12.75">
      <c r="A437" s="53"/>
      <c r="B437" s="85">
        <v>37084</v>
      </c>
      <c r="C437" s="1">
        <v>44.83</v>
      </c>
      <c r="D437" s="1">
        <v>45.18</v>
      </c>
      <c r="E437" s="1">
        <v>44.72</v>
      </c>
      <c r="F437" s="1">
        <v>45.17</v>
      </c>
      <c r="G437" s="1">
        <v>378400</v>
      </c>
    </row>
    <row r="438" spans="1:7" s="54" customFormat="1" ht="12.75">
      <c r="A438" s="53"/>
      <c r="B438" s="85">
        <v>37083</v>
      </c>
      <c r="C438" s="1">
        <v>44.96</v>
      </c>
      <c r="D438" s="1">
        <v>45.23</v>
      </c>
      <c r="E438" s="1">
        <v>44.7</v>
      </c>
      <c r="F438" s="1">
        <v>44.83</v>
      </c>
      <c r="G438" s="1">
        <v>275600</v>
      </c>
    </row>
    <row r="439" spans="1:7" s="54" customFormat="1" ht="12.75">
      <c r="A439" s="53"/>
      <c r="B439" s="85">
        <v>37082</v>
      </c>
      <c r="C439" s="1">
        <v>44.94</v>
      </c>
      <c r="D439" s="1">
        <v>45.14</v>
      </c>
      <c r="E439" s="1">
        <v>44.5</v>
      </c>
      <c r="F439" s="1">
        <v>45.02</v>
      </c>
      <c r="G439" s="1">
        <v>238400</v>
      </c>
    </row>
    <row r="440" spans="1:7" s="54" customFormat="1" ht="12.75">
      <c r="A440" s="53"/>
      <c r="B440" s="85">
        <v>37079</v>
      </c>
      <c r="C440" s="1">
        <v>44.45</v>
      </c>
      <c r="D440" s="1">
        <v>44.98</v>
      </c>
      <c r="E440" s="1">
        <v>44.32</v>
      </c>
      <c r="F440" s="1">
        <v>44.92</v>
      </c>
      <c r="G440" s="1">
        <v>204800</v>
      </c>
    </row>
    <row r="441" spans="1:7" s="54" customFormat="1" ht="12.75">
      <c r="A441" s="53"/>
      <c r="B441" s="85">
        <v>37078</v>
      </c>
      <c r="C441" s="1">
        <v>43.98</v>
      </c>
      <c r="D441" s="1">
        <v>44.48</v>
      </c>
      <c r="E441" s="1">
        <v>43.76</v>
      </c>
      <c r="F441" s="1">
        <v>44.39</v>
      </c>
      <c r="G441" s="1">
        <v>277200</v>
      </c>
    </row>
    <row r="442" spans="1:7" s="54" customFormat="1" ht="12.75">
      <c r="A442" s="53"/>
      <c r="B442" s="85">
        <v>37077</v>
      </c>
      <c r="C442" s="1">
        <v>44.86</v>
      </c>
      <c r="D442" s="1">
        <v>45.02</v>
      </c>
      <c r="E442" s="1">
        <v>44.06</v>
      </c>
      <c r="F442" s="1">
        <v>44.14</v>
      </c>
      <c r="G442" s="1">
        <v>370200</v>
      </c>
    </row>
    <row r="443" spans="1:7" s="54" customFormat="1" ht="12.75">
      <c r="A443" s="53"/>
      <c r="B443" s="85">
        <v>37076</v>
      </c>
      <c r="C443" s="1">
        <v>44.84</v>
      </c>
      <c r="D443" s="1">
        <v>44.96</v>
      </c>
      <c r="E443" s="1">
        <v>44.46</v>
      </c>
      <c r="F443" s="1">
        <v>44.86</v>
      </c>
      <c r="G443" s="1">
        <v>271400</v>
      </c>
    </row>
    <row r="444" spans="1:7" s="54" customFormat="1" ht="12.75">
      <c r="A444" s="53"/>
      <c r="B444" s="85">
        <v>37072</v>
      </c>
      <c r="C444" s="1">
        <v>44.55</v>
      </c>
      <c r="D444" s="1">
        <v>44.91</v>
      </c>
      <c r="E444" s="1">
        <v>44.48</v>
      </c>
      <c r="F444" s="1">
        <v>44.86</v>
      </c>
      <c r="G444" s="1">
        <v>308900</v>
      </c>
    </row>
    <row r="445" spans="1:7" s="54" customFormat="1" ht="12.75">
      <c r="A445" s="53"/>
      <c r="B445" s="85">
        <v>37071</v>
      </c>
      <c r="C445" s="1">
        <v>44.75</v>
      </c>
      <c r="D445" s="1">
        <v>44.9</v>
      </c>
      <c r="E445" s="1">
        <v>44.36</v>
      </c>
      <c r="F445" s="1">
        <v>44.45</v>
      </c>
      <c r="G445" s="1">
        <v>488200</v>
      </c>
    </row>
    <row r="446" spans="1:7" s="54" customFormat="1" ht="12.75">
      <c r="A446" s="53"/>
      <c r="B446" s="85">
        <v>37070</v>
      </c>
      <c r="C446" s="1">
        <v>45.13</v>
      </c>
      <c r="D446" s="1">
        <v>45.13</v>
      </c>
      <c r="E446" s="1">
        <v>44.7</v>
      </c>
      <c r="F446" s="1">
        <v>44.75</v>
      </c>
      <c r="G446" s="1">
        <v>340300</v>
      </c>
    </row>
    <row r="447" spans="1:7" s="54" customFormat="1" ht="12.75">
      <c r="A447" s="53"/>
      <c r="B447" s="85">
        <v>37069</v>
      </c>
      <c r="C447" s="1">
        <v>44.55</v>
      </c>
      <c r="D447" s="1">
        <v>45.07</v>
      </c>
      <c r="E447" s="1">
        <v>44.55</v>
      </c>
      <c r="F447" s="1">
        <v>45.06</v>
      </c>
      <c r="G447" s="1">
        <v>395500</v>
      </c>
    </row>
    <row r="448" spans="1:7" s="54" customFormat="1" ht="12.75">
      <c r="A448" s="53"/>
      <c r="B448" s="85">
        <v>37068</v>
      </c>
      <c r="C448" s="1">
        <v>44.2</v>
      </c>
      <c r="D448" s="1">
        <v>44.7</v>
      </c>
      <c r="E448" s="1">
        <v>44.18</v>
      </c>
      <c r="F448" s="1">
        <v>44.5</v>
      </c>
      <c r="G448" s="1">
        <v>405600</v>
      </c>
    </row>
    <row r="449" spans="1:7" s="54" customFormat="1" ht="12.75">
      <c r="A449" s="53"/>
      <c r="B449" s="85">
        <v>37065</v>
      </c>
      <c r="C449" s="1">
        <v>44.7</v>
      </c>
      <c r="D449" s="1">
        <v>44.7</v>
      </c>
      <c r="E449" s="1">
        <v>44.18</v>
      </c>
      <c r="F449" s="1">
        <v>44.31</v>
      </c>
      <c r="G449" s="1">
        <v>409800</v>
      </c>
    </row>
    <row r="450" spans="1:7" s="54" customFormat="1" ht="12.75">
      <c r="A450" s="53"/>
      <c r="B450" s="85">
        <v>37064</v>
      </c>
      <c r="C450" s="1">
        <v>44.69</v>
      </c>
      <c r="D450" s="1">
        <v>44.79</v>
      </c>
      <c r="E450" s="1">
        <v>44.48</v>
      </c>
      <c r="F450" s="1">
        <v>44.64</v>
      </c>
      <c r="G450" s="1">
        <v>465800</v>
      </c>
    </row>
    <row r="451" spans="1:7" s="54" customFormat="1" ht="12.75">
      <c r="A451" s="53"/>
      <c r="B451" s="85">
        <v>37063</v>
      </c>
      <c r="C451" s="1">
        <v>44.65</v>
      </c>
      <c r="D451" s="1">
        <v>44.9</v>
      </c>
      <c r="E451" s="1">
        <v>44.52</v>
      </c>
      <c r="F451" s="1">
        <v>44.69</v>
      </c>
      <c r="G451" s="1">
        <v>375900</v>
      </c>
    </row>
    <row r="452" spans="1:7" s="54" customFormat="1" ht="12.75">
      <c r="A452" s="53"/>
      <c r="B452" s="54" t="s">
        <v>111</v>
      </c>
      <c r="C452" s="56">
        <f>AVERAGE(C422:C451)</f>
        <v>45.087333333333355</v>
      </c>
      <c r="D452" s="56">
        <f>AVERAGE(D422:D451)</f>
        <v>45.38966666666668</v>
      </c>
      <c r="E452" s="56">
        <f>AVERAGE(E422:E451)</f>
        <v>44.82300000000001</v>
      </c>
      <c r="F452" s="57">
        <f>AVERAGE(F422:F451)</f>
        <v>45.13466666666667</v>
      </c>
      <c r="G452" s="56">
        <f>AVERAGE(G422:G451)</f>
        <v>436766.6666666667</v>
      </c>
    </row>
    <row r="453" spans="1:7" s="54" customFormat="1" ht="12.75">
      <c r="A453" s="53"/>
      <c r="B453" s="54" t="s">
        <v>38</v>
      </c>
      <c r="C453" s="54">
        <f>MEDIAN(C422:C451)</f>
        <v>44.95</v>
      </c>
      <c r="D453" s="54">
        <f>MEDIAN(D422:D451)</f>
        <v>45.205</v>
      </c>
      <c r="E453" s="54">
        <f>MEDIAN(E422:E451)</f>
        <v>44.67</v>
      </c>
      <c r="F453" s="54">
        <f>MEDIAN(F422:F451)</f>
        <v>45.040000000000006</v>
      </c>
      <c r="G453" s="54">
        <f>MEDIAN(G422:G451)</f>
        <v>384200</v>
      </c>
    </row>
    <row r="454" spans="1:7" s="54" customFormat="1" ht="12.75">
      <c r="A454" s="53"/>
      <c r="B454" s="54" t="s">
        <v>139</v>
      </c>
      <c r="C454" s="54">
        <f>MAX(C422:C451)</f>
        <v>46.39</v>
      </c>
      <c r="D454" s="54">
        <f>MAX(D422:D451)</f>
        <v>46.68</v>
      </c>
      <c r="E454" s="54">
        <f>MAX(E422:E451)</f>
        <v>46.13</v>
      </c>
      <c r="F454" s="54">
        <f>MAX(F422:F451)</f>
        <v>46.39</v>
      </c>
      <c r="G454" s="54">
        <f>MAX(G422:G451)</f>
        <v>850700</v>
      </c>
    </row>
    <row r="455" spans="1:7" s="54" customFormat="1" ht="12.75">
      <c r="A455" s="53"/>
      <c r="B455" s="54" t="s">
        <v>140</v>
      </c>
      <c r="C455" s="54">
        <f>MIN(C422:C451)</f>
        <v>43.98</v>
      </c>
      <c r="D455" s="54">
        <f>MIN(D422:D451)</f>
        <v>44.48</v>
      </c>
      <c r="E455" s="54">
        <f>MIN(E422:E451)</f>
        <v>43.76</v>
      </c>
      <c r="F455" s="54">
        <f>MIN(F422:F451)</f>
        <v>44.14</v>
      </c>
      <c r="G455" s="54">
        <f>MIN(G422:G451)</f>
        <v>204800</v>
      </c>
    </row>
    <row r="456" spans="1:7" s="54" customFormat="1" ht="12.75">
      <c r="A456" s="53" t="s">
        <v>189</v>
      </c>
      <c r="B456" t="s">
        <v>25</v>
      </c>
      <c r="C456" t="s">
        <v>26</v>
      </c>
      <c r="D456" t="s">
        <v>27</v>
      </c>
      <c r="E456" t="s">
        <v>28</v>
      </c>
      <c r="F456" t="s">
        <v>29</v>
      </c>
      <c r="G456" t="s">
        <v>30</v>
      </c>
    </row>
    <row r="457" spans="1:7" s="54" customFormat="1" ht="12.75">
      <c r="A457" s="53"/>
      <c r="B457" s="85">
        <v>37105</v>
      </c>
      <c r="C457" s="1">
        <v>23.22</v>
      </c>
      <c r="D457" s="1">
        <v>23.54</v>
      </c>
      <c r="E457" s="1">
        <v>23.17</v>
      </c>
      <c r="F457" s="1">
        <v>23.37</v>
      </c>
      <c r="G457" s="1">
        <v>224800</v>
      </c>
    </row>
    <row r="458" spans="1:7" s="54" customFormat="1" ht="12.75">
      <c r="A458" s="53"/>
      <c r="B458" s="85">
        <v>37104</v>
      </c>
      <c r="C458" s="1">
        <v>23.2</v>
      </c>
      <c r="D458" s="1">
        <v>23.44</v>
      </c>
      <c r="E458" s="1">
        <v>23.14</v>
      </c>
      <c r="F458" s="1">
        <v>23.42</v>
      </c>
      <c r="G458" s="1">
        <v>309500</v>
      </c>
    </row>
    <row r="459" spans="1:7" s="54" customFormat="1" ht="12.75">
      <c r="A459" s="53"/>
      <c r="B459" s="85">
        <v>37103</v>
      </c>
      <c r="C459" s="1">
        <v>23.35</v>
      </c>
      <c r="D459" s="1">
        <v>23.4</v>
      </c>
      <c r="E459" s="1">
        <v>23.01</v>
      </c>
      <c r="F459" s="1">
        <v>23.05</v>
      </c>
      <c r="G459" s="1">
        <v>224500</v>
      </c>
    </row>
    <row r="460" spans="1:7" s="54" customFormat="1" ht="12.75">
      <c r="A460" s="53"/>
      <c r="B460" s="85">
        <v>37100</v>
      </c>
      <c r="C460" s="1">
        <v>23.35</v>
      </c>
      <c r="D460" s="1">
        <v>23.55</v>
      </c>
      <c r="E460" s="1">
        <v>23.26</v>
      </c>
      <c r="F460" s="1">
        <v>23.38</v>
      </c>
      <c r="G460" s="1">
        <v>219700</v>
      </c>
    </row>
    <row r="461" spans="1:7" s="54" customFormat="1" ht="12.75">
      <c r="A461" s="53"/>
      <c r="B461" s="85">
        <v>37099</v>
      </c>
      <c r="C461" s="1">
        <v>23.39</v>
      </c>
      <c r="D461" s="1">
        <v>23.46</v>
      </c>
      <c r="E461" s="1">
        <v>23.27</v>
      </c>
      <c r="F461" s="1">
        <v>23.42</v>
      </c>
      <c r="G461" s="1">
        <v>175000</v>
      </c>
    </row>
    <row r="462" spans="1:7" s="54" customFormat="1" ht="12.75">
      <c r="A462" s="53"/>
      <c r="B462" s="85">
        <v>37098</v>
      </c>
      <c r="C462" s="1">
        <v>23.42</v>
      </c>
      <c r="D462" s="1">
        <v>23.5</v>
      </c>
      <c r="E462" s="1">
        <v>23.3</v>
      </c>
      <c r="F462" s="1">
        <v>23.39</v>
      </c>
      <c r="G462" s="1">
        <v>347900</v>
      </c>
    </row>
    <row r="463" spans="1:7" s="54" customFormat="1" ht="12.75">
      <c r="A463" s="53"/>
      <c r="B463" s="85">
        <v>37097</v>
      </c>
      <c r="C463" s="1">
        <v>23.55</v>
      </c>
      <c r="D463" s="1">
        <v>23.56</v>
      </c>
      <c r="E463" s="1">
        <v>23.32</v>
      </c>
      <c r="F463" s="1">
        <v>23.38</v>
      </c>
      <c r="G463" s="1">
        <v>371700</v>
      </c>
    </row>
    <row r="464" spans="1:7" s="54" customFormat="1" ht="12.75">
      <c r="A464" s="53"/>
      <c r="B464" s="85">
        <v>37096</v>
      </c>
      <c r="C464" s="1">
        <v>23.61</v>
      </c>
      <c r="D464" s="1">
        <v>23.75</v>
      </c>
      <c r="E464" s="1">
        <v>23.51</v>
      </c>
      <c r="F464" s="1">
        <v>23.54</v>
      </c>
      <c r="G464" s="1">
        <v>281700</v>
      </c>
    </row>
    <row r="465" spans="1:7" s="54" customFormat="1" ht="12.75">
      <c r="A465" s="53"/>
      <c r="B465" s="85">
        <v>37093</v>
      </c>
      <c r="C465" s="1">
        <v>23.77</v>
      </c>
      <c r="D465" s="1">
        <v>23.81</v>
      </c>
      <c r="E465" s="1">
        <v>23.61</v>
      </c>
      <c r="F465" s="1">
        <v>23.69</v>
      </c>
      <c r="G465" s="1">
        <v>283500</v>
      </c>
    </row>
    <row r="466" spans="1:7" s="54" customFormat="1" ht="12.75">
      <c r="A466" s="53"/>
      <c r="B466" s="85">
        <v>37092</v>
      </c>
      <c r="C466" s="1">
        <v>24.01</v>
      </c>
      <c r="D466" s="1">
        <v>24.04</v>
      </c>
      <c r="E466" s="1">
        <v>23.64</v>
      </c>
      <c r="F466" s="1">
        <v>23.76</v>
      </c>
      <c r="G466" s="1">
        <v>809800</v>
      </c>
    </row>
    <row r="467" spans="1:7" s="54" customFormat="1" ht="12.75">
      <c r="A467" s="53"/>
      <c r="B467" s="85">
        <v>37091</v>
      </c>
      <c r="C467" s="1">
        <v>24.08</v>
      </c>
      <c r="D467" s="1">
        <v>24.17</v>
      </c>
      <c r="E467" s="1">
        <v>23.9</v>
      </c>
      <c r="F467" s="1">
        <v>24</v>
      </c>
      <c r="G467" s="1">
        <v>470600</v>
      </c>
    </row>
    <row r="468" spans="1:7" s="54" customFormat="1" ht="12.75">
      <c r="A468" s="53"/>
      <c r="B468" s="85">
        <v>37090</v>
      </c>
      <c r="C468" s="1">
        <v>24.03</v>
      </c>
      <c r="D468" s="1">
        <v>24.36</v>
      </c>
      <c r="E468" s="1">
        <v>23.95</v>
      </c>
      <c r="F468" s="1">
        <v>24.35</v>
      </c>
      <c r="G468" s="1">
        <v>570700</v>
      </c>
    </row>
    <row r="469" spans="1:7" s="54" customFormat="1" ht="12.75">
      <c r="A469" s="53"/>
      <c r="B469" s="85">
        <v>37089</v>
      </c>
      <c r="C469" s="1">
        <v>23.95</v>
      </c>
      <c r="D469" s="1">
        <v>24.08</v>
      </c>
      <c r="E469" s="1">
        <v>23.93</v>
      </c>
      <c r="F469" s="1">
        <v>24.02</v>
      </c>
      <c r="G469" s="1">
        <v>258600</v>
      </c>
    </row>
    <row r="470" spans="1:7" s="54" customFormat="1" ht="12.75">
      <c r="A470" s="53"/>
      <c r="B470" s="85">
        <v>37086</v>
      </c>
      <c r="C470" s="1">
        <v>23.98</v>
      </c>
      <c r="D470" s="1">
        <v>24.05</v>
      </c>
      <c r="E470" s="1">
        <v>23.88</v>
      </c>
      <c r="F470" s="1">
        <v>23.99</v>
      </c>
      <c r="G470" s="1">
        <v>504900</v>
      </c>
    </row>
    <row r="471" spans="1:7" s="54" customFormat="1" ht="12.75">
      <c r="A471" s="53"/>
      <c r="B471" s="85">
        <v>37085</v>
      </c>
      <c r="C471" s="1">
        <v>24.2</v>
      </c>
      <c r="D471" s="1">
        <v>24.22</v>
      </c>
      <c r="E471" s="1">
        <v>23.78</v>
      </c>
      <c r="F471" s="1">
        <v>23.93</v>
      </c>
      <c r="G471" s="1">
        <v>267700</v>
      </c>
    </row>
    <row r="472" spans="1:7" s="54" customFormat="1" ht="12.75">
      <c r="A472" s="53"/>
      <c r="B472" s="85">
        <v>37084</v>
      </c>
      <c r="C472" s="1">
        <v>24</v>
      </c>
      <c r="D472" s="1">
        <v>24.17</v>
      </c>
      <c r="E472" s="1">
        <v>23.98</v>
      </c>
      <c r="F472" s="1">
        <v>24.09</v>
      </c>
      <c r="G472" s="1">
        <v>208600</v>
      </c>
    </row>
    <row r="473" spans="1:7" s="54" customFormat="1" ht="12.75">
      <c r="A473" s="53"/>
      <c r="B473" s="85">
        <v>37083</v>
      </c>
      <c r="C473" s="1">
        <v>24</v>
      </c>
      <c r="D473" s="1">
        <v>24.08</v>
      </c>
      <c r="E473" s="1">
        <v>23.86</v>
      </c>
      <c r="F473" s="1">
        <v>24.06</v>
      </c>
      <c r="G473" s="1">
        <v>154100</v>
      </c>
    </row>
    <row r="474" spans="1:7" s="54" customFormat="1" ht="12.75">
      <c r="A474" s="53"/>
      <c r="B474" s="85">
        <v>37082</v>
      </c>
      <c r="C474" s="1">
        <v>23.92</v>
      </c>
      <c r="D474" s="1">
        <v>24.07</v>
      </c>
      <c r="E474" s="1">
        <v>23.9</v>
      </c>
      <c r="F474" s="1">
        <v>24.04</v>
      </c>
      <c r="G474" s="1">
        <v>227000</v>
      </c>
    </row>
    <row r="475" spans="1:7" s="54" customFormat="1" ht="12.75">
      <c r="A475" s="53"/>
      <c r="B475" s="85">
        <v>37079</v>
      </c>
      <c r="C475" s="1">
        <v>23.72</v>
      </c>
      <c r="D475" s="1">
        <v>24</v>
      </c>
      <c r="E475" s="1">
        <v>23.71</v>
      </c>
      <c r="F475" s="1">
        <v>23.99</v>
      </c>
      <c r="G475" s="1">
        <v>198800</v>
      </c>
    </row>
    <row r="476" spans="1:7" s="54" customFormat="1" ht="12.75">
      <c r="A476" s="53"/>
      <c r="B476" s="85">
        <v>37078</v>
      </c>
      <c r="C476" s="1">
        <v>23.45</v>
      </c>
      <c r="D476" s="1">
        <v>23.72</v>
      </c>
      <c r="E476" s="1">
        <v>23.35</v>
      </c>
      <c r="F476" s="1">
        <v>23.72</v>
      </c>
      <c r="G476" s="1">
        <v>279100</v>
      </c>
    </row>
    <row r="477" spans="1:7" s="54" customFormat="1" ht="12.75">
      <c r="A477" s="53"/>
      <c r="B477" s="85">
        <v>37077</v>
      </c>
      <c r="C477" s="1">
        <v>23.8</v>
      </c>
      <c r="D477" s="1">
        <v>23.85</v>
      </c>
      <c r="E477" s="1">
        <v>23.5</v>
      </c>
      <c r="F477" s="1">
        <v>23.52</v>
      </c>
      <c r="G477" s="1">
        <v>206000</v>
      </c>
    </row>
    <row r="478" spans="1:7" s="54" customFormat="1" ht="12.75">
      <c r="A478" s="53"/>
      <c r="B478" s="85">
        <v>37076</v>
      </c>
      <c r="C478" s="1">
        <v>23.85</v>
      </c>
      <c r="D478" s="1">
        <v>23.92</v>
      </c>
      <c r="E478" s="1">
        <v>23.69</v>
      </c>
      <c r="F478" s="1">
        <v>23.85</v>
      </c>
      <c r="G478" s="1">
        <v>157700</v>
      </c>
    </row>
    <row r="479" spans="1:7" s="54" customFormat="1" ht="12.75">
      <c r="A479" s="53"/>
      <c r="B479" s="85">
        <v>37072</v>
      </c>
      <c r="C479" s="1">
        <v>23.43</v>
      </c>
      <c r="D479" s="1">
        <v>23.94</v>
      </c>
      <c r="E479" s="1">
        <v>23.42</v>
      </c>
      <c r="F479" s="1">
        <v>23.93</v>
      </c>
      <c r="G479" s="1">
        <v>270800</v>
      </c>
    </row>
    <row r="480" spans="1:7" s="54" customFormat="1" ht="12.75">
      <c r="A480" s="53"/>
      <c r="B480" s="85">
        <v>37071</v>
      </c>
      <c r="C480" s="1">
        <v>23.45</v>
      </c>
      <c r="D480" s="1">
        <v>23.56</v>
      </c>
      <c r="E480" s="1">
        <v>23.38</v>
      </c>
      <c r="F480" s="1">
        <v>23.38</v>
      </c>
      <c r="G480" s="1">
        <v>155700</v>
      </c>
    </row>
    <row r="481" spans="1:7" s="54" customFormat="1" ht="12.75">
      <c r="A481" s="53"/>
      <c r="B481" s="85">
        <v>37070</v>
      </c>
      <c r="C481" s="1">
        <v>23.39</v>
      </c>
      <c r="D481" s="1">
        <v>23.53</v>
      </c>
      <c r="E481" s="1">
        <v>23.28</v>
      </c>
      <c r="F481" s="1">
        <v>23.45</v>
      </c>
      <c r="G481" s="1">
        <v>172800</v>
      </c>
    </row>
    <row r="482" spans="1:7" s="54" customFormat="1" ht="12.75">
      <c r="A482" s="53"/>
      <c r="B482" s="85">
        <v>37069</v>
      </c>
      <c r="C482" s="1">
        <v>23.35</v>
      </c>
      <c r="D482" s="1">
        <v>23.46</v>
      </c>
      <c r="E482" s="1">
        <v>23.31</v>
      </c>
      <c r="F482" s="1">
        <v>23.42</v>
      </c>
      <c r="G482" s="1">
        <v>179400</v>
      </c>
    </row>
    <row r="483" spans="1:7" s="54" customFormat="1" ht="12.75">
      <c r="A483" s="53"/>
      <c r="B483" s="85">
        <v>37068</v>
      </c>
      <c r="C483" s="1">
        <v>23.11</v>
      </c>
      <c r="D483" s="1">
        <v>23.34</v>
      </c>
      <c r="E483" s="1">
        <v>23.05</v>
      </c>
      <c r="F483" s="1">
        <v>23.28</v>
      </c>
      <c r="G483" s="1">
        <v>191000</v>
      </c>
    </row>
    <row r="484" spans="1:7" s="54" customFormat="1" ht="12.75">
      <c r="A484" s="53"/>
      <c r="B484" s="85">
        <v>37065</v>
      </c>
      <c r="C484" s="1">
        <v>23.32</v>
      </c>
      <c r="D484" s="1">
        <v>23.4</v>
      </c>
      <c r="E484" s="1">
        <v>23.1</v>
      </c>
      <c r="F484" s="1">
        <v>23.11</v>
      </c>
      <c r="G484" s="1">
        <v>369900</v>
      </c>
    </row>
    <row r="485" spans="1:7" s="54" customFormat="1" ht="12.75">
      <c r="A485" s="53"/>
      <c r="B485" s="85">
        <v>37064</v>
      </c>
      <c r="C485" s="1">
        <v>23.32</v>
      </c>
      <c r="D485" s="1">
        <v>23.45</v>
      </c>
      <c r="E485" s="1">
        <v>23.21</v>
      </c>
      <c r="F485" s="1">
        <v>23.34</v>
      </c>
      <c r="G485" s="1">
        <v>212400</v>
      </c>
    </row>
    <row r="486" spans="1:7" s="54" customFormat="1" ht="12.75">
      <c r="A486" s="53"/>
      <c r="B486" s="85">
        <v>37063</v>
      </c>
      <c r="C486" s="1">
        <v>23.24</v>
      </c>
      <c r="D486" s="1">
        <v>23.43</v>
      </c>
      <c r="E486" s="1">
        <v>23.22</v>
      </c>
      <c r="F486" s="1">
        <v>23.33</v>
      </c>
      <c r="G486" s="1">
        <v>295000</v>
      </c>
    </row>
    <row r="487" spans="1:7" s="54" customFormat="1" ht="12.75">
      <c r="A487" s="53"/>
      <c r="B487" s="54" t="s">
        <v>111</v>
      </c>
      <c r="C487" s="56">
        <f>AVERAGE(C457:C486)</f>
        <v>23.61533333333334</v>
      </c>
      <c r="D487" s="56">
        <f>AVERAGE(D457:D486)</f>
        <v>23.761666666666663</v>
      </c>
      <c r="E487" s="56">
        <f>AVERAGE(E457:E486)</f>
        <v>23.487666666666662</v>
      </c>
      <c r="F487" s="57">
        <f>AVERAGE(F457:F486)</f>
        <v>23.64</v>
      </c>
      <c r="G487" s="56">
        <f>AVERAGE(G457:G486)</f>
        <v>286630</v>
      </c>
    </row>
    <row r="488" spans="1:7" s="54" customFormat="1" ht="12.75">
      <c r="A488" s="53"/>
      <c r="B488" s="54" t="s">
        <v>38</v>
      </c>
      <c r="C488" s="54">
        <f>MEDIAN(C457:C486)</f>
        <v>23.5</v>
      </c>
      <c r="D488" s="54">
        <f>MEDIAN(D457:D486)</f>
        <v>23.735</v>
      </c>
      <c r="E488" s="54">
        <f>MEDIAN(E457:E486)</f>
        <v>23.4</v>
      </c>
      <c r="F488" s="54">
        <f>MEDIAN(F457:F486)</f>
        <v>23.53</v>
      </c>
      <c r="G488" s="54">
        <f>MEDIAN(G457:G486)</f>
        <v>242800</v>
      </c>
    </row>
    <row r="489" spans="1:7" s="54" customFormat="1" ht="12.75">
      <c r="A489" s="53"/>
      <c r="B489" s="54" t="s">
        <v>139</v>
      </c>
      <c r="C489" s="54">
        <f>MAX(C457:C486)</f>
        <v>24.2</v>
      </c>
      <c r="D489" s="54">
        <f>MAX(D457:D486)</f>
        <v>24.36</v>
      </c>
      <c r="E489" s="54">
        <f>MAX(E457:E486)</f>
        <v>23.98</v>
      </c>
      <c r="F489" s="54">
        <f>MAX(F457:F486)</f>
        <v>24.35</v>
      </c>
      <c r="G489" s="54">
        <f>MAX(G457:G486)</f>
        <v>809800</v>
      </c>
    </row>
    <row r="490" spans="1:7" s="54" customFormat="1" ht="12.75">
      <c r="A490" s="53"/>
      <c r="B490" s="54" t="s">
        <v>140</v>
      </c>
      <c r="C490" s="54">
        <f>MIN(C457:C486)</f>
        <v>23.11</v>
      </c>
      <c r="D490" s="54">
        <f>MIN(D457:D486)</f>
        <v>23.34</v>
      </c>
      <c r="E490" s="54">
        <f>MIN(E457:E486)</f>
        <v>23.01</v>
      </c>
      <c r="F490" s="54">
        <f>MIN(F457:F486)</f>
        <v>23.05</v>
      </c>
      <c r="G490" s="54">
        <f>MIN(G457:G486)</f>
        <v>154100</v>
      </c>
    </row>
    <row r="491" spans="1:7" s="54" customFormat="1" ht="12.75">
      <c r="A491" s="53" t="s">
        <v>190</v>
      </c>
      <c r="B491" t="s">
        <v>25</v>
      </c>
      <c r="C491" t="s">
        <v>26</v>
      </c>
      <c r="D491" t="s">
        <v>27</v>
      </c>
      <c r="E491" t="s">
        <v>28</v>
      </c>
      <c r="F491" t="s">
        <v>29</v>
      </c>
      <c r="G491" t="s">
        <v>30</v>
      </c>
    </row>
    <row r="492" spans="1:7" s="54" customFormat="1" ht="12.75">
      <c r="A492" s="53"/>
      <c r="B492" s="55">
        <v>37105</v>
      </c>
      <c r="C492">
        <v>32.49</v>
      </c>
      <c r="D492">
        <v>32.5</v>
      </c>
      <c r="E492">
        <v>32.12</v>
      </c>
      <c r="F492">
        <v>32.31</v>
      </c>
      <c r="G492">
        <v>117500</v>
      </c>
    </row>
    <row r="493" spans="1:7" s="54" customFormat="1" ht="12.75">
      <c r="A493" s="53"/>
      <c r="B493" s="55">
        <v>37104</v>
      </c>
      <c r="C493">
        <v>32</v>
      </c>
      <c r="D493">
        <v>32.6</v>
      </c>
      <c r="E493">
        <v>32</v>
      </c>
      <c r="F493">
        <v>32.5</v>
      </c>
      <c r="G493">
        <v>310000</v>
      </c>
    </row>
    <row r="494" spans="1:7" s="54" customFormat="1" ht="12.75">
      <c r="A494" s="53"/>
      <c r="B494" s="55">
        <v>37103</v>
      </c>
      <c r="C494">
        <v>32.25</v>
      </c>
      <c r="D494">
        <v>32.4</v>
      </c>
      <c r="E494">
        <v>31.98</v>
      </c>
      <c r="F494">
        <v>32</v>
      </c>
      <c r="G494">
        <v>135100</v>
      </c>
    </row>
    <row r="495" spans="1:7" s="54" customFormat="1" ht="12.75">
      <c r="A495" s="53"/>
      <c r="B495" s="55">
        <v>37100</v>
      </c>
      <c r="C495">
        <v>31.95</v>
      </c>
      <c r="D495">
        <v>32.3</v>
      </c>
      <c r="E495">
        <v>31.95</v>
      </c>
      <c r="F495">
        <v>32.25</v>
      </c>
      <c r="G495">
        <v>241300</v>
      </c>
    </row>
    <row r="496" spans="1:7" s="54" customFormat="1" ht="12.75">
      <c r="A496" s="53"/>
      <c r="B496" s="55">
        <v>37099</v>
      </c>
      <c r="C496">
        <v>31.97</v>
      </c>
      <c r="D496">
        <v>32.05</v>
      </c>
      <c r="E496">
        <v>31.93</v>
      </c>
      <c r="F496">
        <v>32</v>
      </c>
      <c r="G496">
        <v>281300</v>
      </c>
    </row>
    <row r="497" spans="1:7" s="54" customFormat="1" ht="12.75">
      <c r="A497" s="53"/>
      <c r="B497" s="55">
        <v>37098</v>
      </c>
      <c r="C497">
        <v>31.94</v>
      </c>
      <c r="D497">
        <v>32.06</v>
      </c>
      <c r="E497">
        <v>31.8</v>
      </c>
      <c r="F497">
        <v>31.96</v>
      </c>
      <c r="G497">
        <v>265900</v>
      </c>
    </row>
    <row r="498" spans="1:7" s="54" customFormat="1" ht="12.75">
      <c r="A498" s="53"/>
      <c r="B498" s="55">
        <v>37097</v>
      </c>
      <c r="C498">
        <v>31.85</v>
      </c>
      <c r="D498">
        <v>32.17</v>
      </c>
      <c r="E498">
        <v>31.59</v>
      </c>
      <c r="F498">
        <v>31.93</v>
      </c>
      <c r="G498">
        <v>199900</v>
      </c>
    </row>
    <row r="499" spans="1:7" s="54" customFormat="1" ht="12.75">
      <c r="A499" s="53"/>
      <c r="B499" s="55">
        <v>37096</v>
      </c>
      <c r="C499">
        <v>32.09</v>
      </c>
      <c r="D499">
        <v>32.25</v>
      </c>
      <c r="E499">
        <v>31.8</v>
      </c>
      <c r="F499">
        <v>31.87</v>
      </c>
      <c r="G499">
        <v>415000</v>
      </c>
    </row>
    <row r="500" spans="1:7" s="54" customFormat="1" ht="12.75">
      <c r="A500" s="53"/>
      <c r="B500" s="55">
        <v>37093</v>
      </c>
      <c r="C500">
        <v>31.48</v>
      </c>
      <c r="D500">
        <v>32.25</v>
      </c>
      <c r="E500">
        <v>31.45</v>
      </c>
      <c r="F500">
        <v>32.25</v>
      </c>
      <c r="G500">
        <v>94600</v>
      </c>
    </row>
    <row r="501" spans="1:7" s="54" customFormat="1" ht="12.75">
      <c r="A501" s="53"/>
      <c r="B501" s="55">
        <v>37092</v>
      </c>
      <c r="C501">
        <v>31.85</v>
      </c>
      <c r="D501">
        <v>32.03</v>
      </c>
      <c r="E501">
        <v>31.49</v>
      </c>
      <c r="F501">
        <v>31.58</v>
      </c>
      <c r="G501">
        <v>172500</v>
      </c>
    </row>
    <row r="502" spans="1:7" s="54" customFormat="1" ht="12.75">
      <c r="A502" s="53"/>
      <c r="B502" s="55">
        <v>37091</v>
      </c>
      <c r="C502">
        <v>31.7</v>
      </c>
      <c r="D502">
        <v>32</v>
      </c>
      <c r="E502">
        <v>31.59</v>
      </c>
      <c r="F502">
        <v>31.95</v>
      </c>
      <c r="G502">
        <v>349000</v>
      </c>
    </row>
    <row r="503" spans="1:7" s="54" customFormat="1" ht="12.75">
      <c r="A503" s="53"/>
      <c r="B503" s="55">
        <v>37090</v>
      </c>
      <c r="C503">
        <v>32</v>
      </c>
      <c r="D503">
        <v>32.12</v>
      </c>
      <c r="E503">
        <v>31.79</v>
      </c>
      <c r="F503">
        <v>31.86</v>
      </c>
      <c r="G503">
        <v>242900</v>
      </c>
    </row>
    <row r="504" spans="1:7" s="54" customFormat="1" ht="12.75">
      <c r="A504" s="53"/>
      <c r="B504" s="55">
        <v>37089</v>
      </c>
      <c r="C504">
        <v>32.17</v>
      </c>
      <c r="D504">
        <v>32.17</v>
      </c>
      <c r="E504">
        <v>31.75</v>
      </c>
      <c r="F504">
        <v>31.93</v>
      </c>
      <c r="G504">
        <v>143200</v>
      </c>
    </row>
    <row r="505" spans="1:7" s="54" customFormat="1" ht="12.75">
      <c r="A505" s="53"/>
      <c r="B505" s="55">
        <v>37086</v>
      </c>
      <c r="C505">
        <v>31.85</v>
      </c>
      <c r="D505">
        <v>32.09</v>
      </c>
      <c r="E505">
        <v>31.8</v>
      </c>
      <c r="F505">
        <v>32.07</v>
      </c>
      <c r="G505">
        <v>176300</v>
      </c>
    </row>
    <row r="506" spans="1:7" s="54" customFormat="1" ht="12.75">
      <c r="A506" s="53"/>
      <c r="B506" s="55">
        <v>37085</v>
      </c>
      <c r="C506">
        <v>32.35</v>
      </c>
      <c r="D506">
        <v>32.38</v>
      </c>
      <c r="E506">
        <v>31.67</v>
      </c>
      <c r="F506">
        <v>31.94</v>
      </c>
      <c r="G506">
        <v>306900</v>
      </c>
    </row>
    <row r="507" spans="1:7" s="54" customFormat="1" ht="12.75">
      <c r="A507" s="53"/>
      <c r="B507" s="55">
        <v>37084</v>
      </c>
      <c r="C507">
        <v>32.12</v>
      </c>
      <c r="D507">
        <v>32.17</v>
      </c>
      <c r="E507">
        <v>31.83</v>
      </c>
      <c r="F507">
        <v>32.15</v>
      </c>
      <c r="G507">
        <v>221700</v>
      </c>
    </row>
    <row r="508" spans="1:7" s="54" customFormat="1" ht="12.75">
      <c r="A508" s="53"/>
      <c r="B508" s="55">
        <v>37083</v>
      </c>
      <c r="C508">
        <v>31.94</v>
      </c>
      <c r="D508">
        <v>32.7</v>
      </c>
      <c r="E508">
        <v>31.9</v>
      </c>
      <c r="F508">
        <v>32.19</v>
      </c>
      <c r="G508">
        <v>264500</v>
      </c>
    </row>
    <row r="509" spans="1:7" s="54" customFormat="1" ht="12.75">
      <c r="A509" s="53"/>
      <c r="B509" s="55">
        <v>37082</v>
      </c>
      <c r="C509">
        <v>31.24</v>
      </c>
      <c r="D509">
        <v>31.95</v>
      </c>
      <c r="E509">
        <v>31.2</v>
      </c>
      <c r="F509">
        <v>31.94</v>
      </c>
      <c r="G509">
        <v>496500</v>
      </c>
    </row>
    <row r="510" spans="1:7" s="54" customFormat="1" ht="12.75">
      <c r="A510" s="53"/>
      <c r="B510" s="55">
        <v>37079</v>
      </c>
      <c r="C510">
        <v>31.01</v>
      </c>
      <c r="D510">
        <v>31.25</v>
      </c>
      <c r="E510">
        <v>30.92</v>
      </c>
      <c r="F510">
        <v>31.17</v>
      </c>
      <c r="G510">
        <v>225500</v>
      </c>
    </row>
    <row r="511" spans="1:7" s="54" customFormat="1" ht="12.75">
      <c r="A511" s="53"/>
      <c r="B511" s="55">
        <v>37078</v>
      </c>
      <c r="C511">
        <v>30.7</v>
      </c>
      <c r="D511">
        <v>31.07</v>
      </c>
      <c r="E511">
        <v>30.5</v>
      </c>
      <c r="F511">
        <v>31.01</v>
      </c>
      <c r="G511">
        <v>357400</v>
      </c>
    </row>
    <row r="512" spans="1:7" s="54" customFormat="1" ht="12.75">
      <c r="A512" s="53"/>
      <c r="B512" s="55">
        <v>37077</v>
      </c>
      <c r="C512">
        <v>31.22</v>
      </c>
      <c r="D512">
        <v>31.27</v>
      </c>
      <c r="E512">
        <v>30.8</v>
      </c>
      <c r="F512">
        <v>30.82</v>
      </c>
      <c r="G512">
        <v>377400</v>
      </c>
    </row>
    <row r="513" spans="1:7" s="54" customFormat="1" ht="12.75">
      <c r="A513" s="53"/>
      <c r="B513" s="55">
        <v>37076</v>
      </c>
      <c r="C513">
        <v>30.95</v>
      </c>
      <c r="D513">
        <v>31.25</v>
      </c>
      <c r="E513">
        <v>30.73</v>
      </c>
      <c r="F513">
        <v>31.25</v>
      </c>
      <c r="G513">
        <v>171800</v>
      </c>
    </row>
    <row r="514" spans="1:7" s="54" customFormat="1" ht="12.75">
      <c r="A514" s="53"/>
      <c r="B514" s="55">
        <v>37072</v>
      </c>
      <c r="C514">
        <v>30.75</v>
      </c>
      <c r="D514">
        <v>31.08</v>
      </c>
      <c r="E514">
        <v>30.56</v>
      </c>
      <c r="F514">
        <v>31.04</v>
      </c>
      <c r="G514">
        <v>141700</v>
      </c>
    </row>
    <row r="515" spans="1:7" s="54" customFormat="1" ht="12.75">
      <c r="A515" s="53"/>
      <c r="B515" s="55">
        <v>37071</v>
      </c>
      <c r="C515">
        <v>30.55</v>
      </c>
      <c r="D515">
        <v>30.76</v>
      </c>
      <c r="E515">
        <v>30.51</v>
      </c>
      <c r="F515">
        <v>30.75</v>
      </c>
      <c r="G515">
        <v>223800</v>
      </c>
    </row>
    <row r="516" spans="1:7" s="54" customFormat="1" ht="12.75">
      <c r="A516" s="53"/>
      <c r="B516" s="55">
        <v>37070</v>
      </c>
      <c r="C516">
        <v>30.6</v>
      </c>
      <c r="D516">
        <v>30.68</v>
      </c>
      <c r="E516">
        <v>30.35</v>
      </c>
      <c r="F516">
        <v>30.63</v>
      </c>
      <c r="G516">
        <v>368900</v>
      </c>
    </row>
    <row r="517" spans="1:7" s="54" customFormat="1" ht="12.75">
      <c r="A517" s="53"/>
      <c r="B517" s="55">
        <v>37069</v>
      </c>
      <c r="C517">
        <v>30.23</v>
      </c>
      <c r="D517">
        <v>30.61</v>
      </c>
      <c r="E517">
        <v>30.21</v>
      </c>
      <c r="F517">
        <v>30.6</v>
      </c>
      <c r="G517">
        <v>182300</v>
      </c>
    </row>
    <row r="518" spans="1:7" s="54" customFormat="1" ht="12.75">
      <c r="A518" s="53"/>
      <c r="B518" s="55">
        <v>37068</v>
      </c>
      <c r="C518">
        <v>30.03</v>
      </c>
      <c r="D518">
        <v>30.37</v>
      </c>
      <c r="E518">
        <v>30.03</v>
      </c>
      <c r="F518">
        <v>30.2</v>
      </c>
      <c r="G518">
        <v>223500</v>
      </c>
    </row>
    <row r="519" spans="1:7" s="54" customFormat="1" ht="12.75">
      <c r="A519" s="53"/>
      <c r="B519" s="55">
        <v>37065</v>
      </c>
      <c r="C519">
        <v>29.4</v>
      </c>
      <c r="D519">
        <v>30.31</v>
      </c>
      <c r="E519">
        <v>29.2</v>
      </c>
      <c r="F519">
        <v>30.03</v>
      </c>
      <c r="G519">
        <v>959400</v>
      </c>
    </row>
    <row r="520" spans="1:7" s="54" customFormat="1" ht="12.75">
      <c r="A520" s="53"/>
      <c r="B520" s="55">
        <v>37064</v>
      </c>
      <c r="C520">
        <v>29.78</v>
      </c>
      <c r="D520">
        <v>29.85</v>
      </c>
      <c r="E520">
        <v>29.44</v>
      </c>
      <c r="F520">
        <v>29.5</v>
      </c>
      <c r="G520">
        <v>261700</v>
      </c>
    </row>
    <row r="521" spans="1:7" s="54" customFormat="1" ht="12.75">
      <c r="A521" s="53"/>
      <c r="B521" s="55">
        <v>37063</v>
      </c>
      <c r="C521">
        <v>29.7</v>
      </c>
      <c r="D521">
        <v>29.82</v>
      </c>
      <c r="E521">
        <v>29.63</v>
      </c>
      <c r="F521">
        <v>29.8</v>
      </c>
      <c r="G521">
        <v>955900</v>
      </c>
    </row>
    <row r="522" spans="1:7" s="54" customFormat="1" ht="12.75">
      <c r="A522" s="53"/>
      <c r="B522" s="54" t="s">
        <v>111</v>
      </c>
      <c r="C522" s="56">
        <f>AVERAGE(C492:C521)</f>
        <v>31.338666666666672</v>
      </c>
      <c r="D522" s="56">
        <f>AVERAGE(D492:D521)</f>
        <v>31.617000000000004</v>
      </c>
      <c r="E522" s="56">
        <f>AVERAGE(E492:E521)</f>
        <v>31.15066666666667</v>
      </c>
      <c r="F522" s="57">
        <f>AVERAGE(F492:F521)</f>
        <v>31.449333333333335</v>
      </c>
      <c r="G522" s="56">
        <f>AVERAGE(G492:G521)</f>
        <v>296113.3333333333</v>
      </c>
    </row>
    <row r="523" spans="1:7" ht="12.75">
      <c r="A523" s="53"/>
      <c r="B523" s="54" t="s">
        <v>38</v>
      </c>
      <c r="C523" s="54">
        <f>MEDIAN(C492:C521)</f>
        <v>31.775</v>
      </c>
      <c r="D523" s="54">
        <f>MEDIAN(D492:D521)</f>
        <v>32.04</v>
      </c>
      <c r="E523" s="54">
        <f>MEDIAN(E492:E521)</f>
        <v>31.54</v>
      </c>
      <c r="F523" s="54">
        <f>MEDIAN(F492:F521)</f>
        <v>31.9</v>
      </c>
      <c r="G523" s="54">
        <f>MEDIAN(G492:G521)</f>
        <v>242100</v>
      </c>
    </row>
    <row r="524" spans="1:7" ht="12.75">
      <c r="A524" s="53"/>
      <c r="B524" s="54" t="s">
        <v>139</v>
      </c>
      <c r="C524" s="54">
        <f>MAX(C492:C521)</f>
        <v>32.49</v>
      </c>
      <c r="D524" s="54">
        <f>MAX(D492:D521)</f>
        <v>32.7</v>
      </c>
      <c r="E524" s="54">
        <f>MAX(E492:E521)</f>
        <v>32.12</v>
      </c>
      <c r="F524" s="54">
        <f>MAX(F492:F521)</f>
        <v>32.5</v>
      </c>
      <c r="G524" s="54">
        <f>MAX(G492:G521)</f>
        <v>959400</v>
      </c>
    </row>
    <row r="525" spans="1:7" ht="12.75">
      <c r="A525" s="53"/>
      <c r="B525" s="54" t="s">
        <v>140</v>
      </c>
      <c r="C525" s="54">
        <f>MIN(C492:C521)</f>
        <v>29.4</v>
      </c>
      <c r="D525" s="54">
        <f>MIN(D492:D521)</f>
        <v>29.82</v>
      </c>
      <c r="E525" s="54">
        <f>MIN(E492:E521)</f>
        <v>29.2</v>
      </c>
      <c r="F525" s="54">
        <f>MIN(F492:F521)</f>
        <v>29.5</v>
      </c>
      <c r="G525" s="54">
        <f>MIN(G492:G521)</f>
        <v>94600</v>
      </c>
    </row>
    <row r="526" ht="12.75">
      <c r="A526" s="53"/>
    </row>
    <row r="527" spans="1:2" ht="12.75">
      <c r="A527" s="53"/>
      <c r="B527" s="55"/>
    </row>
    <row r="528" spans="1:2" ht="12.75">
      <c r="A528" s="53"/>
      <c r="B528" s="55"/>
    </row>
    <row r="529" spans="1:2" ht="12.75">
      <c r="A529" s="53"/>
      <c r="B529" s="55"/>
    </row>
    <row r="530" spans="1:2" ht="12.75">
      <c r="A530" s="53"/>
      <c r="B530" s="55"/>
    </row>
    <row r="531" spans="1:2" ht="12.75">
      <c r="A531" s="53"/>
      <c r="B531" s="55"/>
    </row>
    <row r="532" spans="1:2" ht="12.75">
      <c r="A532" s="53"/>
      <c r="B532" s="55"/>
    </row>
    <row r="533" spans="1:2" ht="12.75">
      <c r="A533" s="53"/>
      <c r="B533" s="55"/>
    </row>
    <row r="534" spans="1:2" ht="12.75">
      <c r="A534" s="53"/>
      <c r="B534" s="55"/>
    </row>
    <row r="535" spans="1:2" ht="12.75">
      <c r="A535" s="53"/>
      <c r="B535" s="55"/>
    </row>
    <row r="536" spans="1:2" ht="12.75">
      <c r="A536" s="53"/>
      <c r="B536" s="55"/>
    </row>
    <row r="537" spans="1:2" ht="12.75">
      <c r="A537" s="53"/>
      <c r="B537" s="55"/>
    </row>
    <row r="538" spans="1:2" ht="12.75">
      <c r="A538" s="53"/>
      <c r="B538" s="55"/>
    </row>
    <row r="539" spans="1:2" ht="12.75">
      <c r="A539" s="53"/>
      <c r="B539" s="55"/>
    </row>
    <row r="540" spans="1:2" ht="12.75">
      <c r="A540" s="53"/>
      <c r="B540" s="55"/>
    </row>
    <row r="541" spans="1:2" ht="12.75">
      <c r="A541" s="53"/>
      <c r="B541" s="55"/>
    </row>
    <row r="542" spans="1:2" ht="12.75">
      <c r="A542" s="53"/>
      <c r="B542" s="55"/>
    </row>
    <row r="543" spans="1:2" ht="12.75">
      <c r="A543" s="53"/>
      <c r="B543" s="55"/>
    </row>
    <row r="544" spans="1:2" ht="12.75">
      <c r="A544" s="53"/>
      <c r="B544" s="55"/>
    </row>
    <row r="545" spans="1:2" ht="12.75">
      <c r="A545" s="53"/>
      <c r="B545" s="55"/>
    </row>
    <row r="546" spans="1:2" ht="12.75">
      <c r="A546" s="53"/>
      <c r="B546" s="55"/>
    </row>
    <row r="547" spans="1:2" ht="12.75">
      <c r="A547" s="53"/>
      <c r="B547" s="55"/>
    </row>
    <row r="548" spans="1:2" ht="12.75">
      <c r="A548" s="53"/>
      <c r="B548" s="55"/>
    </row>
    <row r="549" spans="1:2" ht="12.75">
      <c r="A549" s="53"/>
      <c r="B549" s="55"/>
    </row>
    <row r="550" spans="1:2" ht="12.75">
      <c r="A550" s="53"/>
      <c r="B550" s="55"/>
    </row>
    <row r="551" spans="1:2" ht="12.75">
      <c r="A551" s="53"/>
      <c r="B551" s="55"/>
    </row>
    <row r="552" spans="1:2" ht="12.75">
      <c r="A552" s="53"/>
      <c r="B552" s="55"/>
    </row>
    <row r="553" spans="1:2" ht="12.75">
      <c r="A553" s="53"/>
      <c r="B553" s="55"/>
    </row>
    <row r="554" spans="1:2" ht="12.75">
      <c r="A554" s="53"/>
      <c r="B554" s="55"/>
    </row>
    <row r="555" spans="1:2" ht="12.75">
      <c r="A555" s="53"/>
      <c r="B555" s="55"/>
    </row>
    <row r="556" spans="1:2" ht="12.75">
      <c r="A556" s="53"/>
      <c r="B556" s="55"/>
    </row>
    <row r="557" spans="1:7" ht="12.75">
      <c r="A557" s="53"/>
      <c r="B557" s="54"/>
      <c r="C557" s="56"/>
      <c r="D557" s="56"/>
      <c r="E557" s="56"/>
      <c r="F557" s="56"/>
      <c r="G557" s="56"/>
    </row>
    <row r="558" spans="1:7" ht="12.75">
      <c r="A558" s="53"/>
      <c r="B558" s="54"/>
      <c r="C558" s="54"/>
      <c r="D558" s="54"/>
      <c r="E558" s="54"/>
      <c r="F558" s="54"/>
      <c r="G558" s="54"/>
    </row>
    <row r="559" spans="1:7" ht="12.75">
      <c r="A559" s="53"/>
      <c r="B559" s="54"/>
      <c r="C559" s="54"/>
      <c r="D559" s="54"/>
      <c r="E559" s="54"/>
      <c r="F559" s="54"/>
      <c r="G559" s="54"/>
    </row>
    <row r="560" spans="1:7" ht="12.75">
      <c r="A560" s="53"/>
      <c r="B560" s="54"/>
      <c r="C560" s="54"/>
      <c r="D560" s="54"/>
      <c r="E560" s="54"/>
      <c r="F560" s="54"/>
      <c r="G560" s="5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458"/>
  <sheetViews>
    <sheetView defaultGridColor="0" colorId="8" workbookViewId="0" topLeftCell="A1">
      <selection activeCell="AY15" sqref="AY15"/>
    </sheetView>
  </sheetViews>
  <sheetFormatPr defaultColWidth="9.00390625" defaultRowHeight="12"/>
  <cols>
    <col min="1" max="37" width="11.375" style="0" customWidth="1"/>
    <col min="38" max="51" width="13.25390625" style="0" customWidth="1"/>
    <col min="52" max="52" width="11.375" style="0" customWidth="1"/>
    <col min="53" max="53" width="15.25390625" style="0" customWidth="1"/>
    <col min="54" max="16384" width="11.375" style="0" customWidth="1"/>
  </cols>
  <sheetData>
    <row r="1" spans="1:53" ht="12.75">
      <c r="A1" s="30" t="s">
        <v>116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  <c r="AB1" s="2"/>
      <c r="AC1" s="2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12.75">
      <c r="A2" s="1"/>
      <c r="B2" s="1" t="s">
        <v>200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2"/>
      <c r="AA2" s="2"/>
      <c r="AB2" s="2"/>
      <c r="AC2" s="2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3" t="s">
        <v>8</v>
      </c>
      <c r="BA2" s="1"/>
    </row>
    <row r="3" spans="1:53" ht="12.75">
      <c r="A3" s="3" t="s">
        <v>42</v>
      </c>
      <c r="B3" s="3" t="s">
        <v>43</v>
      </c>
      <c r="C3" s="3" t="s">
        <v>44</v>
      </c>
      <c r="D3" s="3" t="s">
        <v>62</v>
      </c>
      <c r="E3" s="3" t="s">
        <v>45</v>
      </c>
      <c r="F3" s="3">
        <v>2000</v>
      </c>
      <c r="G3" s="3">
        <v>2001</v>
      </c>
      <c r="H3" s="3">
        <v>2002</v>
      </c>
      <c r="I3" s="3">
        <v>2003</v>
      </c>
      <c r="J3" s="3">
        <v>2004</v>
      </c>
      <c r="K3" s="3">
        <v>2005</v>
      </c>
      <c r="L3" s="3">
        <v>2006</v>
      </c>
      <c r="M3" s="3" t="s">
        <v>178</v>
      </c>
      <c r="N3" s="3">
        <f aca="true" t="shared" si="0" ref="N3:U3">F3</f>
        <v>2000</v>
      </c>
      <c r="O3" s="3">
        <f t="shared" si="0"/>
        <v>2001</v>
      </c>
      <c r="P3" s="3">
        <f t="shared" si="0"/>
        <v>2002</v>
      </c>
      <c r="Q3" s="3">
        <f t="shared" si="0"/>
        <v>2003</v>
      </c>
      <c r="R3" s="3">
        <f t="shared" si="0"/>
        <v>2004</v>
      </c>
      <c r="S3" s="3">
        <f t="shared" si="0"/>
        <v>2005</v>
      </c>
      <c r="T3" s="3">
        <f t="shared" si="0"/>
        <v>2006</v>
      </c>
      <c r="U3" s="3" t="str">
        <f t="shared" si="0"/>
        <v>2008-2010</v>
      </c>
      <c r="V3" s="3">
        <f aca="true" t="shared" si="1" ref="V3:AC3">F3</f>
        <v>2000</v>
      </c>
      <c r="W3" s="3">
        <f t="shared" si="1"/>
        <v>2001</v>
      </c>
      <c r="X3" s="3">
        <f t="shared" si="1"/>
        <v>2002</v>
      </c>
      <c r="Y3" s="3">
        <f t="shared" si="1"/>
        <v>2003</v>
      </c>
      <c r="Z3" s="3">
        <f t="shared" si="1"/>
        <v>2004</v>
      </c>
      <c r="AA3" s="3">
        <f t="shared" si="1"/>
        <v>2005</v>
      </c>
      <c r="AB3" s="3">
        <f t="shared" si="1"/>
        <v>2006</v>
      </c>
      <c r="AC3" s="4" t="str">
        <f t="shared" si="1"/>
        <v>2008-2010</v>
      </c>
      <c r="AD3" s="3">
        <f aca="true" t="shared" si="2" ref="AD3:AK3">F3</f>
        <v>2000</v>
      </c>
      <c r="AE3" s="3">
        <f t="shared" si="2"/>
        <v>2001</v>
      </c>
      <c r="AF3" s="3">
        <f t="shared" si="2"/>
        <v>2002</v>
      </c>
      <c r="AG3" s="3">
        <f t="shared" si="2"/>
        <v>2003</v>
      </c>
      <c r="AH3" s="3">
        <f t="shared" si="2"/>
        <v>2004</v>
      </c>
      <c r="AI3" s="3">
        <f t="shared" si="2"/>
        <v>2005</v>
      </c>
      <c r="AJ3" s="3">
        <f t="shared" si="2"/>
        <v>2006</v>
      </c>
      <c r="AK3" s="3" t="str">
        <f t="shared" si="2"/>
        <v>2008-2010</v>
      </c>
      <c r="AL3" s="3">
        <f aca="true" t="shared" si="3" ref="AL3:AS3">F3</f>
        <v>2000</v>
      </c>
      <c r="AM3" s="3">
        <f t="shared" si="3"/>
        <v>2001</v>
      </c>
      <c r="AN3" s="3">
        <f t="shared" si="3"/>
        <v>2002</v>
      </c>
      <c r="AO3" s="3">
        <f t="shared" si="3"/>
        <v>2003</v>
      </c>
      <c r="AP3" s="3">
        <f t="shared" si="3"/>
        <v>2004</v>
      </c>
      <c r="AQ3" s="3">
        <f t="shared" si="3"/>
        <v>2005</v>
      </c>
      <c r="AR3" s="3">
        <f t="shared" si="3"/>
        <v>2006</v>
      </c>
      <c r="AS3" s="3" t="str">
        <f t="shared" si="3"/>
        <v>2008-2010</v>
      </c>
      <c r="AT3" s="3" t="s">
        <v>46</v>
      </c>
      <c r="AU3" s="3" t="s">
        <v>47</v>
      </c>
      <c r="AV3" s="3" t="s">
        <v>46</v>
      </c>
      <c r="AW3" s="3" t="s">
        <v>47</v>
      </c>
      <c r="AX3" s="3" t="s">
        <v>46</v>
      </c>
      <c r="AY3" s="3" t="s">
        <v>47</v>
      </c>
      <c r="AZ3" s="47">
        <v>2006</v>
      </c>
      <c r="BA3" s="3" t="s">
        <v>8</v>
      </c>
    </row>
    <row r="4" spans="1:53" ht="12.75">
      <c r="A4" s="3" t="s">
        <v>48</v>
      </c>
      <c r="B4" s="3" t="s">
        <v>9</v>
      </c>
      <c r="C4" s="3" t="s">
        <v>61</v>
      </c>
      <c r="D4" s="3" t="s">
        <v>3</v>
      </c>
      <c r="E4" s="3" t="s">
        <v>62</v>
      </c>
      <c r="F4" s="3" t="s">
        <v>63</v>
      </c>
      <c r="G4" s="3" t="s">
        <v>63</v>
      </c>
      <c r="H4" s="3" t="s">
        <v>63</v>
      </c>
      <c r="I4" s="3" t="s">
        <v>63</v>
      </c>
      <c r="J4" s="3" t="s">
        <v>63</v>
      </c>
      <c r="K4" s="3" t="s">
        <v>63</v>
      </c>
      <c r="L4" s="3" t="s">
        <v>63</v>
      </c>
      <c r="M4" s="3" t="s">
        <v>63</v>
      </c>
      <c r="N4" s="3" t="s">
        <v>64</v>
      </c>
      <c r="O4" s="3" t="s">
        <v>64</v>
      </c>
      <c r="P4" s="3" t="s">
        <v>64</v>
      </c>
      <c r="Q4" s="3" t="s">
        <v>64</v>
      </c>
      <c r="R4" s="3" t="s">
        <v>64</v>
      </c>
      <c r="S4" s="3" t="s">
        <v>64</v>
      </c>
      <c r="T4" s="3" t="s">
        <v>64</v>
      </c>
      <c r="U4" s="3" t="s">
        <v>64</v>
      </c>
      <c r="V4" s="3" t="s">
        <v>65</v>
      </c>
      <c r="W4" s="4" t="s">
        <v>65</v>
      </c>
      <c r="X4" s="4" t="s">
        <v>65</v>
      </c>
      <c r="Y4" s="4" t="s">
        <v>65</v>
      </c>
      <c r="Z4" s="4" t="s">
        <v>65</v>
      </c>
      <c r="AA4" s="4" t="s">
        <v>65</v>
      </c>
      <c r="AB4" s="4" t="s">
        <v>65</v>
      </c>
      <c r="AC4" s="4" t="s">
        <v>65</v>
      </c>
      <c r="AD4" s="3" t="s">
        <v>66</v>
      </c>
      <c r="AE4" s="3" t="s">
        <v>66</v>
      </c>
      <c r="AF4" s="3" t="s">
        <v>66</v>
      </c>
      <c r="AG4" s="3" t="s">
        <v>66</v>
      </c>
      <c r="AH4" s="3" t="s">
        <v>66</v>
      </c>
      <c r="AI4" s="3" t="s">
        <v>66</v>
      </c>
      <c r="AJ4" s="3" t="s">
        <v>66</v>
      </c>
      <c r="AK4" s="3" t="s">
        <v>66</v>
      </c>
      <c r="AL4" s="3" t="s">
        <v>67</v>
      </c>
      <c r="AM4" s="3" t="s">
        <v>67</v>
      </c>
      <c r="AN4" s="3" t="s">
        <v>67</v>
      </c>
      <c r="AO4" s="3" t="s">
        <v>67</v>
      </c>
      <c r="AP4" s="3" t="s">
        <v>67</v>
      </c>
      <c r="AQ4" s="3" t="s">
        <v>67</v>
      </c>
      <c r="AR4" s="3" t="s">
        <v>67</v>
      </c>
      <c r="AS4" s="3" t="s">
        <v>67</v>
      </c>
      <c r="AT4" s="3" t="s">
        <v>68</v>
      </c>
      <c r="AU4" s="3" t="s">
        <v>68</v>
      </c>
      <c r="AV4" s="3" t="s">
        <v>0</v>
      </c>
      <c r="AW4" s="3" t="s">
        <v>0</v>
      </c>
      <c r="AX4" s="3" t="s">
        <v>1</v>
      </c>
      <c r="AY4" s="3" t="s">
        <v>1</v>
      </c>
      <c r="AZ4" s="3" t="s">
        <v>63</v>
      </c>
      <c r="BA4" s="3" t="s">
        <v>2</v>
      </c>
    </row>
    <row r="5" spans="1:53" ht="12.75">
      <c r="A5" s="46" t="s">
        <v>52</v>
      </c>
      <c r="B5" s="58">
        <f>'$perShare'!F32</f>
        <v>18.769999999999996</v>
      </c>
      <c r="C5" s="1">
        <v>0.5</v>
      </c>
      <c r="D5" s="3" t="s">
        <v>129</v>
      </c>
      <c r="E5" s="1">
        <v>0.23</v>
      </c>
      <c r="F5" s="1">
        <v>1.14</v>
      </c>
      <c r="G5" s="1">
        <v>0.93</v>
      </c>
      <c r="H5" s="1">
        <v>1.54</v>
      </c>
      <c r="I5" s="1">
        <v>1.41</v>
      </c>
      <c r="J5" s="1">
        <v>1.25</v>
      </c>
      <c r="K5" s="1">
        <v>-0.05</v>
      </c>
      <c r="L5" s="1">
        <v>1.25</v>
      </c>
      <c r="M5" s="1">
        <v>1.65</v>
      </c>
      <c r="N5" s="1">
        <v>0.88</v>
      </c>
      <c r="O5" s="1">
        <v>0.88</v>
      </c>
      <c r="P5" s="1">
        <v>0.88</v>
      </c>
      <c r="Q5" s="1">
        <v>0.88</v>
      </c>
      <c r="R5" s="1">
        <v>0.92</v>
      </c>
      <c r="S5" s="1">
        <v>0.92</v>
      </c>
      <c r="T5" s="1">
        <v>0.92</v>
      </c>
      <c r="U5" s="1">
        <v>1.08</v>
      </c>
      <c r="V5" s="1">
        <v>0.069</v>
      </c>
      <c r="W5" s="1">
        <v>0.058</v>
      </c>
      <c r="X5" s="1">
        <v>0.093</v>
      </c>
      <c r="Y5" s="1">
        <v>0.081</v>
      </c>
      <c r="Z5" s="1">
        <v>0.068</v>
      </c>
      <c r="AA5" s="1" t="s">
        <v>57</v>
      </c>
      <c r="AB5" s="1">
        <v>0.075</v>
      </c>
      <c r="AC5" s="1">
        <v>0.095</v>
      </c>
      <c r="AD5" s="1">
        <v>16.57</v>
      </c>
      <c r="AE5" s="1">
        <v>15.81</v>
      </c>
      <c r="AF5" s="1">
        <v>16.83</v>
      </c>
      <c r="AG5" s="1">
        <v>17.89</v>
      </c>
      <c r="AH5" s="1">
        <v>18.49</v>
      </c>
      <c r="AI5" s="1">
        <v>16.9</v>
      </c>
      <c r="AJ5" s="1">
        <v>16.75</v>
      </c>
      <c r="AK5" s="1">
        <v>17.1</v>
      </c>
      <c r="AL5" s="1">
        <v>11.51</v>
      </c>
      <c r="AM5" s="1">
        <v>11.61</v>
      </c>
      <c r="AN5" s="1">
        <v>11.74</v>
      </c>
      <c r="AO5" s="1">
        <v>11.81</v>
      </c>
      <c r="AP5" s="1">
        <v>12.19</v>
      </c>
      <c r="AQ5" s="1">
        <v>12.5</v>
      </c>
      <c r="AR5" s="1">
        <v>12.75</v>
      </c>
      <c r="AS5" s="1">
        <v>13.5</v>
      </c>
      <c r="AT5" s="1">
        <v>0.085</v>
      </c>
      <c r="AU5" s="1">
        <v>0.03</v>
      </c>
      <c r="AV5" s="1">
        <v>0.005</v>
      </c>
      <c r="AW5" s="1">
        <v>0.005</v>
      </c>
      <c r="AX5" s="1">
        <v>0.02</v>
      </c>
      <c r="AY5" s="1">
        <v>-0.005</v>
      </c>
      <c r="AZ5" s="1">
        <f>DATA!L5</f>
        <v>1.25</v>
      </c>
      <c r="BA5" s="1" t="str">
        <f>'[1]Earnings-do not print'!G27</f>
        <v>n/a</v>
      </c>
    </row>
    <row r="6" spans="1:53" s="54" customFormat="1" ht="12.75">
      <c r="A6" s="61" t="s">
        <v>186</v>
      </c>
      <c r="B6" s="58">
        <f>'$perShare'!F67</f>
        <v>28.433333333333334</v>
      </c>
      <c r="C6" s="1">
        <v>0.85</v>
      </c>
      <c r="D6" s="3" t="s">
        <v>129</v>
      </c>
      <c r="E6" s="1">
        <v>0.275</v>
      </c>
      <c r="F6" s="1">
        <v>2.07</v>
      </c>
      <c r="G6" s="1">
        <v>2</v>
      </c>
      <c r="H6" s="1">
        <v>1.5</v>
      </c>
      <c r="I6" s="1">
        <v>1.43</v>
      </c>
      <c r="J6" s="1">
        <v>1.62</v>
      </c>
      <c r="K6" s="1">
        <v>1.8</v>
      </c>
      <c r="L6" s="63">
        <v>1.8</v>
      </c>
      <c r="M6" s="1">
        <v>2</v>
      </c>
      <c r="N6" s="1">
        <v>0.88</v>
      </c>
      <c r="O6" s="1">
        <v>0.92</v>
      </c>
      <c r="P6" s="1">
        <v>0.96</v>
      </c>
      <c r="Q6" s="1">
        <v>1</v>
      </c>
      <c r="R6" s="1">
        <v>1.06</v>
      </c>
      <c r="S6" s="1">
        <v>1.13</v>
      </c>
      <c r="T6" s="1">
        <v>1.21</v>
      </c>
      <c r="U6" s="1">
        <v>1.45</v>
      </c>
      <c r="V6" s="1">
        <v>0.138</v>
      </c>
      <c r="W6" s="1">
        <v>0.131</v>
      </c>
      <c r="X6" s="1">
        <v>0.08</v>
      </c>
      <c r="Y6" s="1">
        <v>0.081</v>
      </c>
      <c r="Z6" s="1">
        <v>0.09</v>
      </c>
      <c r="AA6" s="1">
        <v>0.095</v>
      </c>
      <c r="AB6" s="1">
        <v>0.095</v>
      </c>
      <c r="AC6" s="1">
        <v>0.095</v>
      </c>
      <c r="AD6" s="1">
        <v>14.59</v>
      </c>
      <c r="AE6" s="1">
        <v>15.26</v>
      </c>
      <c r="AF6" s="1">
        <v>16.97</v>
      </c>
      <c r="AG6" s="1">
        <v>17.59</v>
      </c>
      <c r="AH6" s="1">
        <v>17.89</v>
      </c>
      <c r="AI6" s="1">
        <v>18.6</v>
      </c>
      <c r="AJ6" s="1">
        <v>19.25</v>
      </c>
      <c r="AK6" s="1">
        <v>20.75</v>
      </c>
      <c r="AL6" s="1">
        <v>117.66</v>
      </c>
      <c r="AM6" s="1">
        <v>116.72</v>
      </c>
      <c r="AN6" s="1">
        <v>144.97</v>
      </c>
      <c r="AO6" s="1">
        <v>146.26</v>
      </c>
      <c r="AP6" s="1">
        <v>147.12</v>
      </c>
      <c r="AQ6" s="1">
        <v>148</v>
      </c>
      <c r="AR6" s="1">
        <v>149</v>
      </c>
      <c r="AS6" s="1">
        <v>152</v>
      </c>
      <c r="AT6" s="1">
        <v>-0.005</v>
      </c>
      <c r="AU6" s="1">
        <v>0.045</v>
      </c>
      <c r="AV6" s="1">
        <v>0.055</v>
      </c>
      <c r="AW6" s="1">
        <v>0.065</v>
      </c>
      <c r="AX6" s="1">
        <v>0.055</v>
      </c>
      <c r="AY6" s="1">
        <v>0.03</v>
      </c>
      <c r="AZ6" s="63">
        <f>Earnings!E7</f>
        <v>1.91</v>
      </c>
      <c r="BA6" s="63">
        <f>Earnings!I7</f>
        <v>0.04</v>
      </c>
    </row>
    <row r="7" spans="1:53" s="54" customFormat="1" ht="12.75">
      <c r="A7" s="61" t="s">
        <v>53</v>
      </c>
      <c r="B7" s="58">
        <f>'$perShare'!F102</f>
        <v>48.94766666666668</v>
      </c>
      <c r="C7" s="1">
        <v>0.75</v>
      </c>
      <c r="D7" s="3" t="s">
        <v>129</v>
      </c>
      <c r="E7" s="1">
        <v>0.413</v>
      </c>
      <c r="F7" s="1">
        <v>2.69</v>
      </c>
      <c r="G7" s="1">
        <v>2.84</v>
      </c>
      <c r="H7" s="1">
        <v>2.54</v>
      </c>
      <c r="I7" s="1">
        <v>1.47</v>
      </c>
      <c r="J7" s="1">
        <v>2.77</v>
      </c>
      <c r="K7" s="1">
        <v>2.85</v>
      </c>
      <c r="L7" s="63">
        <v>3.45</v>
      </c>
      <c r="M7" s="1">
        <v>4</v>
      </c>
      <c r="N7" s="1">
        <v>1.5</v>
      </c>
      <c r="O7" s="1">
        <v>1.5</v>
      </c>
      <c r="P7" s="1">
        <v>1.5</v>
      </c>
      <c r="Q7" s="1">
        <v>1.5</v>
      </c>
      <c r="R7" s="1">
        <v>1.91</v>
      </c>
      <c r="S7" s="1">
        <v>1.24</v>
      </c>
      <c r="T7" s="1">
        <v>1.72</v>
      </c>
      <c r="U7" s="1">
        <v>2</v>
      </c>
      <c r="V7" s="1">
        <v>0.129</v>
      </c>
      <c r="W7" s="1">
        <v>0.089</v>
      </c>
      <c r="X7" s="1">
        <v>0.105</v>
      </c>
      <c r="Y7" s="1">
        <v>0.054</v>
      </c>
      <c r="Z7" s="1">
        <v>0.106</v>
      </c>
      <c r="AA7" s="1">
        <v>0.105</v>
      </c>
      <c r="AB7" s="1">
        <v>0.115</v>
      </c>
      <c r="AC7" s="1">
        <v>0.115</v>
      </c>
      <c r="AD7" s="1">
        <v>20.72</v>
      </c>
      <c r="AE7" s="1">
        <v>24.86</v>
      </c>
      <c r="AF7" s="1">
        <v>23.92</v>
      </c>
      <c r="AG7" s="1">
        <v>25.13</v>
      </c>
      <c r="AH7" s="1">
        <v>26.04</v>
      </c>
      <c r="AI7" s="1">
        <v>27.65</v>
      </c>
      <c r="AJ7" s="1">
        <v>29.35</v>
      </c>
      <c r="AK7" s="1">
        <v>35</v>
      </c>
      <c r="AL7" s="1">
        <v>224.53</v>
      </c>
      <c r="AM7" s="1">
        <v>297.64</v>
      </c>
      <c r="AN7" s="1">
        <v>297.64</v>
      </c>
      <c r="AO7" s="1">
        <v>329.84</v>
      </c>
      <c r="AP7" s="1">
        <v>329.84</v>
      </c>
      <c r="AQ7" s="1">
        <v>329.84</v>
      </c>
      <c r="AR7" s="1">
        <v>329.84</v>
      </c>
      <c r="AS7" s="1">
        <v>329.84</v>
      </c>
      <c r="AT7" s="1">
        <v>0.01</v>
      </c>
      <c r="AU7" s="1">
        <v>0.1</v>
      </c>
      <c r="AV7" s="1">
        <v>0.02</v>
      </c>
      <c r="AW7" s="1">
        <v>0.035</v>
      </c>
      <c r="AX7" s="1">
        <v>0.06</v>
      </c>
      <c r="AY7" s="1">
        <v>0.055</v>
      </c>
      <c r="AZ7" s="63">
        <f>Earnings!E8</f>
        <v>3.32</v>
      </c>
      <c r="BA7" s="63">
        <f>Earnings!I8</f>
        <v>0.04</v>
      </c>
    </row>
    <row r="8" spans="1:53" s="54" customFormat="1" ht="12.75">
      <c r="A8" s="61" t="s">
        <v>187</v>
      </c>
      <c r="B8" s="62">
        <f>'$perShare'!F137</f>
        <v>29.538999999999998</v>
      </c>
      <c r="C8" s="63">
        <v>0.6</v>
      </c>
      <c r="D8" s="60" t="s">
        <v>129</v>
      </c>
      <c r="E8" s="63">
        <v>0.25</v>
      </c>
      <c r="F8" s="63">
        <v>-0.06</v>
      </c>
      <c r="G8" s="63">
        <v>1.88</v>
      </c>
      <c r="H8" s="63">
        <v>1.96</v>
      </c>
      <c r="I8" s="63">
        <v>2.01</v>
      </c>
      <c r="J8" s="63">
        <v>2.1</v>
      </c>
      <c r="K8" s="63">
        <v>2.15</v>
      </c>
      <c r="L8" s="63">
        <v>2.25</v>
      </c>
      <c r="M8" s="63">
        <v>2.45</v>
      </c>
      <c r="N8" s="63">
        <v>0.55</v>
      </c>
      <c r="O8" s="63">
        <v>0.55</v>
      </c>
      <c r="P8" s="63">
        <v>0.6</v>
      </c>
      <c r="Q8" s="63">
        <v>0.76</v>
      </c>
      <c r="R8" s="63">
        <v>0.88</v>
      </c>
      <c r="S8" s="63">
        <v>1</v>
      </c>
      <c r="T8" s="63">
        <v>1.08</v>
      </c>
      <c r="U8" s="63">
        <v>1.32</v>
      </c>
      <c r="V8" s="63" t="s">
        <v>179</v>
      </c>
      <c r="W8" s="63">
        <v>0.107</v>
      </c>
      <c r="X8" s="63">
        <v>0.123</v>
      </c>
      <c r="Y8" s="63">
        <v>0.103</v>
      </c>
      <c r="Z8" s="63">
        <v>0.101</v>
      </c>
      <c r="AA8" s="63">
        <v>0.1</v>
      </c>
      <c r="AB8" s="63">
        <v>0.1</v>
      </c>
      <c r="AC8" s="63">
        <v>0.1</v>
      </c>
      <c r="AD8" s="63">
        <v>16.53</v>
      </c>
      <c r="AE8" s="63">
        <v>17.81</v>
      </c>
      <c r="AF8" s="63">
        <v>18.51</v>
      </c>
      <c r="AG8" s="63">
        <v>19.85</v>
      </c>
      <c r="AH8" s="63">
        <v>21.32</v>
      </c>
      <c r="AI8" s="63">
        <v>21.6</v>
      </c>
      <c r="AJ8" s="63">
        <v>22.2</v>
      </c>
      <c r="AK8" s="63">
        <v>23.9</v>
      </c>
      <c r="AL8" s="63">
        <v>5.57</v>
      </c>
      <c r="AM8" s="63">
        <v>5.69</v>
      </c>
      <c r="AN8" s="63">
        <v>4.95</v>
      </c>
      <c r="AO8" s="63">
        <v>5.03</v>
      </c>
      <c r="AP8" s="63">
        <v>5.14</v>
      </c>
      <c r="AQ8" s="63">
        <v>5.25</v>
      </c>
      <c r="AR8" s="63">
        <v>5.3</v>
      </c>
      <c r="AS8" s="63">
        <v>5.45</v>
      </c>
      <c r="AT8" s="63">
        <v>0.375</v>
      </c>
      <c r="AU8" s="63">
        <v>0.035</v>
      </c>
      <c r="AV8" s="63">
        <v>-0.065</v>
      </c>
      <c r="AW8" s="63">
        <v>0.1</v>
      </c>
      <c r="AX8" s="63">
        <v>-0.005</v>
      </c>
      <c r="AY8" s="63">
        <v>0.03</v>
      </c>
      <c r="AZ8" s="63">
        <f>L8</f>
        <v>2.25</v>
      </c>
      <c r="BA8" s="63" t="str">
        <f>Earnings!I9</f>
        <v>n/a</v>
      </c>
    </row>
    <row r="9" spans="1:53" s="54" customFormat="1" ht="12.75">
      <c r="A9" s="61" t="s">
        <v>174</v>
      </c>
      <c r="B9" s="62">
        <f>'$perShare'!F172</f>
        <v>21.192333333333334</v>
      </c>
      <c r="C9" s="63">
        <v>0.8</v>
      </c>
      <c r="D9" s="60" t="s">
        <v>129</v>
      </c>
      <c r="E9" s="63">
        <v>0.175</v>
      </c>
      <c r="F9" s="63">
        <v>-0.2</v>
      </c>
      <c r="G9" s="63">
        <v>1.37</v>
      </c>
      <c r="H9" s="63">
        <v>1.08</v>
      </c>
      <c r="I9" s="63">
        <v>1.24</v>
      </c>
      <c r="J9" s="63">
        <v>0.91</v>
      </c>
      <c r="K9" s="63">
        <v>1.15</v>
      </c>
      <c r="L9" s="54">
        <v>1.35</v>
      </c>
      <c r="M9" s="63">
        <v>2</v>
      </c>
      <c r="N9" s="63">
        <v>0.4</v>
      </c>
      <c r="O9" s="63">
        <v>0.45</v>
      </c>
      <c r="P9" s="63">
        <v>0.53</v>
      </c>
      <c r="Q9" s="63">
        <v>0.58</v>
      </c>
      <c r="R9" s="63">
        <v>0.63</v>
      </c>
      <c r="S9" s="63">
        <v>0.68</v>
      </c>
      <c r="T9" s="63">
        <v>0.72</v>
      </c>
      <c r="U9" s="63">
        <v>0.97</v>
      </c>
      <c r="V9" s="63" t="s">
        <v>179</v>
      </c>
      <c r="W9" s="63">
        <v>0.085</v>
      </c>
      <c r="X9" s="63">
        <v>0.063</v>
      </c>
      <c r="Y9" s="63">
        <v>0.069</v>
      </c>
      <c r="Z9" s="63">
        <v>0.051</v>
      </c>
      <c r="AA9" s="63">
        <v>0.07</v>
      </c>
      <c r="AB9" s="63">
        <v>0.075</v>
      </c>
      <c r="AC9" s="63">
        <v>0.1</v>
      </c>
      <c r="AD9" s="63">
        <v>15.43</v>
      </c>
      <c r="AE9" s="63">
        <v>16.27</v>
      </c>
      <c r="AF9" s="63">
        <v>17.33</v>
      </c>
      <c r="AG9" s="63">
        <v>17.73</v>
      </c>
      <c r="AH9" s="63">
        <v>17.8</v>
      </c>
      <c r="AI9" s="63">
        <v>16.9</v>
      </c>
      <c r="AJ9" s="63">
        <v>17.65</v>
      </c>
      <c r="AK9" s="63">
        <v>20.45</v>
      </c>
      <c r="AL9" s="63">
        <v>143.82</v>
      </c>
      <c r="AM9" s="63">
        <v>130.13</v>
      </c>
      <c r="AN9" s="63">
        <v>127.56</v>
      </c>
      <c r="AO9" s="63">
        <v>127.7</v>
      </c>
      <c r="AP9" s="63">
        <v>129.03</v>
      </c>
      <c r="AQ9" s="63">
        <v>130</v>
      </c>
      <c r="AR9" s="63">
        <v>134</v>
      </c>
      <c r="AS9" s="63">
        <v>135</v>
      </c>
      <c r="AT9" s="63">
        <v>0</v>
      </c>
      <c r="AU9" s="63">
        <v>0.11</v>
      </c>
      <c r="AV9" s="63">
        <v>0.375</v>
      </c>
      <c r="AW9" s="63">
        <v>0.09</v>
      </c>
      <c r="AX9" s="63">
        <v>0.02</v>
      </c>
      <c r="AY9" s="63">
        <v>0.025</v>
      </c>
      <c r="AZ9" s="63">
        <f>Earnings!E10</f>
        <v>1.33</v>
      </c>
      <c r="BA9" s="63">
        <f>Earnings!I10</f>
        <v>0.05</v>
      </c>
    </row>
    <row r="10" spans="1:53" s="54" customFormat="1" ht="12.75">
      <c r="A10" s="61" t="s">
        <v>175</v>
      </c>
      <c r="B10" s="62">
        <f>'$perShare'!F207</f>
        <v>44.73633333333334</v>
      </c>
      <c r="C10" s="63">
        <v>0.85</v>
      </c>
      <c r="D10" s="60" t="s">
        <v>129</v>
      </c>
      <c r="E10" s="63">
        <v>0.48</v>
      </c>
      <c r="F10" s="63">
        <v>2.5</v>
      </c>
      <c r="G10" s="63">
        <v>2.75</v>
      </c>
      <c r="H10" s="63">
        <v>2.22</v>
      </c>
      <c r="I10" s="63">
        <v>2.43</v>
      </c>
      <c r="J10" s="63">
        <v>2.18</v>
      </c>
      <c r="K10" s="63">
        <v>2.7</v>
      </c>
      <c r="L10" s="63">
        <v>3.05</v>
      </c>
      <c r="M10" s="63">
        <v>3.15</v>
      </c>
      <c r="N10" s="63">
        <v>1.8</v>
      </c>
      <c r="O10" s="63">
        <v>1.8</v>
      </c>
      <c r="P10" s="63">
        <v>1.8</v>
      </c>
      <c r="Q10" s="63">
        <v>1.84</v>
      </c>
      <c r="R10" s="63">
        <v>1.88</v>
      </c>
      <c r="S10" s="63">
        <v>1.92</v>
      </c>
      <c r="T10" s="63">
        <v>1.96</v>
      </c>
      <c r="U10" s="63">
        <v>2.08</v>
      </c>
      <c r="V10" s="63">
        <v>0.145</v>
      </c>
      <c r="W10" s="63">
        <v>0.15</v>
      </c>
      <c r="X10" s="63">
        <v>0.109</v>
      </c>
      <c r="Y10" s="63">
        <v>0.117</v>
      </c>
      <c r="Z10" s="63">
        <v>0.097</v>
      </c>
      <c r="AA10" s="63">
        <v>0.11</v>
      </c>
      <c r="AB10" s="63">
        <v>0.12</v>
      </c>
      <c r="AC10" s="63">
        <v>0.11</v>
      </c>
      <c r="AD10" s="63">
        <v>17.36</v>
      </c>
      <c r="AE10" s="63">
        <v>18.45</v>
      </c>
      <c r="AF10" s="63">
        <v>19.53</v>
      </c>
      <c r="AG10" s="63">
        <v>20.74</v>
      </c>
      <c r="AH10" s="63">
        <v>21.95</v>
      </c>
      <c r="AI10" s="63">
        <v>23.85</v>
      </c>
      <c r="AJ10" s="63">
        <v>25.05</v>
      </c>
      <c r="AK10" s="63">
        <v>28.6</v>
      </c>
      <c r="AL10" s="63">
        <v>158.97</v>
      </c>
      <c r="AM10" s="63">
        <v>159.4</v>
      </c>
      <c r="AN10" s="63">
        <v>168.66</v>
      </c>
      <c r="AO10" s="63">
        <v>178.44</v>
      </c>
      <c r="AP10" s="63">
        <v>187.53</v>
      </c>
      <c r="AQ10" s="63">
        <v>200</v>
      </c>
      <c r="AR10" s="63">
        <v>202.7</v>
      </c>
      <c r="AS10" s="63">
        <v>209.8</v>
      </c>
      <c r="AT10" s="63">
        <v>0.015</v>
      </c>
      <c r="AU10" s="63">
        <v>0.055</v>
      </c>
      <c r="AV10" s="63">
        <v>0.005</v>
      </c>
      <c r="AW10" s="63">
        <v>0.02</v>
      </c>
      <c r="AX10" s="63">
        <v>0.05</v>
      </c>
      <c r="AY10" s="63">
        <v>0.055</v>
      </c>
      <c r="AZ10" s="63">
        <f>Earnings!E11</f>
        <v>3.1</v>
      </c>
      <c r="BA10" s="63">
        <f>Earnings!I11</f>
        <v>0.05</v>
      </c>
    </row>
    <row r="11" spans="1:53" ht="12.75">
      <c r="A11" s="46" t="s">
        <v>118</v>
      </c>
      <c r="B11" s="58">
        <f>'$perShare'!F242</f>
        <v>22.00833333333333</v>
      </c>
      <c r="C11" s="1">
        <v>1.15</v>
      </c>
      <c r="D11" s="3" t="s">
        <v>129</v>
      </c>
      <c r="E11" s="1">
        <v>0.225</v>
      </c>
      <c r="F11" s="1">
        <v>1.46</v>
      </c>
      <c r="G11" s="1">
        <v>1.51</v>
      </c>
      <c r="H11" s="1">
        <v>1.52</v>
      </c>
      <c r="I11" s="1">
        <v>1.26</v>
      </c>
      <c r="J11" s="1">
        <v>1.32</v>
      </c>
      <c r="K11" s="1">
        <v>1.3</v>
      </c>
      <c r="L11" s="1">
        <v>1.4</v>
      </c>
      <c r="M11" s="1">
        <v>1.5</v>
      </c>
      <c r="N11" s="1">
        <v>0.85</v>
      </c>
      <c r="O11" s="1">
        <v>0.87</v>
      </c>
      <c r="P11" s="1">
        <v>0.9</v>
      </c>
      <c r="Q11" s="1">
        <v>0.9</v>
      </c>
      <c r="R11" s="1">
        <v>0.9</v>
      </c>
      <c r="S11" s="1">
        <v>0.9</v>
      </c>
      <c r="T11" s="1">
        <v>0.9</v>
      </c>
      <c r="U11" s="1">
        <v>0.9</v>
      </c>
      <c r="V11" s="1">
        <v>0.149</v>
      </c>
      <c r="W11" s="1">
        <v>0.146</v>
      </c>
      <c r="X11" s="1">
        <v>0.131</v>
      </c>
      <c r="Y11" s="1">
        <v>0.125</v>
      </c>
      <c r="Z11" s="1">
        <v>0.119</v>
      </c>
      <c r="AA11" s="1">
        <v>0.115</v>
      </c>
      <c r="AB11" s="1">
        <v>0.12</v>
      </c>
      <c r="AC11" s="1">
        <v>0.11</v>
      </c>
      <c r="AD11" s="1">
        <v>10.04</v>
      </c>
      <c r="AE11" s="1">
        <v>10.69</v>
      </c>
      <c r="AF11" s="1">
        <v>11.77</v>
      </c>
      <c r="AG11" s="1">
        <v>10.09</v>
      </c>
      <c r="AH11" s="1">
        <v>10.83</v>
      </c>
      <c r="AI11" s="1">
        <v>11.2</v>
      </c>
      <c r="AJ11" s="1">
        <v>11.65</v>
      </c>
      <c r="AK11" s="1">
        <v>13.5</v>
      </c>
      <c r="AL11" s="1">
        <v>44.99</v>
      </c>
      <c r="AM11" s="1">
        <v>44.96</v>
      </c>
      <c r="AN11" s="1">
        <v>47.04</v>
      </c>
      <c r="AO11" s="1">
        <v>47.18</v>
      </c>
      <c r="AP11" s="1">
        <v>49.62</v>
      </c>
      <c r="AQ11" s="1">
        <v>50</v>
      </c>
      <c r="AR11" s="1">
        <v>50.25</v>
      </c>
      <c r="AS11" s="1">
        <v>51</v>
      </c>
      <c r="AT11" s="1">
        <v>0.04</v>
      </c>
      <c r="AU11" s="1">
        <v>0.015</v>
      </c>
      <c r="AV11" s="1">
        <v>0.02</v>
      </c>
      <c r="AW11" s="1">
        <v>0</v>
      </c>
      <c r="AX11" s="1">
        <v>0.04</v>
      </c>
      <c r="AY11" s="1">
        <v>0.035</v>
      </c>
      <c r="AZ11" s="63">
        <f>Earnings!E12</f>
        <v>1.4</v>
      </c>
      <c r="BA11" s="63">
        <f>Earnings!I12</f>
        <v>0.04</v>
      </c>
    </row>
    <row r="12" spans="1:53" ht="12.75">
      <c r="A12" s="46" t="s">
        <v>119</v>
      </c>
      <c r="B12" s="58">
        <f>'$perShare'!F277</f>
        <v>24.064000000000004</v>
      </c>
      <c r="C12" s="1">
        <v>0.7</v>
      </c>
      <c r="D12" s="3" t="s">
        <v>129</v>
      </c>
      <c r="E12" s="1">
        <v>0.32</v>
      </c>
      <c r="F12" s="1">
        <v>1.35</v>
      </c>
      <c r="G12" s="1">
        <v>0.59</v>
      </c>
      <c r="H12" s="1">
        <v>1.19</v>
      </c>
      <c r="I12" s="1">
        <v>1.29</v>
      </c>
      <c r="J12" s="1">
        <v>0.86</v>
      </c>
      <c r="K12" s="1">
        <v>1.25</v>
      </c>
      <c r="L12" s="1">
        <v>1.5</v>
      </c>
      <c r="M12" s="1">
        <v>1.75</v>
      </c>
      <c r="N12" s="1">
        <v>1.28</v>
      </c>
      <c r="O12" s="1">
        <v>1.28</v>
      </c>
      <c r="P12" s="1">
        <v>1.28</v>
      </c>
      <c r="Q12" s="1">
        <v>1.28</v>
      </c>
      <c r="R12" s="1">
        <v>1.28</v>
      </c>
      <c r="S12" s="1">
        <v>1.28</v>
      </c>
      <c r="T12" s="1">
        <v>1.28</v>
      </c>
      <c r="U12" s="1">
        <v>1.28</v>
      </c>
      <c r="V12" s="1">
        <v>0.098</v>
      </c>
      <c r="W12" s="1">
        <v>0.039</v>
      </c>
      <c r="X12" s="1">
        <v>0.078</v>
      </c>
      <c r="Y12" s="1">
        <v>0.078</v>
      </c>
      <c r="Z12" s="1">
        <v>0.058</v>
      </c>
      <c r="AA12" s="1">
        <v>0.085</v>
      </c>
      <c r="AB12" s="1">
        <v>0.1</v>
      </c>
      <c r="AC12" s="1">
        <v>0.105</v>
      </c>
      <c r="AD12" s="1">
        <v>13.65</v>
      </c>
      <c r="AE12" s="1">
        <v>13.58</v>
      </c>
      <c r="AF12" s="1">
        <v>14.59</v>
      </c>
      <c r="AG12" s="1">
        <v>15.17</v>
      </c>
      <c r="AH12" s="1">
        <v>14.76</v>
      </c>
      <c r="AI12" s="1">
        <v>14.8</v>
      </c>
      <c r="AJ12" s="1">
        <v>15.1</v>
      </c>
      <c r="AK12" s="1">
        <v>16.5</v>
      </c>
      <c r="AL12" s="1">
        <v>17.6</v>
      </c>
      <c r="AM12" s="1">
        <v>19.76</v>
      </c>
      <c r="AN12" s="1">
        <v>22.57</v>
      </c>
      <c r="AO12" s="1">
        <v>24.98</v>
      </c>
      <c r="AP12" s="1">
        <v>25.7</v>
      </c>
      <c r="AQ12" s="1">
        <v>26</v>
      </c>
      <c r="AR12" s="1">
        <v>26.3</v>
      </c>
      <c r="AS12" s="1">
        <v>27.2</v>
      </c>
      <c r="AT12" s="1">
        <v>-0.035</v>
      </c>
      <c r="AU12" s="1">
        <v>0.08</v>
      </c>
      <c r="AV12" s="1">
        <v>0</v>
      </c>
      <c r="AW12" s="1">
        <v>0</v>
      </c>
      <c r="AX12" s="1">
        <v>0.02</v>
      </c>
      <c r="AY12" s="1">
        <v>0.02</v>
      </c>
      <c r="AZ12" s="63">
        <f>Earnings!E13</f>
        <v>1.51</v>
      </c>
      <c r="BA12" s="63">
        <f>Earnings!I13</f>
        <v>0.02</v>
      </c>
    </row>
    <row r="13" spans="1:53" ht="12.75">
      <c r="A13" s="46" t="s">
        <v>120</v>
      </c>
      <c r="B13" s="58">
        <f>'$perShare'!F312</f>
        <v>76.3643333333333</v>
      </c>
      <c r="C13" s="1">
        <v>0.75</v>
      </c>
      <c r="D13" s="3" t="s">
        <v>129</v>
      </c>
      <c r="E13" s="1">
        <v>0.54</v>
      </c>
      <c r="F13" s="1">
        <v>2.97</v>
      </c>
      <c r="G13" s="1">
        <v>3.08</v>
      </c>
      <c r="H13" s="1">
        <v>3.68</v>
      </c>
      <c r="I13" s="1">
        <v>3.69</v>
      </c>
      <c r="J13" s="1">
        <v>3.93</v>
      </c>
      <c r="K13" s="1">
        <v>4.6</v>
      </c>
      <c r="L13" s="1">
        <v>4.9</v>
      </c>
      <c r="M13" s="1">
        <v>5.5</v>
      </c>
      <c r="N13" s="1">
        <v>1.22</v>
      </c>
      <c r="O13" s="1">
        <v>1.28</v>
      </c>
      <c r="P13" s="1">
        <v>1.34</v>
      </c>
      <c r="Q13" s="1">
        <v>1.6</v>
      </c>
      <c r="R13" s="1">
        <v>1.89</v>
      </c>
      <c r="S13" s="1">
        <v>2.21</v>
      </c>
      <c r="T13" s="1">
        <v>2.41</v>
      </c>
      <c r="U13" s="1">
        <v>3.01</v>
      </c>
      <c r="V13" s="1">
        <v>0.097</v>
      </c>
      <c r="W13" s="1">
        <v>0.093</v>
      </c>
      <c r="X13" s="1">
        <v>0.109</v>
      </c>
      <c r="Y13" s="1">
        <v>0.098</v>
      </c>
      <c r="Z13" s="1">
        <v>0.11</v>
      </c>
      <c r="AA13" s="1">
        <v>0.115</v>
      </c>
      <c r="AB13" s="1">
        <v>0.12</v>
      </c>
      <c r="AC13" s="1">
        <v>0.11</v>
      </c>
      <c r="AD13" s="1">
        <v>31.89</v>
      </c>
      <c r="AE13" s="1">
        <v>33.78</v>
      </c>
      <c r="AF13" s="1">
        <v>35.24</v>
      </c>
      <c r="AG13" s="1">
        <v>38.02</v>
      </c>
      <c r="AH13" s="1">
        <v>38.26</v>
      </c>
      <c r="AI13" s="1">
        <v>39.9</v>
      </c>
      <c r="AJ13" s="1">
        <v>41.65</v>
      </c>
      <c r="AK13" s="1">
        <v>49.15</v>
      </c>
      <c r="AL13" s="1">
        <v>219.6</v>
      </c>
      <c r="AM13" s="1">
        <v>220.73</v>
      </c>
      <c r="AN13" s="1">
        <v>222.42</v>
      </c>
      <c r="AO13" s="1">
        <v>228.9</v>
      </c>
      <c r="AP13" s="1">
        <v>216.83</v>
      </c>
      <c r="AQ13" s="1">
        <v>212</v>
      </c>
      <c r="AR13" s="1">
        <v>207</v>
      </c>
      <c r="AS13" s="1">
        <v>207</v>
      </c>
      <c r="AT13" s="1">
        <v>0.11</v>
      </c>
      <c r="AU13" s="1">
        <v>0.065</v>
      </c>
      <c r="AV13" s="1">
        <v>0.015</v>
      </c>
      <c r="AW13" s="1">
        <v>0.11</v>
      </c>
      <c r="AX13" s="1">
        <v>0.055</v>
      </c>
      <c r="AY13" s="1">
        <v>0.05</v>
      </c>
      <c r="AZ13" s="63">
        <f>Earnings!E14</f>
        <v>5.05</v>
      </c>
      <c r="BA13" s="63">
        <f>Earnings!I14</f>
        <v>0.07</v>
      </c>
    </row>
    <row r="14" spans="1:53" ht="12.75">
      <c r="A14" s="46" t="s">
        <v>188</v>
      </c>
      <c r="B14" s="58">
        <f>'$perShare'!F347</f>
        <v>18.598666666666663</v>
      </c>
      <c r="C14" s="1">
        <v>0.95</v>
      </c>
      <c r="D14" s="3" t="s">
        <v>129</v>
      </c>
      <c r="E14" s="1">
        <v>0.135</v>
      </c>
      <c r="F14" s="1">
        <v>1.76</v>
      </c>
      <c r="G14" s="1">
        <v>1.2</v>
      </c>
      <c r="H14" s="1">
        <v>0.67</v>
      </c>
      <c r="I14" s="1">
        <v>1.02</v>
      </c>
      <c r="J14" s="1">
        <v>0.73</v>
      </c>
      <c r="K14" s="1">
        <v>1</v>
      </c>
      <c r="L14" s="1">
        <v>1.35</v>
      </c>
      <c r="M14" s="1">
        <v>1.5</v>
      </c>
      <c r="N14" s="1">
        <v>0.48</v>
      </c>
      <c r="O14" s="1">
        <v>0.48</v>
      </c>
      <c r="P14" s="1">
        <v>0.48</v>
      </c>
      <c r="Q14" s="1">
        <v>0.49</v>
      </c>
      <c r="R14" s="1">
        <v>0.52</v>
      </c>
      <c r="S14" s="1">
        <v>0.55</v>
      </c>
      <c r="T14" s="1">
        <v>0.57</v>
      </c>
      <c r="U14" s="1">
        <v>0.7</v>
      </c>
      <c r="V14" s="1">
        <v>0.111</v>
      </c>
      <c r="W14" s="1">
        <v>0.079</v>
      </c>
      <c r="X14" s="1">
        <v>0.045</v>
      </c>
      <c r="Y14" s="1">
        <v>0.066</v>
      </c>
      <c r="Z14" s="1">
        <v>0.047</v>
      </c>
      <c r="AA14" s="1">
        <v>0.06</v>
      </c>
      <c r="AB14" s="1">
        <v>0.08</v>
      </c>
      <c r="AC14" s="1">
        <v>0.08</v>
      </c>
      <c r="AD14" s="1">
        <v>15.34</v>
      </c>
      <c r="AE14" s="1">
        <v>15.12</v>
      </c>
      <c r="AF14" s="1">
        <v>14.84</v>
      </c>
      <c r="AG14" s="1">
        <v>15.54</v>
      </c>
      <c r="AH14" s="1">
        <v>15.54</v>
      </c>
      <c r="AI14" s="1">
        <v>16.3</v>
      </c>
      <c r="AJ14" s="1">
        <v>16.8</v>
      </c>
      <c r="AK14" s="1">
        <v>19.25</v>
      </c>
      <c r="AL14" s="1">
        <v>47.21</v>
      </c>
      <c r="AM14" s="1">
        <v>47.63</v>
      </c>
      <c r="AN14" s="1">
        <v>48.04</v>
      </c>
      <c r="AO14" s="1">
        <v>48.34</v>
      </c>
      <c r="AP14" s="1">
        <v>48.47</v>
      </c>
      <c r="AQ14" s="1">
        <v>48.75</v>
      </c>
      <c r="AR14" s="1">
        <v>49</v>
      </c>
      <c r="AS14" s="1">
        <v>49.75</v>
      </c>
      <c r="AT14" s="1">
        <v>-0.065</v>
      </c>
      <c r="AU14" s="1">
        <v>0.11</v>
      </c>
      <c r="AV14" s="1">
        <v>-0.115</v>
      </c>
      <c r="AW14" s="1">
        <v>0.06</v>
      </c>
      <c r="AX14" s="1">
        <v>0.05</v>
      </c>
      <c r="AY14" s="1">
        <v>0.04</v>
      </c>
      <c r="AZ14" s="63">
        <f>Earnings!E15</f>
        <v>1.45</v>
      </c>
      <c r="BA14" s="63">
        <f>Earnings!I15</f>
        <v>0.045</v>
      </c>
    </row>
    <row r="15" spans="1:53" ht="12.75">
      <c r="A15" s="46" t="s">
        <v>121</v>
      </c>
      <c r="B15" s="58">
        <f>'$perShare'!F382</f>
        <v>27.147666666666666</v>
      </c>
      <c r="C15" s="1">
        <v>0.65</v>
      </c>
      <c r="D15" s="3" t="s">
        <v>129</v>
      </c>
      <c r="E15" s="1">
        <v>0.31</v>
      </c>
      <c r="F15" s="1">
        <v>1.27</v>
      </c>
      <c r="G15" s="1">
        <v>1.6</v>
      </c>
      <c r="H15" s="1">
        <v>1.62</v>
      </c>
      <c r="I15" s="1">
        <v>1.58</v>
      </c>
      <c r="J15" s="1">
        <v>1.36</v>
      </c>
      <c r="K15" s="1">
        <v>1.55</v>
      </c>
      <c r="L15" s="1">
        <v>1.65</v>
      </c>
      <c r="M15" s="1">
        <v>1.75</v>
      </c>
      <c r="N15" s="1">
        <v>1.24</v>
      </c>
      <c r="O15" s="1">
        <v>1.24</v>
      </c>
      <c r="P15" s="1">
        <v>1.24</v>
      </c>
      <c r="Q15" s="1">
        <v>1.24</v>
      </c>
      <c r="R15" s="1">
        <v>1.24</v>
      </c>
      <c r="S15" s="1">
        <v>1.24</v>
      </c>
      <c r="T15" s="1">
        <v>1.24</v>
      </c>
      <c r="U15" s="1">
        <v>1.24</v>
      </c>
      <c r="V15" s="1">
        <v>0.098</v>
      </c>
      <c r="W15" s="1">
        <v>0.118</v>
      </c>
      <c r="X15" s="1">
        <v>0.113</v>
      </c>
      <c r="Y15" s="1">
        <v>0.108</v>
      </c>
      <c r="Z15" s="1">
        <v>0.089</v>
      </c>
      <c r="AA15" s="1">
        <v>0.1</v>
      </c>
      <c r="AB15" s="1">
        <v>0.105</v>
      </c>
      <c r="AC15" s="1">
        <v>0.105</v>
      </c>
      <c r="AD15" s="1">
        <v>12.72</v>
      </c>
      <c r="AE15" s="1">
        <v>13.06</v>
      </c>
      <c r="AF15" s="1">
        <v>14.21</v>
      </c>
      <c r="AG15" s="1">
        <v>14.36</v>
      </c>
      <c r="AH15" s="1">
        <v>15.01</v>
      </c>
      <c r="AI15" s="1">
        <v>15.3</v>
      </c>
      <c r="AJ15" s="1">
        <v>15.75</v>
      </c>
      <c r="AK15" s="1">
        <v>17.25</v>
      </c>
      <c r="AL15" s="1">
        <v>65.98</v>
      </c>
      <c r="AM15" s="1">
        <v>71.2</v>
      </c>
      <c r="AN15" s="1">
        <v>73.62</v>
      </c>
      <c r="AO15" s="1">
        <v>75.84</v>
      </c>
      <c r="AP15" s="1">
        <v>80.69</v>
      </c>
      <c r="AQ15" s="1">
        <v>80.75</v>
      </c>
      <c r="AR15" s="1">
        <v>80.8</v>
      </c>
      <c r="AS15" s="1">
        <v>81</v>
      </c>
      <c r="AT15" s="1">
        <v>0.01</v>
      </c>
      <c r="AU15" s="1">
        <v>0.025</v>
      </c>
      <c r="AV15" s="1">
        <v>0</v>
      </c>
      <c r="AW15" s="1">
        <v>0</v>
      </c>
      <c r="AX15" s="1">
        <v>0.025</v>
      </c>
      <c r="AY15" s="1">
        <v>0.03</v>
      </c>
      <c r="AZ15" s="63">
        <f>Earnings!E16</f>
        <v>1.8</v>
      </c>
      <c r="BA15" s="63">
        <f>Earnings!I16</f>
        <v>0.03</v>
      </c>
    </row>
    <row r="16" spans="1:53" s="54" customFormat="1" ht="12.75">
      <c r="A16" s="61" t="s">
        <v>33</v>
      </c>
      <c r="B16" s="62">
        <f>'$perShare'!F417</f>
        <v>29.160999999999998</v>
      </c>
      <c r="C16" s="63">
        <v>0.85</v>
      </c>
      <c r="D16" s="60" t="s">
        <v>129</v>
      </c>
      <c r="E16" s="63">
        <v>0.185</v>
      </c>
      <c r="F16" s="63">
        <v>1.55</v>
      </c>
      <c r="G16" s="63">
        <v>2.61</v>
      </c>
      <c r="H16" s="63">
        <v>1.07</v>
      </c>
      <c r="I16" s="63">
        <v>1.15</v>
      </c>
      <c r="J16" s="63">
        <v>1.43</v>
      </c>
      <c r="K16" s="63">
        <v>1.5</v>
      </c>
      <c r="L16" s="63">
        <v>1.55</v>
      </c>
      <c r="M16" s="63">
        <v>1.6</v>
      </c>
      <c r="N16" s="63">
        <v>0.53</v>
      </c>
      <c r="O16" s="63">
        <v>0.53</v>
      </c>
      <c r="P16" s="63">
        <v>0.57</v>
      </c>
      <c r="Q16" s="63">
        <v>0.61</v>
      </c>
      <c r="R16" s="63">
        <v>0.63</v>
      </c>
      <c r="S16" s="63">
        <v>0.74</v>
      </c>
      <c r="T16" s="63">
        <v>0.78</v>
      </c>
      <c r="U16" s="63">
        <v>0.9</v>
      </c>
      <c r="V16" s="63">
        <v>0.1</v>
      </c>
      <c r="W16" s="63">
        <v>0.154</v>
      </c>
      <c r="X16" s="63">
        <v>0.065</v>
      </c>
      <c r="Y16" s="63">
        <v>0.063</v>
      </c>
      <c r="Z16" s="63">
        <v>0.08</v>
      </c>
      <c r="AA16" s="63">
        <v>0.08</v>
      </c>
      <c r="AB16" s="63">
        <v>0.085</v>
      </c>
      <c r="AC16" s="63">
        <v>0.075</v>
      </c>
      <c r="AD16" s="63">
        <v>14.74</v>
      </c>
      <c r="AE16" s="63">
        <v>17.25</v>
      </c>
      <c r="AF16" s="63">
        <v>16.6</v>
      </c>
      <c r="AG16" s="63">
        <v>17.84</v>
      </c>
      <c r="AH16" s="63">
        <v>18.19</v>
      </c>
      <c r="AI16" s="63">
        <v>17.85</v>
      </c>
      <c r="AJ16" s="63">
        <v>18.6</v>
      </c>
      <c r="AK16" s="63">
        <v>22</v>
      </c>
      <c r="AL16" s="63">
        <v>58.68</v>
      </c>
      <c r="AM16" s="63">
        <v>58.68</v>
      </c>
      <c r="AN16" s="63">
        <v>58.68</v>
      </c>
      <c r="AO16" s="63">
        <v>60.39</v>
      </c>
      <c r="AP16" s="63">
        <v>60.46</v>
      </c>
      <c r="AQ16" s="63">
        <v>64.4</v>
      </c>
      <c r="AR16" s="63">
        <v>64.4</v>
      </c>
      <c r="AS16" s="63">
        <v>72.4</v>
      </c>
      <c r="AT16" s="63">
        <v>-0.02</v>
      </c>
      <c r="AU16" s="63">
        <v>0.045</v>
      </c>
      <c r="AV16" s="63">
        <v>0.045</v>
      </c>
      <c r="AW16" s="63">
        <v>0.07</v>
      </c>
      <c r="AX16" s="63">
        <v>0.05</v>
      </c>
      <c r="AY16" s="63">
        <v>0.04</v>
      </c>
      <c r="AZ16" s="63">
        <f>Earnings!E17</f>
        <v>1.9</v>
      </c>
      <c r="BA16" s="63">
        <f>Earnings!I17</f>
        <v>0.06</v>
      </c>
    </row>
    <row r="17" spans="1:53" s="54" customFormat="1" ht="12.75">
      <c r="A17" s="61" t="s">
        <v>155</v>
      </c>
      <c r="B17" s="62">
        <f>'$perShare'!F452</f>
        <v>45.13466666666667</v>
      </c>
      <c r="C17" s="63">
        <v>0.85</v>
      </c>
      <c r="D17" s="60" t="s">
        <v>129</v>
      </c>
      <c r="E17" s="63">
        <v>0.475</v>
      </c>
      <c r="F17" s="63">
        <v>3.35</v>
      </c>
      <c r="G17" s="63">
        <v>3.68</v>
      </c>
      <c r="H17" s="63">
        <v>2.53</v>
      </c>
      <c r="I17" s="63">
        <v>2.52</v>
      </c>
      <c r="J17" s="63">
        <v>2.58</v>
      </c>
      <c r="K17" s="63">
        <v>3</v>
      </c>
      <c r="L17" s="63">
        <v>3.05</v>
      </c>
      <c r="M17" s="63">
        <v>3.15</v>
      </c>
      <c r="N17" s="63">
        <v>1.43</v>
      </c>
      <c r="O17" s="63">
        <v>1.53</v>
      </c>
      <c r="P17" s="63">
        <v>1.63</v>
      </c>
      <c r="Q17" s="63">
        <v>1.73</v>
      </c>
      <c r="R17" s="63">
        <v>1.83</v>
      </c>
      <c r="S17" s="63">
        <v>1.93</v>
      </c>
      <c r="T17" s="63">
        <v>2.03</v>
      </c>
      <c r="U17" s="63">
        <v>2.33</v>
      </c>
      <c r="V17" s="63">
        <v>0.119</v>
      </c>
      <c r="W17" s="63">
        <v>0.125</v>
      </c>
      <c r="X17" s="63">
        <v>0.08</v>
      </c>
      <c r="Y17" s="63">
        <v>0.081</v>
      </c>
      <c r="Z17" s="63">
        <v>0.08</v>
      </c>
      <c r="AA17" s="63">
        <v>0.085</v>
      </c>
      <c r="AB17" s="63">
        <v>0.085</v>
      </c>
      <c r="AC17" s="63">
        <v>0.085</v>
      </c>
      <c r="AD17" s="63">
        <v>28.09</v>
      </c>
      <c r="AE17" s="63">
        <v>29.46</v>
      </c>
      <c r="AF17" s="63">
        <v>29.44</v>
      </c>
      <c r="AG17" s="63">
        <v>31</v>
      </c>
      <c r="AH17" s="63">
        <v>32.14</v>
      </c>
      <c r="AI17" s="63">
        <v>33.85</v>
      </c>
      <c r="AJ17" s="63">
        <v>34.85</v>
      </c>
      <c r="AK17" s="63">
        <v>37.45</v>
      </c>
      <c r="AL17" s="63">
        <v>84.83</v>
      </c>
      <c r="AM17" s="63">
        <v>84.83</v>
      </c>
      <c r="AN17" s="63">
        <v>91.26</v>
      </c>
      <c r="AO17" s="63">
        <v>91.29</v>
      </c>
      <c r="AP17" s="63">
        <v>91.79</v>
      </c>
      <c r="AQ17" s="63">
        <v>97.8</v>
      </c>
      <c r="AR17" s="63">
        <v>97.8</v>
      </c>
      <c r="AS17" s="63">
        <v>97.8</v>
      </c>
      <c r="AT17" s="63">
        <v>-0.03</v>
      </c>
      <c r="AU17" s="63">
        <v>0.035</v>
      </c>
      <c r="AV17" s="63">
        <v>0.07</v>
      </c>
      <c r="AW17" s="63">
        <v>0.05</v>
      </c>
      <c r="AX17" s="63">
        <v>0.04</v>
      </c>
      <c r="AY17" s="63">
        <v>0.035</v>
      </c>
      <c r="AZ17" s="63">
        <f>Earnings!E18</f>
        <v>3.09</v>
      </c>
      <c r="BA17" s="63">
        <f>Earnings!I18</f>
        <v>0.045</v>
      </c>
    </row>
    <row r="18" spans="1:53" s="54" customFormat="1" ht="12.75">
      <c r="A18" s="61" t="s">
        <v>189</v>
      </c>
      <c r="B18" s="62">
        <f>'$perShare'!F487</f>
        <v>23.64</v>
      </c>
      <c r="C18" s="63">
        <v>0.75</v>
      </c>
      <c r="D18" s="60" t="s">
        <v>129</v>
      </c>
      <c r="E18" s="63">
        <v>0.25</v>
      </c>
      <c r="F18" s="63">
        <v>2.16</v>
      </c>
      <c r="G18" s="63">
        <v>1.22</v>
      </c>
      <c r="H18" s="63">
        <v>1.24</v>
      </c>
      <c r="I18" s="63">
        <v>1.22</v>
      </c>
      <c r="J18" s="63">
        <v>1.32</v>
      </c>
      <c r="K18" s="63">
        <v>1.4</v>
      </c>
      <c r="L18" s="63">
        <v>1.55</v>
      </c>
      <c r="M18" s="63">
        <v>1.75</v>
      </c>
      <c r="N18" s="63">
        <v>1.84</v>
      </c>
      <c r="O18" s="63">
        <v>1.84</v>
      </c>
      <c r="P18" s="63">
        <v>1.21</v>
      </c>
      <c r="Q18" s="63">
        <v>1</v>
      </c>
      <c r="R18" s="63">
        <v>1</v>
      </c>
      <c r="S18" s="63">
        <v>1</v>
      </c>
      <c r="T18" s="63">
        <v>1</v>
      </c>
      <c r="U18" s="63">
        <v>1.12</v>
      </c>
      <c r="V18" s="63">
        <v>0.13</v>
      </c>
      <c r="W18" s="63">
        <v>0.077</v>
      </c>
      <c r="X18" s="63">
        <v>0.072</v>
      </c>
      <c r="Y18" s="63">
        <v>0.07</v>
      </c>
      <c r="Z18" s="63">
        <v>0.081</v>
      </c>
      <c r="AA18" s="63">
        <v>0.085</v>
      </c>
      <c r="AB18" s="63">
        <v>0.085</v>
      </c>
      <c r="AC18" s="63">
        <v>0.095</v>
      </c>
      <c r="AD18" s="63">
        <v>16.61</v>
      </c>
      <c r="AE18" s="63">
        <v>15.66</v>
      </c>
      <c r="AF18" s="63">
        <v>16.27</v>
      </c>
      <c r="AG18" s="63">
        <v>16.71</v>
      </c>
      <c r="AH18" s="63">
        <v>16.24</v>
      </c>
      <c r="AI18" s="63">
        <v>16.7</v>
      </c>
      <c r="AJ18" s="63">
        <v>17.4</v>
      </c>
      <c r="AK18" s="63">
        <v>19.25</v>
      </c>
      <c r="AL18" s="63">
        <v>85.9</v>
      </c>
      <c r="AM18" s="63">
        <v>87.02</v>
      </c>
      <c r="AN18" s="63">
        <v>93.64</v>
      </c>
      <c r="AO18" s="63">
        <v>99.07</v>
      </c>
      <c r="AP18" s="63">
        <v>99.87</v>
      </c>
      <c r="AQ18" s="63">
        <v>100.5</v>
      </c>
      <c r="AR18" s="63">
        <v>105</v>
      </c>
      <c r="AS18" s="63">
        <v>106.5</v>
      </c>
      <c r="AT18" s="63">
        <v>-0.055</v>
      </c>
      <c r="AU18" s="63">
        <v>0.055</v>
      </c>
      <c r="AV18" s="63">
        <v>-0.105</v>
      </c>
      <c r="AW18" s="63">
        <v>0.01</v>
      </c>
      <c r="AX18" s="63">
        <v>0.005</v>
      </c>
      <c r="AY18" s="63">
        <v>0.025</v>
      </c>
      <c r="AZ18" s="63">
        <f>Earnings!E19</f>
        <v>1.5</v>
      </c>
      <c r="BA18" s="63">
        <f>Earnings!I19</f>
        <v>0.04</v>
      </c>
    </row>
    <row r="19" spans="1:53" s="54" customFormat="1" ht="12.75">
      <c r="A19" s="61" t="s">
        <v>190</v>
      </c>
      <c r="B19" s="62">
        <f>'$perShare'!F522</f>
        <v>31.449333333333335</v>
      </c>
      <c r="C19" s="63">
        <v>0.65</v>
      </c>
      <c r="D19" s="60" t="s">
        <v>129</v>
      </c>
      <c r="E19" s="63">
        <v>0.19</v>
      </c>
      <c r="F19" s="63">
        <v>1.27</v>
      </c>
      <c r="G19" s="63">
        <v>1.79</v>
      </c>
      <c r="H19" s="63">
        <v>0.97</v>
      </c>
      <c r="I19" s="63">
        <v>1.3</v>
      </c>
      <c r="J19" s="63">
        <v>1.31</v>
      </c>
      <c r="K19" s="63">
        <v>1.6</v>
      </c>
      <c r="L19" s="63">
        <v>1.7</v>
      </c>
      <c r="M19" s="63">
        <v>1.9</v>
      </c>
      <c r="N19" s="63">
        <v>0.32</v>
      </c>
      <c r="O19" s="63">
        <v>0.4</v>
      </c>
      <c r="P19" s="63">
        <v>0.5</v>
      </c>
      <c r="Q19" s="63">
        <v>0.6</v>
      </c>
      <c r="R19" s="63">
        <v>0.64</v>
      </c>
      <c r="S19" s="63">
        <v>0.76</v>
      </c>
      <c r="T19" s="63">
        <v>0.82</v>
      </c>
      <c r="U19" s="63">
        <v>1</v>
      </c>
      <c r="V19" s="63">
        <v>0.071</v>
      </c>
      <c r="W19" s="63">
        <v>0.143</v>
      </c>
      <c r="X19" s="63">
        <v>0.076</v>
      </c>
      <c r="Y19" s="63">
        <v>0.084</v>
      </c>
      <c r="Z19" s="63">
        <v>0.079</v>
      </c>
      <c r="AA19" s="63">
        <v>0.09</v>
      </c>
      <c r="AB19" s="63">
        <v>0.09</v>
      </c>
      <c r="AC19" s="63">
        <v>0.085</v>
      </c>
      <c r="AD19" s="63">
        <v>11.2</v>
      </c>
      <c r="AE19" s="63">
        <v>12.68</v>
      </c>
      <c r="AF19" s="63">
        <v>13.05</v>
      </c>
      <c r="AG19" s="63">
        <v>15.97</v>
      </c>
      <c r="AH19" s="63">
        <v>16.95</v>
      </c>
      <c r="AI19" s="63">
        <v>17.95</v>
      </c>
      <c r="AJ19" s="63">
        <v>18.9</v>
      </c>
      <c r="AK19" s="63">
        <v>21.85</v>
      </c>
      <c r="AL19" s="63">
        <v>33.22</v>
      </c>
      <c r="AM19" s="63">
        <v>33.5</v>
      </c>
      <c r="AN19" s="63">
        <v>33.58</v>
      </c>
      <c r="AO19" s="63">
        <v>33.79</v>
      </c>
      <c r="AP19" s="63">
        <v>34.26</v>
      </c>
      <c r="AQ19" s="63">
        <v>34.7</v>
      </c>
      <c r="AR19" s="63">
        <v>35.1</v>
      </c>
      <c r="AS19" s="63">
        <v>36.3</v>
      </c>
      <c r="AT19" s="63">
        <v>-0.04</v>
      </c>
      <c r="AU19" s="63">
        <v>0.08</v>
      </c>
      <c r="AV19" s="63">
        <v>0</v>
      </c>
      <c r="AW19" s="63">
        <v>0.095</v>
      </c>
      <c r="AX19" s="63">
        <v>0.135</v>
      </c>
      <c r="AY19" s="63">
        <v>0.06</v>
      </c>
      <c r="AZ19" s="63">
        <f>Earnings!E20</f>
        <v>1.9</v>
      </c>
      <c r="BA19" s="63">
        <f>Earnings!I20</f>
        <v>0.125</v>
      </c>
    </row>
    <row r="20" spans="1:53" ht="12.75">
      <c r="A20" s="3"/>
      <c r="B20" s="58"/>
      <c r="C20" s="1">
        <f>AVERAGE(C5:C19)</f>
        <v>0.7766666666666667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2.75">
      <c r="A21" s="3"/>
      <c r="B21" s="58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2.75">
      <c r="A22" s="20"/>
      <c r="B22" s="1"/>
      <c r="C22" t="s">
        <v>163</v>
      </c>
      <c r="D22" s="64" t="s">
        <v>78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2:53" ht="12.75">
      <c r="B23" s="1"/>
      <c r="C23" s="1"/>
      <c r="D23" s="1"/>
      <c r="E23" s="1"/>
      <c r="F23" s="1" t="s">
        <v>83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2"/>
      <c r="X23" s="2"/>
      <c r="Y23" s="2"/>
      <c r="Z23" s="2"/>
      <c r="AA23" s="2"/>
      <c r="AB23" s="2"/>
      <c r="AC23" s="2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2.75">
      <c r="A24" s="1" t="s">
        <v>204</v>
      </c>
      <c r="B24" s="1"/>
      <c r="C24" s="1">
        <v>6</v>
      </c>
      <c r="D24" s="1" t="s">
        <v>79</v>
      </c>
      <c r="E24" s="1">
        <v>1</v>
      </c>
      <c r="F24" s="1">
        <v>59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>
        <f aca="true" t="shared" si="4" ref="V24:AC24">AVERAGE(V5:V18)</f>
        <v>0.11525</v>
      </c>
      <c r="W24" s="1">
        <f t="shared" si="4"/>
        <v>0.10364285714285713</v>
      </c>
      <c r="X24" s="1">
        <f t="shared" si="4"/>
        <v>0.09042857142857143</v>
      </c>
      <c r="Y24" s="1">
        <f t="shared" si="4"/>
        <v>0.08528571428571428</v>
      </c>
      <c r="Z24" s="1">
        <f t="shared" si="4"/>
        <v>0.08407142857142857</v>
      </c>
      <c r="AA24" s="1">
        <f t="shared" si="4"/>
        <v>0.09269230769230768</v>
      </c>
      <c r="AB24" s="1">
        <f t="shared" si="4"/>
        <v>0.09714285714285713</v>
      </c>
      <c r="AC24" s="1">
        <f t="shared" si="4"/>
        <v>0.09857142857142856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2.75">
      <c r="A25" s="1" t="s">
        <v>180</v>
      </c>
      <c r="B25" s="1"/>
      <c r="C25" s="1">
        <v>3</v>
      </c>
      <c r="D25" s="1" t="s">
        <v>79</v>
      </c>
      <c r="E25" s="1">
        <v>1</v>
      </c>
      <c r="F25" s="1">
        <v>41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2"/>
      <c r="X25" s="2"/>
      <c r="Y25" s="2"/>
      <c r="Z25" s="2"/>
      <c r="AA25" s="2"/>
      <c r="AB25" s="2"/>
      <c r="AC25" s="2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2.75">
      <c r="A26" s="1" t="s">
        <v>34</v>
      </c>
      <c r="B26" s="1"/>
      <c r="C26" s="1">
        <v>6</v>
      </c>
      <c r="D26" s="1" t="s">
        <v>80</v>
      </c>
      <c r="E26" s="1">
        <v>1</v>
      </c>
      <c r="F26" s="1">
        <v>43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2"/>
      <c r="X26" s="2"/>
      <c r="Y26" s="2"/>
      <c r="Z26" s="2"/>
      <c r="AA26" s="2"/>
      <c r="AB26" s="2"/>
      <c r="AC26" s="2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2.75">
      <c r="A27" s="1" t="s">
        <v>181</v>
      </c>
      <c r="B27" s="1"/>
      <c r="C27" s="1">
        <v>5</v>
      </c>
      <c r="D27" s="1" t="s">
        <v>80</v>
      </c>
      <c r="E27" s="77">
        <v>0</v>
      </c>
      <c r="F27" s="1">
        <v>53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21"/>
      <c r="W27" s="22"/>
      <c r="X27" s="22">
        <f>AVERAGE(V24:Z24)</f>
        <v>0.09573571428571429</v>
      </c>
      <c r="Y27" s="22"/>
      <c r="Z27" s="23">
        <f>AVERAGE(X24:Z24)</f>
        <v>0.0865952380952381</v>
      </c>
      <c r="AA27" s="24"/>
      <c r="AB27" s="22">
        <f>AC24</f>
        <v>0.09857142857142856</v>
      </c>
      <c r="AC27" s="23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2.75">
      <c r="A28" s="1" t="s">
        <v>176</v>
      </c>
      <c r="B28" s="1"/>
      <c r="C28" s="79">
        <v>5</v>
      </c>
      <c r="D28" s="1" t="s">
        <v>79</v>
      </c>
      <c r="E28" s="1">
        <v>2</v>
      </c>
      <c r="F28" s="1">
        <v>31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2"/>
      <c r="X28" s="2"/>
      <c r="Y28" s="2"/>
      <c r="Z28" s="2"/>
      <c r="AA28" s="2"/>
      <c r="AB28" s="2"/>
      <c r="AC28" s="2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2.75">
      <c r="A29" s="1" t="s">
        <v>177</v>
      </c>
      <c r="B29" s="1"/>
      <c r="C29" s="1">
        <v>6</v>
      </c>
      <c r="D29" s="1" t="s">
        <v>82</v>
      </c>
      <c r="E29" s="1">
        <v>-1</v>
      </c>
      <c r="F29" s="1">
        <v>47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2"/>
      <c r="X29" s="2"/>
      <c r="Y29" s="2"/>
      <c r="Z29" s="2"/>
      <c r="AA29" s="2"/>
      <c r="AB29" s="2"/>
      <c r="AC29" s="2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2.75">
      <c r="A30" s="1" t="s">
        <v>205</v>
      </c>
      <c r="B30" s="1"/>
      <c r="C30" s="1">
        <v>6</v>
      </c>
      <c r="D30" s="1" t="s">
        <v>79</v>
      </c>
      <c r="E30" s="1">
        <v>1</v>
      </c>
      <c r="F30" s="1">
        <v>47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2"/>
      <c r="X30" s="2"/>
      <c r="Y30" s="2"/>
      <c r="Z30" s="2"/>
      <c r="AA30" s="2"/>
      <c r="AB30" s="2"/>
      <c r="AC30" s="2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2.75">
      <c r="A31" s="1" t="s">
        <v>35</v>
      </c>
      <c r="B31" s="1"/>
      <c r="C31" s="78">
        <v>6</v>
      </c>
      <c r="D31" s="1" t="s">
        <v>81</v>
      </c>
      <c r="E31" s="1">
        <v>2</v>
      </c>
      <c r="F31" s="1">
        <v>48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2"/>
      <c r="X31" s="2"/>
      <c r="Y31" s="2"/>
      <c r="Z31" s="2"/>
      <c r="AA31" s="2"/>
      <c r="AB31" s="2"/>
      <c r="AC31" s="2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2.75">
      <c r="A32" s="1" t="s">
        <v>36</v>
      </c>
      <c r="B32" s="1"/>
      <c r="C32" s="1">
        <v>6</v>
      </c>
      <c r="D32" s="1" t="s">
        <v>81</v>
      </c>
      <c r="E32" s="1">
        <v>2</v>
      </c>
      <c r="F32" s="1">
        <v>49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2"/>
      <c r="X32" s="2"/>
      <c r="Y32" s="2"/>
      <c r="Z32" s="2"/>
      <c r="AA32" s="2"/>
      <c r="AB32" s="2"/>
      <c r="AC32" s="2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2.75">
      <c r="A33" s="1" t="s">
        <v>182</v>
      </c>
      <c r="B33" s="1"/>
      <c r="C33" s="1">
        <v>6</v>
      </c>
      <c r="D33" s="1" t="s">
        <v>193</v>
      </c>
      <c r="E33" s="1">
        <v>-2</v>
      </c>
      <c r="F33" s="1">
        <v>39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2"/>
      <c r="X33" s="2"/>
      <c r="Y33" s="2"/>
      <c r="Z33" s="2"/>
      <c r="AA33" s="2"/>
      <c r="AB33" s="2"/>
      <c r="AC33" s="2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2.75">
      <c r="A34" s="1" t="s">
        <v>37</v>
      </c>
      <c r="B34" s="1"/>
      <c r="C34" s="1">
        <v>6</v>
      </c>
      <c r="D34" s="1" t="s">
        <v>79</v>
      </c>
      <c r="E34" s="1">
        <v>1</v>
      </c>
      <c r="F34" s="1">
        <v>28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2"/>
      <c r="X34" s="2"/>
      <c r="Y34" s="2"/>
      <c r="Z34" s="2"/>
      <c r="AA34" s="2"/>
      <c r="AB34" s="2"/>
      <c r="AC34" s="2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2.75">
      <c r="A35" s="1" t="s">
        <v>203</v>
      </c>
      <c r="B35" s="1"/>
      <c r="C35" s="1">
        <v>6</v>
      </c>
      <c r="D35" s="1" t="s">
        <v>80</v>
      </c>
      <c r="E35" s="1">
        <v>0</v>
      </c>
      <c r="F35" s="1">
        <v>49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2"/>
      <c r="X35" s="2"/>
      <c r="Y35" s="2"/>
      <c r="Z35" s="2"/>
      <c r="AA35" s="2"/>
      <c r="AB35" s="2"/>
      <c r="AC35" s="2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2.75">
      <c r="A36" s="1" t="s">
        <v>183</v>
      </c>
      <c r="B36" s="1"/>
      <c r="C36" s="1">
        <v>6</v>
      </c>
      <c r="D36" s="1" t="s">
        <v>80</v>
      </c>
      <c r="E36" s="1">
        <v>0</v>
      </c>
      <c r="F36" s="1">
        <v>49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2"/>
      <c r="X36" s="2"/>
      <c r="Y36" s="2"/>
      <c r="Z36" s="2"/>
      <c r="AA36" s="2"/>
      <c r="AB36" s="2"/>
      <c r="AC36" s="2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2.75">
      <c r="A37" s="1" t="s">
        <v>184</v>
      </c>
      <c r="B37" s="1"/>
      <c r="C37" s="1">
        <v>5</v>
      </c>
      <c r="D37" s="1" t="s">
        <v>80</v>
      </c>
      <c r="E37" s="1">
        <v>0</v>
      </c>
      <c r="F37" s="1">
        <v>40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2"/>
      <c r="X37" s="2"/>
      <c r="Y37" s="2"/>
      <c r="Z37" s="2"/>
      <c r="AA37" s="2"/>
      <c r="AB37" s="2"/>
      <c r="AC37" s="2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6" ht="12.75">
      <c r="A38" s="1" t="s">
        <v>185</v>
      </c>
      <c r="B38" s="1"/>
      <c r="C38" s="1" t="s">
        <v>122</v>
      </c>
      <c r="D38" s="1" t="s">
        <v>82</v>
      </c>
      <c r="E38" s="1">
        <v>-1</v>
      </c>
      <c r="F38" s="1">
        <v>22</v>
      </c>
    </row>
    <row r="39" spans="1:6" ht="12.75">
      <c r="A39" s="49"/>
      <c r="B39" t="s">
        <v>74</v>
      </c>
      <c r="C39">
        <f>AVERAGE(C24:C38)</f>
        <v>5.571428571428571</v>
      </c>
      <c r="D39" s="1"/>
      <c r="E39">
        <f>AVERAGE(E24:E38)</f>
        <v>0.4666666666666667</v>
      </c>
      <c r="F39">
        <f>AVERAGE(F24:F38)</f>
        <v>43</v>
      </c>
    </row>
    <row r="40" ht="12.75">
      <c r="A40" s="49"/>
    </row>
    <row r="41" spans="1:6" ht="12.75">
      <c r="A41" s="53"/>
      <c r="B41" s="54"/>
      <c r="C41" s="54"/>
      <c r="F41" s="54"/>
    </row>
    <row r="42" spans="1:6" ht="12.75">
      <c r="A42" s="53"/>
      <c r="B42" s="54"/>
      <c r="C42" s="54"/>
      <c r="F42" s="54"/>
    </row>
    <row r="43" spans="1:6" ht="12.75">
      <c r="A43" s="53"/>
      <c r="B43" s="54"/>
      <c r="C43" s="54"/>
      <c r="D43" s="54"/>
      <c r="E43" s="54"/>
      <c r="F43" s="54"/>
    </row>
    <row r="44" spans="1:6" ht="12.75">
      <c r="A44" s="53"/>
      <c r="B44" s="54"/>
      <c r="C44" s="54"/>
      <c r="D44" s="54"/>
      <c r="E44" s="54"/>
      <c r="F44" s="54"/>
    </row>
    <row r="45" spans="1:6" ht="12.75">
      <c r="A45" s="53"/>
      <c r="B45" s="54"/>
      <c r="C45" s="54"/>
      <c r="D45" s="54"/>
      <c r="E45" s="54"/>
      <c r="F45" s="54"/>
    </row>
    <row r="46" spans="1:6" ht="12.75">
      <c r="A46" s="53"/>
      <c r="B46" s="54"/>
      <c r="C46" s="54"/>
      <c r="D46" s="54"/>
      <c r="E46" s="54"/>
      <c r="F46" s="54"/>
    </row>
    <row r="47" spans="1:6" ht="12.75">
      <c r="A47" s="53"/>
      <c r="B47" s="54"/>
      <c r="C47" s="54"/>
      <c r="D47" s="54"/>
      <c r="E47" s="54"/>
      <c r="F47" s="54"/>
    </row>
    <row r="48" spans="1:6" ht="12.75">
      <c r="A48" s="53"/>
      <c r="B48" s="54"/>
      <c r="C48" s="54"/>
      <c r="D48" s="54"/>
      <c r="E48" s="54"/>
      <c r="F48" s="54"/>
    </row>
    <row r="49" spans="1:6" ht="12.75">
      <c r="A49" s="53"/>
      <c r="B49" s="54"/>
      <c r="C49" s="54"/>
      <c r="D49" s="54"/>
      <c r="E49" s="54"/>
      <c r="F49" s="54"/>
    </row>
    <row r="50" spans="1:6" ht="12.75">
      <c r="A50" s="53"/>
      <c r="B50" s="54"/>
      <c r="C50" s="54"/>
      <c r="D50" s="54"/>
      <c r="E50" s="54"/>
      <c r="F50" s="54"/>
    </row>
    <row r="51" spans="1:6" ht="12.75">
      <c r="A51" s="53"/>
      <c r="B51" s="54"/>
      <c r="C51" s="54"/>
      <c r="D51" s="54"/>
      <c r="E51" s="54"/>
      <c r="F51" s="54"/>
    </row>
    <row r="52" spans="1:6" ht="12.75">
      <c r="A52" s="53"/>
      <c r="B52" s="54"/>
      <c r="C52" s="54"/>
      <c r="D52" s="54"/>
      <c r="E52" s="54"/>
      <c r="F52" s="54"/>
    </row>
    <row r="53" spans="1:6" ht="12.75">
      <c r="A53" s="53"/>
      <c r="B53" s="54"/>
      <c r="C53" s="54"/>
      <c r="D53" s="54"/>
      <c r="E53" s="54"/>
      <c r="F53" s="54"/>
    </row>
    <row r="54" spans="1:6" ht="12.75">
      <c r="A54" s="53"/>
      <c r="B54" s="54"/>
      <c r="C54" s="54"/>
      <c r="D54" s="54"/>
      <c r="E54" s="54"/>
      <c r="F54" s="54"/>
    </row>
    <row r="55" spans="1:6" ht="12.75">
      <c r="A55" s="53"/>
      <c r="B55" s="54"/>
      <c r="C55" s="54"/>
      <c r="D55" s="54"/>
      <c r="E55" s="54"/>
      <c r="F55" s="54"/>
    </row>
    <row r="56" spans="1:6" ht="12.75">
      <c r="A56" s="53"/>
      <c r="B56" s="54"/>
      <c r="C56" s="54"/>
      <c r="D56" s="54"/>
      <c r="E56" s="54"/>
      <c r="F56" s="54"/>
    </row>
    <row r="57" spans="1:6" ht="12.75">
      <c r="A57" s="53"/>
      <c r="B57" s="54"/>
      <c r="C57" s="54"/>
      <c r="D57" s="54"/>
      <c r="E57" s="54"/>
      <c r="F57" s="54"/>
    </row>
    <row r="58" spans="1:6" ht="12.75">
      <c r="A58" s="53"/>
      <c r="B58" s="54"/>
      <c r="C58" s="54"/>
      <c r="D58" s="54"/>
      <c r="E58" s="54"/>
      <c r="F58" s="54"/>
    </row>
    <row r="59" spans="1:6" ht="12.75">
      <c r="A59" s="53"/>
      <c r="B59" s="54"/>
      <c r="C59" s="54"/>
      <c r="D59" s="54"/>
      <c r="E59" s="54"/>
      <c r="F59" s="54"/>
    </row>
    <row r="60" spans="1:6" ht="12.75">
      <c r="A60" s="53"/>
      <c r="B60" s="54"/>
      <c r="C60" s="54"/>
      <c r="D60" s="54"/>
      <c r="E60" s="54"/>
      <c r="F60" s="54"/>
    </row>
    <row r="61" spans="1:6" ht="12.75">
      <c r="A61" s="53"/>
      <c r="B61" s="54"/>
      <c r="C61" s="54"/>
      <c r="D61" s="54"/>
      <c r="E61" s="54"/>
      <c r="F61" s="54"/>
    </row>
    <row r="62" spans="1:6" ht="12.75">
      <c r="A62" s="53"/>
      <c r="B62" s="54"/>
      <c r="C62" s="54"/>
      <c r="D62" s="54"/>
      <c r="E62" s="54"/>
      <c r="F62" s="54"/>
    </row>
    <row r="63" spans="1:6" ht="12.75">
      <c r="A63" s="53"/>
      <c r="B63" s="54"/>
      <c r="C63" s="54"/>
      <c r="D63" s="54"/>
      <c r="E63" s="54"/>
      <c r="F63" s="54"/>
    </row>
    <row r="64" spans="1:6" ht="12.75">
      <c r="A64" s="53"/>
      <c r="B64" s="54"/>
      <c r="C64" s="54"/>
      <c r="D64" s="54"/>
      <c r="E64" s="54"/>
      <c r="F64" s="54"/>
    </row>
    <row r="65" spans="1:6" ht="12.75">
      <c r="A65" s="53"/>
      <c r="B65" s="54"/>
      <c r="C65" s="54"/>
      <c r="D65" s="54"/>
      <c r="E65" s="54"/>
      <c r="F65" s="54"/>
    </row>
    <row r="66" spans="1:6" ht="12.75">
      <c r="A66" s="53"/>
      <c r="B66" s="54"/>
      <c r="C66" s="54"/>
      <c r="D66" s="54"/>
      <c r="E66" s="54"/>
      <c r="F66" s="54"/>
    </row>
    <row r="67" spans="1:6" ht="12.75">
      <c r="A67" s="53"/>
      <c r="B67" s="54"/>
      <c r="C67" s="54"/>
      <c r="D67" s="54"/>
      <c r="E67" s="54"/>
      <c r="F67" s="54"/>
    </row>
    <row r="68" spans="1:6" ht="12.75">
      <c r="A68" s="53"/>
      <c r="B68" s="54"/>
      <c r="C68" s="54"/>
      <c r="D68" s="54"/>
      <c r="E68" s="54"/>
      <c r="F68" s="54"/>
    </row>
    <row r="69" spans="1:6" ht="12.75">
      <c r="A69" s="53"/>
      <c r="B69" s="54"/>
      <c r="C69" s="54"/>
      <c r="D69" s="54"/>
      <c r="E69" s="54"/>
      <c r="F69" s="54"/>
    </row>
    <row r="70" spans="1:6" ht="12.75">
      <c r="A70" s="53"/>
      <c r="B70" s="54"/>
      <c r="C70" s="54"/>
      <c r="D70" s="54"/>
      <c r="E70" s="54"/>
      <c r="F70" s="54"/>
    </row>
    <row r="71" spans="1:6" ht="12.75">
      <c r="A71" s="53"/>
      <c r="B71" s="54"/>
      <c r="C71" s="54"/>
      <c r="D71" s="54"/>
      <c r="E71" s="54"/>
      <c r="F71" s="54"/>
    </row>
    <row r="72" spans="1:6" ht="12.75">
      <c r="A72" s="53"/>
      <c r="B72" s="54"/>
      <c r="C72" s="54"/>
      <c r="D72" s="54"/>
      <c r="E72" s="54"/>
      <c r="F72" s="54"/>
    </row>
    <row r="73" spans="1:6" ht="12.75">
      <c r="A73" s="53"/>
      <c r="B73" s="54"/>
      <c r="C73" s="54"/>
      <c r="D73" s="54"/>
      <c r="E73" s="54"/>
      <c r="F73" s="54"/>
    </row>
    <row r="74" spans="1:6" ht="12.75">
      <c r="A74" s="53"/>
      <c r="B74" s="54"/>
      <c r="C74" s="54"/>
      <c r="D74" s="54"/>
      <c r="E74" s="54"/>
      <c r="F74" s="54"/>
    </row>
    <row r="75" spans="1:6" ht="12.75">
      <c r="A75" s="53"/>
      <c r="B75" s="54"/>
      <c r="C75" s="54"/>
      <c r="D75" s="54"/>
      <c r="E75" s="54"/>
      <c r="F75" s="54"/>
    </row>
    <row r="76" spans="1:6" ht="12.75">
      <c r="A76" s="53"/>
      <c r="B76" s="54"/>
      <c r="C76" s="54"/>
      <c r="D76" s="54"/>
      <c r="E76" s="54"/>
      <c r="F76" s="54"/>
    </row>
    <row r="77" spans="1:6" ht="12.75">
      <c r="A77" s="53"/>
      <c r="B77" s="54"/>
      <c r="C77" s="54"/>
      <c r="D77" s="54"/>
      <c r="E77" s="54"/>
      <c r="F77" s="54"/>
    </row>
    <row r="78" spans="1:6" ht="12.75">
      <c r="A78" s="53"/>
      <c r="B78" s="54"/>
      <c r="C78" s="54"/>
      <c r="D78" s="54"/>
      <c r="E78" s="54"/>
      <c r="F78" s="54"/>
    </row>
    <row r="79" spans="1:6" ht="12.75">
      <c r="A79" s="53"/>
      <c r="B79" s="54"/>
      <c r="C79" s="54"/>
      <c r="D79" s="54"/>
      <c r="E79" s="54"/>
      <c r="F79" s="54"/>
    </row>
    <row r="80" spans="1:6" ht="12.75">
      <c r="A80" s="53"/>
      <c r="B80" s="54"/>
      <c r="C80" s="54"/>
      <c r="D80" s="54"/>
      <c r="E80" s="54"/>
      <c r="F80" s="54"/>
    </row>
    <row r="81" spans="1:6" ht="12.75">
      <c r="A81" s="53"/>
      <c r="B81" s="54"/>
      <c r="C81" s="54"/>
      <c r="D81" s="54"/>
      <c r="E81" s="54"/>
      <c r="F81" s="54"/>
    </row>
    <row r="82" spans="1:6" ht="12.75">
      <c r="A82" s="53"/>
      <c r="B82" s="54"/>
      <c r="C82" s="54"/>
      <c r="D82" s="54"/>
      <c r="E82" s="54"/>
      <c r="F82" s="54"/>
    </row>
    <row r="83" spans="1:6" ht="12.75">
      <c r="A83" s="53"/>
      <c r="B83" s="54"/>
      <c r="C83" s="54"/>
      <c r="D83" s="54"/>
      <c r="E83" s="54"/>
      <c r="F83" s="54"/>
    </row>
    <row r="84" spans="1:6" ht="12.75">
      <c r="A84" s="53"/>
      <c r="B84" s="54"/>
      <c r="C84" s="54"/>
      <c r="D84" s="54"/>
      <c r="E84" s="54"/>
      <c r="F84" s="54"/>
    </row>
    <row r="85" spans="1:6" ht="12.75">
      <c r="A85" s="53"/>
      <c r="B85" s="54"/>
      <c r="C85" s="54"/>
      <c r="D85" s="54"/>
      <c r="E85" s="54"/>
      <c r="F85" s="54"/>
    </row>
    <row r="86" spans="1:6" ht="12.75">
      <c r="A86" s="53"/>
      <c r="B86" s="54"/>
      <c r="C86" s="54"/>
      <c r="D86" s="54"/>
      <c r="E86" s="54"/>
      <c r="F86" s="54"/>
    </row>
    <row r="87" spans="1:6" ht="12.75">
      <c r="A87" s="53"/>
      <c r="B87" s="54"/>
      <c r="C87" s="54"/>
      <c r="D87" s="54"/>
      <c r="E87" s="54"/>
      <c r="F87" s="54"/>
    </row>
    <row r="88" spans="1:6" ht="12.75">
      <c r="A88" s="53"/>
      <c r="B88" s="54"/>
      <c r="C88" s="54"/>
      <c r="D88" s="54"/>
      <c r="E88" s="54"/>
      <c r="F88" s="54"/>
    </row>
    <row r="89" spans="1:6" ht="12.75">
      <c r="A89" s="53"/>
      <c r="B89" s="54"/>
      <c r="C89" s="54"/>
      <c r="D89" s="54"/>
      <c r="E89" s="54"/>
      <c r="F89" s="54"/>
    </row>
    <row r="90" spans="1:6" ht="12.75">
      <c r="A90" s="53"/>
      <c r="B90" s="54"/>
      <c r="C90" s="54"/>
      <c r="D90" s="54"/>
      <c r="E90" s="54"/>
      <c r="F90" s="54"/>
    </row>
    <row r="91" spans="1:6" ht="12.75">
      <c r="A91" s="53"/>
      <c r="B91" s="54"/>
      <c r="C91" s="54"/>
      <c r="D91" s="54"/>
      <c r="E91" s="54"/>
      <c r="F91" s="54"/>
    </row>
    <row r="92" spans="1:6" ht="12.75">
      <c r="A92" s="53"/>
      <c r="B92" s="54"/>
      <c r="C92" s="54"/>
      <c r="D92" s="54"/>
      <c r="E92" s="54"/>
      <c r="F92" s="54"/>
    </row>
    <row r="93" spans="1:6" ht="12.75">
      <c r="A93" s="53"/>
      <c r="B93" s="54"/>
      <c r="C93" s="54"/>
      <c r="D93" s="54"/>
      <c r="E93" s="54"/>
      <c r="F93" s="54"/>
    </row>
    <row r="94" spans="1:6" ht="12.75">
      <c r="A94" s="53"/>
      <c r="B94" s="54"/>
      <c r="C94" s="54"/>
      <c r="D94" s="54"/>
      <c r="E94" s="54"/>
      <c r="F94" s="54"/>
    </row>
    <row r="95" spans="1:6" ht="12.75">
      <c r="A95" s="53"/>
      <c r="B95" s="54"/>
      <c r="C95" s="54"/>
      <c r="D95" s="54"/>
      <c r="E95" s="54"/>
      <c r="F95" s="54"/>
    </row>
    <row r="96" spans="1:6" ht="12.75">
      <c r="A96" s="53"/>
      <c r="B96" s="54"/>
      <c r="C96" s="54"/>
      <c r="D96" s="54"/>
      <c r="E96" s="54"/>
      <c r="F96" s="54"/>
    </row>
    <row r="97" spans="1:6" ht="12.75">
      <c r="A97" s="53"/>
      <c r="B97" s="54"/>
      <c r="C97" s="54"/>
      <c r="D97" s="54"/>
      <c r="E97" s="54"/>
      <c r="F97" s="54"/>
    </row>
    <row r="98" spans="1:6" ht="12.75">
      <c r="A98" s="53"/>
      <c r="B98" s="54"/>
      <c r="C98" s="54"/>
      <c r="D98" s="54"/>
      <c r="E98" s="54"/>
      <c r="F98" s="54"/>
    </row>
    <row r="99" spans="1:6" ht="12.75">
      <c r="A99" s="53"/>
      <c r="B99" s="54"/>
      <c r="C99" s="54"/>
      <c r="D99" s="54"/>
      <c r="E99" s="54"/>
      <c r="F99" s="54"/>
    </row>
    <row r="100" spans="1:6" ht="12.75">
      <c r="A100" s="53"/>
      <c r="B100" s="54"/>
      <c r="C100" s="54"/>
      <c r="D100" s="54"/>
      <c r="E100" s="54"/>
      <c r="F100" s="54"/>
    </row>
    <row r="101" spans="1:6" ht="12.75">
      <c r="A101" s="53"/>
      <c r="B101" s="54"/>
      <c r="C101" s="54"/>
      <c r="D101" s="54"/>
      <c r="E101" s="54"/>
      <c r="F101" s="54"/>
    </row>
    <row r="102" spans="1:6" ht="12.75">
      <c r="A102" s="53"/>
      <c r="B102" s="54"/>
      <c r="C102" s="54"/>
      <c r="D102" s="54"/>
      <c r="E102" s="54"/>
      <c r="F102" s="54"/>
    </row>
    <row r="103" spans="1:6" ht="12.75">
      <c r="A103" s="53"/>
      <c r="B103" s="54"/>
      <c r="C103" s="54"/>
      <c r="D103" s="54"/>
      <c r="E103" s="54"/>
      <c r="F103" s="54"/>
    </row>
    <row r="104" spans="1:6" ht="12.75">
      <c r="A104" s="53"/>
      <c r="B104" s="54"/>
      <c r="C104" s="54"/>
      <c r="D104" s="54"/>
      <c r="E104" s="54"/>
      <c r="F104" s="54"/>
    </row>
    <row r="105" spans="1:6" ht="12.75">
      <c r="A105" s="53"/>
      <c r="B105" s="54"/>
      <c r="C105" s="54"/>
      <c r="D105" s="54"/>
      <c r="E105" s="54"/>
      <c r="F105" s="54"/>
    </row>
    <row r="106" spans="1:6" ht="12.75">
      <c r="A106" s="53"/>
      <c r="B106" s="54"/>
      <c r="C106" s="54"/>
      <c r="D106" s="54"/>
      <c r="E106" s="54"/>
      <c r="F106" s="54"/>
    </row>
    <row r="107" spans="1:6" ht="12.75">
      <c r="A107" s="53"/>
      <c r="B107" s="54"/>
      <c r="C107" s="54"/>
      <c r="D107" s="54"/>
      <c r="E107" s="54"/>
      <c r="F107" s="54"/>
    </row>
    <row r="108" spans="1:6" ht="12.75">
      <c r="A108" s="53"/>
      <c r="B108" s="54"/>
      <c r="C108" s="54"/>
      <c r="D108" s="54"/>
      <c r="E108" s="54"/>
      <c r="F108" s="54"/>
    </row>
    <row r="109" spans="1:6" ht="12.75">
      <c r="A109" s="53"/>
      <c r="B109" s="54"/>
      <c r="C109" s="54"/>
      <c r="D109" s="54"/>
      <c r="E109" s="54"/>
      <c r="F109" s="54"/>
    </row>
    <row r="110" spans="1:7" ht="12.75">
      <c r="A110" s="53"/>
      <c r="B110" s="54"/>
      <c r="C110" s="54"/>
      <c r="D110" s="54"/>
      <c r="E110" s="54"/>
      <c r="F110" s="54"/>
      <c r="G110" s="52"/>
    </row>
    <row r="111" spans="1:6" ht="12.75">
      <c r="A111" s="53"/>
      <c r="B111" s="54"/>
      <c r="C111" s="54"/>
      <c r="D111" s="54"/>
      <c r="E111" s="54"/>
      <c r="F111" s="54"/>
    </row>
    <row r="112" spans="1:6" ht="12.75">
      <c r="A112" s="53"/>
      <c r="B112" s="54"/>
      <c r="C112" s="54"/>
      <c r="D112" s="54"/>
      <c r="E112" s="54"/>
      <c r="F112" s="54"/>
    </row>
    <row r="113" spans="1:6" ht="12.75">
      <c r="A113" s="53"/>
      <c r="B113" s="54"/>
      <c r="C113" s="54"/>
      <c r="D113" s="54"/>
      <c r="E113" s="54"/>
      <c r="F113" s="54"/>
    </row>
    <row r="114" spans="1:6" ht="12.75">
      <c r="A114" s="53"/>
      <c r="B114" s="54"/>
      <c r="C114" s="54"/>
      <c r="D114" s="54"/>
      <c r="E114" s="54"/>
      <c r="F114" s="54"/>
    </row>
    <row r="115" spans="1:6" ht="12.75">
      <c r="A115" s="53"/>
      <c r="B115" s="54"/>
      <c r="C115" s="54"/>
      <c r="D115" s="54"/>
      <c r="E115" s="54"/>
      <c r="F115" s="54"/>
    </row>
    <row r="116" spans="1:6" ht="12.75">
      <c r="A116" s="53"/>
      <c r="B116" s="54"/>
      <c r="C116" s="54"/>
      <c r="D116" s="54"/>
      <c r="E116" s="54"/>
      <c r="F116" s="54"/>
    </row>
    <row r="117" spans="1:6" ht="12.75">
      <c r="A117" s="53"/>
      <c r="B117" s="54"/>
      <c r="C117" s="54"/>
      <c r="D117" s="54"/>
      <c r="E117" s="54"/>
      <c r="F117" s="54"/>
    </row>
    <row r="118" spans="1:6" ht="12.75">
      <c r="A118" s="53"/>
      <c r="B118" s="54"/>
      <c r="C118" s="54"/>
      <c r="D118" s="54"/>
      <c r="E118" s="54"/>
      <c r="F118" s="54"/>
    </row>
    <row r="119" spans="1:6" ht="12.75">
      <c r="A119" s="53"/>
      <c r="B119" s="54"/>
      <c r="C119" s="54"/>
      <c r="D119" s="54"/>
      <c r="E119" s="54"/>
      <c r="F119" s="54"/>
    </row>
    <row r="120" spans="1:6" ht="12.75">
      <c r="A120" s="53"/>
      <c r="B120" s="54"/>
      <c r="C120" s="54"/>
      <c r="D120" s="54"/>
      <c r="E120" s="54"/>
      <c r="F120" s="54"/>
    </row>
    <row r="121" spans="1:6" ht="12.75">
      <c r="A121" s="53"/>
      <c r="B121" s="54"/>
      <c r="C121" s="54"/>
      <c r="D121" s="54"/>
      <c r="E121" s="54"/>
      <c r="F121" s="54"/>
    </row>
    <row r="122" spans="1:6" ht="12.75">
      <c r="A122" s="53"/>
      <c r="B122" s="54"/>
      <c r="C122" s="54"/>
      <c r="D122" s="54"/>
      <c r="E122" s="54"/>
      <c r="F122" s="54"/>
    </row>
    <row r="123" spans="1:6" ht="12.75">
      <c r="A123" s="53"/>
      <c r="B123" s="54"/>
      <c r="C123" s="54"/>
      <c r="D123" s="54"/>
      <c r="E123" s="54"/>
      <c r="F123" s="54"/>
    </row>
    <row r="124" spans="1:6" ht="12.75">
      <c r="A124" s="53"/>
      <c r="B124" s="54"/>
      <c r="C124" s="54"/>
      <c r="D124" s="54"/>
      <c r="E124" s="54"/>
      <c r="F124" s="54"/>
    </row>
    <row r="125" spans="1:6" ht="12.75">
      <c r="A125" s="53"/>
      <c r="B125" s="54"/>
      <c r="C125" s="54"/>
      <c r="D125" s="54"/>
      <c r="E125" s="54"/>
      <c r="F125" s="54"/>
    </row>
    <row r="126" spans="1:6" ht="12.75">
      <c r="A126" s="53"/>
      <c r="B126" s="54"/>
      <c r="C126" s="54"/>
      <c r="D126" s="54"/>
      <c r="E126" s="54"/>
      <c r="F126" s="54"/>
    </row>
    <row r="127" spans="1:6" ht="12.75">
      <c r="A127" s="53"/>
      <c r="B127" s="54"/>
      <c r="C127" s="54"/>
      <c r="D127" s="54"/>
      <c r="E127" s="54"/>
      <c r="F127" s="54"/>
    </row>
    <row r="128" spans="1:6" ht="12.75">
      <c r="A128" s="53"/>
      <c r="B128" s="54"/>
      <c r="C128" s="54"/>
      <c r="D128" s="54"/>
      <c r="E128" s="54"/>
      <c r="F128" s="54"/>
    </row>
    <row r="129" spans="1:6" ht="12.75">
      <c r="A129" s="53"/>
      <c r="B129" s="54"/>
      <c r="C129" s="54"/>
      <c r="D129" s="54"/>
      <c r="E129" s="54"/>
      <c r="F129" s="54"/>
    </row>
    <row r="130" spans="1:6" ht="12.75">
      <c r="A130" s="53"/>
      <c r="B130" s="54"/>
      <c r="C130" s="54"/>
      <c r="D130" s="54"/>
      <c r="E130" s="54"/>
      <c r="F130" s="54"/>
    </row>
    <row r="131" spans="1:6" ht="12.75">
      <c r="A131" s="53"/>
      <c r="B131" s="54"/>
      <c r="C131" s="54"/>
      <c r="D131" s="54"/>
      <c r="E131" s="54"/>
      <c r="F131" s="54"/>
    </row>
    <row r="132" spans="1:6" ht="12.75">
      <c r="A132" s="53"/>
      <c r="B132" s="54"/>
      <c r="C132" s="54"/>
      <c r="D132" s="54"/>
      <c r="E132" s="54"/>
      <c r="F132" s="54"/>
    </row>
    <row r="133" spans="1:6" ht="12.75">
      <c r="A133" s="53"/>
      <c r="B133" s="54"/>
      <c r="C133" s="54"/>
      <c r="D133" s="54"/>
      <c r="E133" s="54"/>
      <c r="F133" s="54"/>
    </row>
    <row r="134" spans="1:6" ht="12.75">
      <c r="A134" s="53"/>
      <c r="B134" s="54"/>
      <c r="C134" s="54"/>
      <c r="D134" s="54"/>
      <c r="E134" s="54"/>
      <c r="F134" s="54"/>
    </row>
    <row r="135" spans="1:6" ht="12.75">
      <c r="A135" s="53"/>
      <c r="B135" s="54"/>
      <c r="C135" s="54"/>
      <c r="D135" s="54"/>
      <c r="E135" s="54"/>
      <c r="F135" s="54"/>
    </row>
    <row r="136" spans="1:7" ht="12.75">
      <c r="A136" s="53"/>
      <c r="B136" s="54"/>
      <c r="C136" s="54"/>
      <c r="D136" s="54"/>
      <c r="E136" s="54"/>
      <c r="F136" s="54"/>
      <c r="G136" s="52"/>
    </row>
    <row r="137" spans="1:6" ht="12.75">
      <c r="A137" s="53"/>
      <c r="B137" s="54"/>
      <c r="C137" s="54"/>
      <c r="D137" s="54"/>
      <c r="E137" s="54"/>
      <c r="F137" s="54"/>
    </row>
    <row r="138" spans="1:6" ht="12.75">
      <c r="A138" s="53"/>
      <c r="B138" s="54"/>
      <c r="C138" s="54"/>
      <c r="D138" s="54"/>
      <c r="E138" s="54"/>
      <c r="F138" s="54"/>
    </row>
    <row r="139" spans="1:6" ht="12.75">
      <c r="A139" s="53"/>
      <c r="B139" s="54"/>
      <c r="C139" s="54"/>
      <c r="D139" s="54"/>
      <c r="E139" s="54"/>
      <c r="F139" s="54"/>
    </row>
    <row r="140" spans="1:6" ht="12.75">
      <c r="A140" s="53"/>
      <c r="B140" s="54"/>
      <c r="C140" s="54"/>
      <c r="D140" s="54"/>
      <c r="E140" s="54"/>
      <c r="F140" s="54"/>
    </row>
    <row r="141" spans="1:6" ht="12.75">
      <c r="A141" s="53"/>
      <c r="B141" s="54"/>
      <c r="C141" s="54"/>
      <c r="D141" s="54"/>
      <c r="E141" s="54"/>
      <c r="F141" s="54"/>
    </row>
    <row r="142" spans="1:6" ht="12.75">
      <c r="A142" s="53"/>
      <c r="B142" s="54"/>
      <c r="C142" s="54"/>
      <c r="D142" s="54"/>
      <c r="E142" s="54"/>
      <c r="F142" s="54"/>
    </row>
    <row r="143" spans="1:6" ht="12.75">
      <c r="A143" s="53"/>
      <c r="B143" s="54"/>
      <c r="C143" s="54"/>
      <c r="D143" s="54"/>
      <c r="E143" s="54"/>
      <c r="F143" s="54"/>
    </row>
    <row r="144" spans="1:6" ht="12.75">
      <c r="A144" s="53"/>
      <c r="B144" s="54"/>
      <c r="C144" s="54"/>
      <c r="D144" s="54"/>
      <c r="E144" s="54"/>
      <c r="F144" s="54"/>
    </row>
    <row r="145" spans="1:6" ht="12.75">
      <c r="A145" s="53"/>
      <c r="B145" s="54"/>
      <c r="C145" s="54"/>
      <c r="D145" s="54"/>
      <c r="E145" s="54"/>
      <c r="F145" s="54"/>
    </row>
    <row r="146" spans="1:6" ht="12.75">
      <c r="A146" s="53"/>
      <c r="B146" s="54"/>
      <c r="C146" s="54"/>
      <c r="D146" s="54"/>
      <c r="E146" s="54"/>
      <c r="F146" s="54"/>
    </row>
    <row r="147" spans="1:6" ht="12.75">
      <c r="A147" s="53"/>
      <c r="B147" s="54"/>
      <c r="C147" s="54"/>
      <c r="D147" s="54"/>
      <c r="E147" s="54"/>
      <c r="F147" s="54"/>
    </row>
    <row r="148" spans="1:6" ht="12.75">
      <c r="A148" s="53"/>
      <c r="B148" s="54"/>
      <c r="C148" s="54"/>
      <c r="D148" s="54"/>
      <c r="E148" s="54"/>
      <c r="F148" s="54"/>
    </row>
    <row r="149" spans="1:6" ht="12.75">
      <c r="A149" s="53"/>
      <c r="B149" s="54"/>
      <c r="C149" s="54"/>
      <c r="D149" s="54"/>
      <c r="E149" s="54"/>
      <c r="F149" s="54"/>
    </row>
    <row r="150" spans="1:6" ht="12.75">
      <c r="A150" s="53"/>
      <c r="B150" s="54"/>
      <c r="C150" s="54"/>
      <c r="D150" s="54"/>
      <c r="E150" s="54"/>
      <c r="F150" s="54"/>
    </row>
    <row r="151" spans="1:6" ht="12.75">
      <c r="A151" s="53"/>
      <c r="B151" s="54"/>
      <c r="C151" s="54"/>
      <c r="D151" s="54"/>
      <c r="E151" s="54"/>
      <c r="F151" s="54"/>
    </row>
    <row r="152" spans="1:6" ht="12.75">
      <c r="A152" s="53"/>
      <c r="B152" s="54"/>
      <c r="C152" s="54"/>
      <c r="D152" s="54"/>
      <c r="E152" s="54"/>
      <c r="F152" s="54"/>
    </row>
    <row r="153" spans="1:6" ht="12.75">
      <c r="A153" s="53"/>
      <c r="B153" s="54"/>
      <c r="C153" s="54"/>
      <c r="D153" s="54"/>
      <c r="E153" s="54"/>
      <c r="F153" s="54"/>
    </row>
    <row r="154" spans="1:6" ht="12.75">
      <c r="A154" s="53"/>
      <c r="B154" s="54"/>
      <c r="C154" s="54"/>
      <c r="D154" s="54"/>
      <c r="E154" s="54"/>
      <c r="F154" s="54"/>
    </row>
    <row r="155" spans="1:6" ht="12.75">
      <c r="A155" s="53"/>
      <c r="B155" s="54"/>
      <c r="C155" s="54"/>
      <c r="D155" s="54"/>
      <c r="E155" s="54"/>
      <c r="F155" s="54"/>
    </row>
    <row r="156" spans="1:6" ht="12.75">
      <c r="A156" s="53"/>
      <c r="B156" s="54"/>
      <c r="C156" s="54"/>
      <c r="D156" s="54"/>
      <c r="E156" s="54"/>
      <c r="F156" s="54"/>
    </row>
    <row r="157" spans="1:6" ht="12.75">
      <c r="A157" s="53"/>
      <c r="B157" s="54"/>
      <c r="C157" s="54"/>
      <c r="D157" s="54"/>
      <c r="E157" s="54"/>
      <c r="F157" s="54"/>
    </row>
    <row r="158" spans="1:6" ht="12.75">
      <c r="A158" s="53"/>
      <c r="B158" s="54"/>
      <c r="C158" s="54"/>
      <c r="D158" s="54"/>
      <c r="E158" s="54"/>
      <c r="F158" s="54"/>
    </row>
    <row r="159" spans="1:6" ht="12.75">
      <c r="A159" s="53"/>
      <c r="B159" s="54"/>
      <c r="C159" s="54"/>
      <c r="D159" s="54"/>
      <c r="E159" s="54"/>
      <c r="F159" s="54"/>
    </row>
    <row r="160" spans="1:6" ht="12.75">
      <c r="A160" s="53"/>
      <c r="B160" s="54"/>
      <c r="C160" s="54"/>
      <c r="D160" s="54"/>
      <c r="E160" s="54"/>
      <c r="F160" s="54"/>
    </row>
    <row r="161" spans="1:6" ht="12.75">
      <c r="A161" s="53"/>
      <c r="B161" s="54"/>
      <c r="C161" s="54"/>
      <c r="D161" s="54"/>
      <c r="E161" s="54"/>
      <c r="F161" s="54"/>
    </row>
    <row r="162" spans="1:7" ht="12.75">
      <c r="A162" s="53"/>
      <c r="B162" s="54"/>
      <c r="C162" s="54"/>
      <c r="D162" s="54"/>
      <c r="E162" s="54"/>
      <c r="F162" s="54"/>
      <c r="G162" s="52"/>
    </row>
    <row r="163" spans="1:6" ht="12.75">
      <c r="A163" s="53"/>
      <c r="B163" s="54"/>
      <c r="C163" s="54"/>
      <c r="D163" s="54"/>
      <c r="E163" s="54"/>
      <c r="F163" s="54"/>
    </row>
    <row r="164" spans="1:6" ht="12.75">
      <c r="A164" s="53"/>
      <c r="B164" s="54"/>
      <c r="C164" s="54"/>
      <c r="D164" s="54"/>
      <c r="E164" s="54"/>
      <c r="F164" s="54"/>
    </row>
    <row r="165" spans="1:6" ht="12.75">
      <c r="A165" s="53"/>
      <c r="B165" s="54"/>
      <c r="C165" s="54"/>
      <c r="D165" s="54"/>
      <c r="E165" s="54"/>
      <c r="F165" s="54"/>
    </row>
    <row r="166" spans="1:6" ht="12.75">
      <c r="A166" s="53"/>
      <c r="B166" s="54"/>
      <c r="C166" s="54"/>
      <c r="D166" s="54"/>
      <c r="E166" s="54"/>
      <c r="F166" s="54"/>
    </row>
    <row r="167" spans="1:6" ht="12.75">
      <c r="A167" s="53"/>
      <c r="B167" s="54"/>
      <c r="C167" s="54"/>
      <c r="D167" s="54"/>
      <c r="E167" s="54"/>
      <c r="F167" s="54"/>
    </row>
    <row r="168" spans="1:6" ht="12.75">
      <c r="A168" s="53"/>
      <c r="B168" s="54"/>
      <c r="C168" s="54"/>
      <c r="D168" s="54"/>
      <c r="E168" s="54"/>
      <c r="F168" s="54"/>
    </row>
    <row r="169" spans="1:6" ht="12.75">
      <c r="A169" s="53"/>
      <c r="B169" s="54"/>
      <c r="C169" s="54"/>
      <c r="D169" s="54"/>
      <c r="E169" s="54"/>
      <c r="F169" s="54"/>
    </row>
    <row r="170" spans="1:6" ht="12.75">
      <c r="A170" s="53"/>
      <c r="B170" s="54"/>
      <c r="C170" s="54"/>
      <c r="D170" s="54"/>
      <c r="E170" s="54"/>
      <c r="F170" s="54"/>
    </row>
    <row r="171" spans="1:6" ht="12.75">
      <c r="A171" s="53"/>
      <c r="B171" s="54"/>
      <c r="C171" s="54"/>
      <c r="D171" s="54"/>
      <c r="E171" s="54"/>
      <c r="F171" s="54"/>
    </row>
    <row r="172" spans="1:6" ht="12.75">
      <c r="A172" s="53"/>
      <c r="B172" s="54"/>
      <c r="C172" s="54"/>
      <c r="D172" s="54"/>
      <c r="E172" s="54"/>
      <c r="F172" s="54"/>
    </row>
    <row r="173" spans="1:6" ht="12.75">
      <c r="A173" s="53"/>
      <c r="B173" s="54"/>
      <c r="C173" s="54"/>
      <c r="D173" s="54"/>
      <c r="E173" s="54"/>
      <c r="F173" s="54"/>
    </row>
    <row r="174" spans="1:6" ht="12.75">
      <c r="A174" s="53"/>
      <c r="B174" s="54"/>
      <c r="C174" s="54"/>
      <c r="D174" s="54"/>
      <c r="E174" s="54"/>
      <c r="F174" s="54"/>
    </row>
    <row r="175" spans="1:6" ht="12.75">
      <c r="A175" s="53"/>
      <c r="B175" s="54"/>
      <c r="C175" s="54"/>
      <c r="D175" s="54"/>
      <c r="E175" s="54"/>
      <c r="F175" s="54"/>
    </row>
    <row r="176" spans="1:6" ht="12.75">
      <c r="A176" s="53"/>
      <c r="B176" s="54"/>
      <c r="C176" s="54"/>
      <c r="D176" s="54"/>
      <c r="E176" s="54"/>
      <c r="F176" s="54"/>
    </row>
    <row r="177" spans="1:6" ht="12.75">
      <c r="A177" s="53"/>
      <c r="B177" s="54"/>
      <c r="C177" s="54"/>
      <c r="D177" s="54"/>
      <c r="E177" s="54"/>
      <c r="F177" s="54"/>
    </row>
    <row r="178" spans="1:6" ht="12.75">
      <c r="A178" s="53"/>
      <c r="B178" s="54"/>
      <c r="C178" s="54"/>
      <c r="D178" s="54"/>
      <c r="E178" s="54"/>
      <c r="F178" s="54"/>
    </row>
    <row r="179" spans="1:6" ht="12.75">
      <c r="A179" s="53"/>
      <c r="B179" s="54"/>
      <c r="C179" s="54"/>
      <c r="D179" s="54"/>
      <c r="E179" s="54"/>
      <c r="F179" s="54"/>
    </row>
    <row r="180" spans="1:6" ht="12.75">
      <c r="A180" s="53"/>
      <c r="B180" s="54"/>
      <c r="C180" s="54"/>
      <c r="D180" s="54"/>
      <c r="E180" s="54"/>
      <c r="F180" s="54"/>
    </row>
    <row r="181" spans="1:6" ht="12.75">
      <c r="A181" s="53"/>
      <c r="B181" s="54"/>
      <c r="C181" s="54"/>
      <c r="D181" s="54"/>
      <c r="E181" s="54"/>
      <c r="F181" s="54"/>
    </row>
    <row r="182" spans="1:6" ht="12.75">
      <c r="A182" s="53"/>
      <c r="B182" s="54"/>
      <c r="C182" s="54"/>
      <c r="D182" s="54"/>
      <c r="E182" s="54"/>
      <c r="F182" s="54"/>
    </row>
    <row r="183" spans="1:6" ht="12.75">
      <c r="A183" s="53"/>
      <c r="B183" s="54"/>
      <c r="C183" s="54"/>
      <c r="D183" s="54"/>
      <c r="E183" s="54"/>
      <c r="F183" s="54"/>
    </row>
    <row r="184" spans="1:6" ht="12.75">
      <c r="A184" s="53"/>
      <c r="B184" s="54"/>
      <c r="C184" s="54"/>
      <c r="D184" s="54"/>
      <c r="E184" s="54"/>
      <c r="F184" s="54"/>
    </row>
    <row r="185" spans="1:6" ht="12.75">
      <c r="A185" s="53"/>
      <c r="B185" s="54"/>
      <c r="C185" s="54"/>
      <c r="D185" s="54"/>
      <c r="E185" s="54"/>
      <c r="F185" s="54"/>
    </row>
    <row r="186" spans="1:6" ht="12.75">
      <c r="A186" s="53"/>
      <c r="B186" s="54"/>
      <c r="C186" s="54"/>
      <c r="D186" s="54"/>
      <c r="E186" s="54"/>
      <c r="F186" s="54"/>
    </row>
    <row r="187" spans="1:7" ht="12.75">
      <c r="A187" s="53"/>
      <c r="B187" s="54"/>
      <c r="C187" s="54"/>
      <c r="D187" s="54"/>
      <c r="E187" s="54"/>
      <c r="F187" s="54"/>
      <c r="G187" s="52"/>
    </row>
    <row r="188" spans="1:6" ht="12.75">
      <c r="A188" s="53"/>
      <c r="B188" s="54"/>
      <c r="C188" s="54"/>
      <c r="D188" s="54"/>
      <c r="E188" s="54"/>
      <c r="F188" s="54"/>
    </row>
    <row r="189" spans="1:6" ht="12.75">
      <c r="A189" s="53"/>
      <c r="B189" s="54"/>
      <c r="C189" s="54"/>
      <c r="D189" s="54"/>
      <c r="E189" s="54"/>
      <c r="F189" s="54"/>
    </row>
    <row r="190" spans="1:6" ht="12.75">
      <c r="A190" s="53"/>
      <c r="B190" s="54"/>
      <c r="C190" s="54"/>
      <c r="D190" s="54"/>
      <c r="E190" s="54"/>
      <c r="F190" s="54"/>
    </row>
    <row r="191" spans="1:6" ht="12.75">
      <c r="A191" s="53"/>
      <c r="B191" s="54"/>
      <c r="C191" s="54"/>
      <c r="D191" s="54"/>
      <c r="E191" s="54"/>
      <c r="F191" s="54"/>
    </row>
    <row r="192" spans="1:6" ht="12.75">
      <c r="A192" s="53"/>
      <c r="B192" s="54"/>
      <c r="C192" s="54"/>
      <c r="D192" s="54"/>
      <c r="E192" s="54"/>
      <c r="F192" s="54"/>
    </row>
    <row r="193" spans="1:6" ht="12.75">
      <c r="A193" s="53"/>
      <c r="B193" s="54"/>
      <c r="C193" s="54"/>
      <c r="D193" s="54"/>
      <c r="E193" s="54"/>
      <c r="F193" s="54"/>
    </row>
    <row r="194" spans="1:6" ht="12.75">
      <c r="A194" s="53"/>
      <c r="B194" s="54"/>
      <c r="C194" s="54"/>
      <c r="D194" s="54"/>
      <c r="E194" s="54"/>
      <c r="F194" s="54"/>
    </row>
    <row r="195" spans="1:6" ht="12.75">
      <c r="A195" s="53"/>
      <c r="B195" s="54"/>
      <c r="C195" s="54"/>
      <c r="D195" s="54"/>
      <c r="E195" s="54"/>
      <c r="F195" s="54"/>
    </row>
    <row r="196" spans="1:6" ht="12.75">
      <c r="A196" s="53"/>
      <c r="B196" s="54"/>
      <c r="C196" s="54"/>
      <c r="D196" s="54"/>
      <c r="E196" s="54"/>
      <c r="F196" s="54"/>
    </row>
    <row r="197" spans="1:6" ht="12.75">
      <c r="A197" s="53"/>
      <c r="B197" s="54"/>
      <c r="C197" s="54"/>
      <c r="D197" s="54"/>
      <c r="E197" s="54"/>
      <c r="F197" s="54"/>
    </row>
    <row r="198" spans="1:6" ht="12.75">
      <c r="A198" s="53"/>
      <c r="B198" s="54"/>
      <c r="C198" s="54"/>
      <c r="D198" s="54"/>
      <c r="E198" s="54"/>
      <c r="F198" s="54"/>
    </row>
    <row r="199" spans="1:6" ht="12.75">
      <c r="A199" s="53"/>
      <c r="B199" s="54"/>
      <c r="C199" s="54"/>
      <c r="D199" s="54"/>
      <c r="E199" s="54"/>
      <c r="F199" s="54"/>
    </row>
    <row r="200" spans="1:6" ht="12.75">
      <c r="A200" s="53"/>
      <c r="B200" s="54"/>
      <c r="C200" s="54"/>
      <c r="D200" s="54"/>
      <c r="E200" s="54"/>
      <c r="F200" s="54"/>
    </row>
    <row r="201" spans="1:6" ht="12.75">
      <c r="A201" s="53"/>
      <c r="B201" s="54"/>
      <c r="C201" s="54"/>
      <c r="D201" s="54"/>
      <c r="E201" s="54"/>
      <c r="F201" s="54"/>
    </row>
    <row r="202" spans="1:6" ht="12.75">
      <c r="A202" s="53"/>
      <c r="B202" s="54"/>
      <c r="C202" s="54"/>
      <c r="D202" s="54"/>
      <c r="E202" s="54"/>
      <c r="F202" s="54"/>
    </row>
    <row r="203" spans="1:6" ht="12.75">
      <c r="A203" s="53"/>
      <c r="B203" s="54"/>
      <c r="C203" s="54"/>
      <c r="D203" s="54"/>
      <c r="E203" s="54"/>
      <c r="F203" s="54"/>
    </row>
    <row r="204" spans="1:6" ht="12.75">
      <c r="A204" s="53"/>
      <c r="B204" s="54"/>
      <c r="C204" s="54"/>
      <c r="D204" s="54"/>
      <c r="E204" s="54"/>
      <c r="F204" s="54"/>
    </row>
    <row r="205" spans="1:6" ht="12.75">
      <c r="A205" s="53"/>
      <c r="B205" s="54"/>
      <c r="C205" s="54"/>
      <c r="D205" s="54"/>
      <c r="E205" s="54"/>
      <c r="F205" s="54"/>
    </row>
    <row r="206" spans="1:6" ht="12.75">
      <c r="A206" s="53"/>
      <c r="B206" s="54"/>
      <c r="C206" s="54"/>
      <c r="D206" s="54"/>
      <c r="E206" s="54"/>
      <c r="F206" s="54"/>
    </row>
    <row r="207" spans="1:6" ht="12.75">
      <c r="A207" s="53"/>
      <c r="B207" s="54"/>
      <c r="C207" s="54"/>
      <c r="D207" s="54"/>
      <c r="E207" s="54"/>
      <c r="F207" s="54"/>
    </row>
    <row r="208" spans="1:6" ht="12.75">
      <c r="A208" s="53"/>
      <c r="B208" s="54"/>
      <c r="C208" s="54"/>
      <c r="D208" s="54"/>
      <c r="E208" s="54"/>
      <c r="F208" s="54"/>
    </row>
    <row r="209" spans="1:6" ht="12.75">
      <c r="A209" s="53"/>
      <c r="B209" s="54"/>
      <c r="C209" s="54"/>
      <c r="D209" s="54"/>
      <c r="E209" s="54"/>
      <c r="F209" s="54"/>
    </row>
    <row r="210" spans="1:6" ht="12.75">
      <c r="A210" s="53"/>
      <c r="B210" s="54"/>
      <c r="C210" s="54"/>
      <c r="D210" s="54"/>
      <c r="E210" s="54"/>
      <c r="F210" s="54"/>
    </row>
    <row r="211" spans="1:6" ht="12.75">
      <c r="A211" s="53"/>
      <c r="B211" s="54"/>
      <c r="C211" s="54"/>
      <c r="D211" s="54"/>
      <c r="E211" s="54"/>
      <c r="F211" s="54"/>
    </row>
    <row r="212" spans="1:6" ht="12.75">
      <c r="A212" s="53"/>
      <c r="B212" s="54"/>
      <c r="C212" s="54"/>
      <c r="D212" s="54"/>
      <c r="E212" s="54"/>
      <c r="F212" s="54"/>
    </row>
    <row r="213" spans="1:7" ht="12.75">
      <c r="A213" s="53"/>
      <c r="B213" s="54"/>
      <c r="C213" s="54"/>
      <c r="D213" s="54"/>
      <c r="E213" s="54"/>
      <c r="F213" s="54"/>
      <c r="G213" s="52"/>
    </row>
    <row r="214" spans="1:6" ht="12.75">
      <c r="A214" s="53"/>
      <c r="B214" s="54"/>
      <c r="C214" s="54"/>
      <c r="D214" s="54"/>
      <c r="E214" s="54"/>
      <c r="F214" s="54"/>
    </row>
    <row r="215" spans="1:6" ht="12.75">
      <c r="A215" s="53"/>
      <c r="B215" s="54"/>
      <c r="C215" s="54"/>
      <c r="D215" s="54"/>
      <c r="E215" s="54"/>
      <c r="F215" s="54"/>
    </row>
    <row r="216" spans="1:6" ht="12.75">
      <c r="A216" s="53"/>
      <c r="B216" s="54"/>
      <c r="C216" s="54"/>
      <c r="D216" s="54"/>
      <c r="E216" s="54"/>
      <c r="F216" s="54"/>
    </row>
    <row r="217" spans="1:6" ht="12.75">
      <c r="A217" s="53"/>
      <c r="B217" s="54"/>
      <c r="C217" s="54"/>
      <c r="D217" s="54"/>
      <c r="E217" s="54"/>
      <c r="F217" s="54"/>
    </row>
    <row r="218" spans="1:6" ht="12.75">
      <c r="A218" s="53"/>
      <c r="B218" s="54"/>
      <c r="C218" s="54"/>
      <c r="D218" s="54"/>
      <c r="E218" s="54"/>
      <c r="F218" s="54"/>
    </row>
    <row r="219" spans="1:6" ht="12.75">
      <c r="A219" s="53"/>
      <c r="B219" s="54"/>
      <c r="C219" s="54"/>
      <c r="D219" s="54"/>
      <c r="E219" s="54"/>
      <c r="F219" s="54"/>
    </row>
    <row r="220" spans="1:6" ht="12.75">
      <c r="A220" s="53"/>
      <c r="B220" s="54"/>
      <c r="C220" s="54"/>
      <c r="D220" s="54"/>
      <c r="E220" s="54"/>
      <c r="F220" s="54"/>
    </row>
    <row r="221" spans="1:6" ht="12.75">
      <c r="A221" s="53"/>
      <c r="B221" s="54"/>
      <c r="C221" s="54"/>
      <c r="D221" s="54"/>
      <c r="E221" s="54"/>
      <c r="F221" s="54"/>
    </row>
    <row r="222" spans="1:6" ht="12.75">
      <c r="A222" s="53"/>
      <c r="B222" s="54"/>
      <c r="C222" s="54"/>
      <c r="D222" s="54"/>
      <c r="E222" s="54"/>
      <c r="F222" s="54"/>
    </row>
    <row r="223" spans="1:6" ht="12.75">
      <c r="A223" s="53"/>
      <c r="B223" s="54"/>
      <c r="C223" s="54"/>
      <c r="D223" s="54"/>
      <c r="E223" s="54"/>
      <c r="F223" s="54"/>
    </row>
    <row r="224" spans="1:6" ht="12.75">
      <c r="A224" s="53"/>
      <c r="B224" s="54"/>
      <c r="C224" s="54"/>
      <c r="D224" s="54"/>
      <c r="E224" s="54"/>
      <c r="F224" s="54"/>
    </row>
    <row r="225" spans="1:6" ht="12.75">
      <c r="A225" s="53"/>
      <c r="B225" s="54"/>
      <c r="C225" s="54"/>
      <c r="D225" s="54"/>
      <c r="E225" s="54"/>
      <c r="F225" s="54"/>
    </row>
    <row r="226" spans="1:6" ht="12.75">
      <c r="A226" s="53"/>
      <c r="B226" s="54"/>
      <c r="C226" s="54"/>
      <c r="D226" s="54"/>
      <c r="E226" s="54"/>
      <c r="F226" s="54"/>
    </row>
    <row r="227" spans="1:6" ht="12.75">
      <c r="A227" s="53"/>
      <c r="B227" s="54"/>
      <c r="C227" s="54"/>
      <c r="D227" s="54"/>
      <c r="E227" s="54"/>
      <c r="F227" s="54"/>
    </row>
    <row r="228" spans="1:6" ht="12.75">
      <c r="A228" s="53"/>
      <c r="B228" s="54"/>
      <c r="C228" s="54"/>
      <c r="D228" s="54"/>
      <c r="E228" s="54"/>
      <c r="F228" s="54"/>
    </row>
    <row r="229" spans="1:6" ht="12.75">
      <c r="A229" s="53"/>
      <c r="B229" s="54"/>
      <c r="C229" s="54"/>
      <c r="D229" s="54"/>
      <c r="E229" s="54"/>
      <c r="F229" s="54"/>
    </row>
    <row r="230" spans="1:6" ht="12.75">
      <c r="A230" s="53"/>
      <c r="B230" s="54"/>
      <c r="C230" s="54"/>
      <c r="D230" s="54"/>
      <c r="E230" s="54"/>
      <c r="F230" s="54"/>
    </row>
    <row r="231" spans="1:6" ht="12.75">
      <c r="A231" s="53"/>
      <c r="B231" s="54"/>
      <c r="C231" s="54"/>
      <c r="D231" s="54"/>
      <c r="E231" s="54"/>
      <c r="F231" s="54"/>
    </row>
    <row r="232" spans="1:6" ht="12.75">
      <c r="A232" s="53"/>
      <c r="B232" s="54"/>
      <c r="C232" s="54"/>
      <c r="D232" s="54"/>
      <c r="E232" s="54"/>
      <c r="F232" s="54"/>
    </row>
    <row r="233" spans="1:6" ht="12.75">
      <c r="A233" s="53"/>
      <c r="B233" s="54"/>
      <c r="C233" s="54"/>
      <c r="D233" s="54"/>
      <c r="E233" s="54"/>
      <c r="F233" s="54"/>
    </row>
    <row r="234" spans="1:6" ht="12.75">
      <c r="A234" s="53"/>
      <c r="B234" s="54"/>
      <c r="C234" s="54"/>
      <c r="D234" s="54"/>
      <c r="E234" s="54"/>
      <c r="F234" s="54"/>
    </row>
    <row r="235" spans="1:6" ht="12.75">
      <c r="A235" s="53"/>
      <c r="B235" s="54"/>
      <c r="C235" s="54"/>
      <c r="D235" s="54"/>
      <c r="E235" s="54"/>
      <c r="F235" s="54"/>
    </row>
    <row r="236" spans="1:6" ht="12.75">
      <c r="A236" s="53"/>
      <c r="B236" s="54"/>
      <c r="C236" s="54"/>
      <c r="D236" s="54"/>
      <c r="E236" s="54"/>
      <c r="F236" s="54"/>
    </row>
    <row r="237" spans="1:6" ht="12.75">
      <c r="A237" s="53"/>
      <c r="B237" s="54"/>
      <c r="C237" s="54"/>
      <c r="D237" s="54"/>
      <c r="E237" s="54"/>
      <c r="F237" s="54"/>
    </row>
    <row r="238" spans="1:6" ht="12.75">
      <c r="A238" s="53"/>
      <c r="B238" s="54"/>
      <c r="C238" s="54"/>
      <c r="D238" s="54"/>
      <c r="E238" s="54"/>
      <c r="F238" s="54"/>
    </row>
    <row r="239" spans="1:7" ht="12.75">
      <c r="A239" s="53"/>
      <c r="B239" s="54"/>
      <c r="C239" s="54"/>
      <c r="D239" s="54"/>
      <c r="E239" s="54"/>
      <c r="F239" s="54"/>
      <c r="G239" s="52"/>
    </row>
    <row r="240" spans="1:6" ht="12.75">
      <c r="A240" s="53"/>
      <c r="B240" s="54"/>
      <c r="C240" s="54"/>
      <c r="D240" s="54"/>
      <c r="E240" s="54"/>
      <c r="F240" s="54"/>
    </row>
    <row r="241" spans="1:6" ht="12.75">
      <c r="A241" s="53"/>
      <c r="B241" s="54"/>
      <c r="C241" s="54"/>
      <c r="D241" s="54"/>
      <c r="E241" s="54"/>
      <c r="F241" s="54"/>
    </row>
    <row r="242" spans="1:6" ht="12.75">
      <c r="A242" s="53"/>
      <c r="B242" s="54"/>
      <c r="C242" s="54"/>
      <c r="D242" s="54"/>
      <c r="E242" s="54"/>
      <c r="F242" s="54"/>
    </row>
    <row r="243" spans="1:6" ht="12.75">
      <c r="A243" s="53"/>
      <c r="B243" s="54"/>
      <c r="C243" s="54"/>
      <c r="D243" s="54"/>
      <c r="E243" s="54"/>
      <c r="F243" s="54"/>
    </row>
    <row r="244" spans="1:6" ht="12.75">
      <c r="A244" s="53"/>
      <c r="B244" s="54"/>
      <c r="C244" s="54"/>
      <c r="D244" s="54"/>
      <c r="E244" s="54"/>
      <c r="F244" s="54"/>
    </row>
    <row r="245" spans="1:6" ht="12.75">
      <c r="A245" s="53"/>
      <c r="B245" s="54"/>
      <c r="C245" s="54"/>
      <c r="D245" s="54"/>
      <c r="E245" s="54"/>
      <c r="F245" s="54"/>
    </row>
    <row r="246" spans="1:6" ht="12.75">
      <c r="A246" s="53"/>
      <c r="B246" s="54"/>
      <c r="C246" s="54"/>
      <c r="D246" s="54"/>
      <c r="E246" s="54"/>
      <c r="F246" s="54"/>
    </row>
    <row r="247" spans="1:6" ht="12.75">
      <c r="A247" s="53"/>
      <c r="B247" s="54"/>
      <c r="C247" s="54"/>
      <c r="D247" s="54"/>
      <c r="E247" s="54"/>
      <c r="F247" s="54"/>
    </row>
    <row r="248" spans="1:6" ht="12.75">
      <c r="A248" s="53"/>
      <c r="B248" s="54"/>
      <c r="C248" s="54"/>
      <c r="D248" s="54"/>
      <c r="E248" s="54"/>
      <c r="F248" s="54"/>
    </row>
    <row r="249" spans="1:6" ht="12.75">
      <c r="A249" s="53"/>
      <c r="B249" s="54"/>
      <c r="C249" s="54"/>
      <c r="D249" s="54"/>
      <c r="E249" s="54"/>
      <c r="F249" s="54"/>
    </row>
    <row r="250" spans="1:6" ht="12.75">
      <c r="A250" s="53"/>
      <c r="B250" s="54"/>
      <c r="C250" s="54"/>
      <c r="D250" s="54"/>
      <c r="E250" s="54"/>
      <c r="F250" s="54"/>
    </row>
    <row r="251" spans="1:6" ht="12.75">
      <c r="A251" s="53"/>
      <c r="B251" s="54"/>
      <c r="C251" s="54"/>
      <c r="D251" s="54"/>
      <c r="E251" s="54"/>
      <c r="F251" s="54"/>
    </row>
    <row r="252" spans="1:6" ht="12.75">
      <c r="A252" s="53"/>
      <c r="B252" s="54"/>
      <c r="C252" s="54"/>
      <c r="D252" s="54"/>
      <c r="E252" s="54"/>
      <c r="F252" s="54"/>
    </row>
    <row r="253" spans="1:6" ht="12.75">
      <c r="A253" s="53"/>
      <c r="B253" s="54"/>
      <c r="C253" s="54"/>
      <c r="D253" s="54"/>
      <c r="E253" s="54"/>
      <c r="F253" s="54"/>
    </row>
    <row r="254" spans="1:6" ht="12.75">
      <c r="A254" s="53"/>
      <c r="B254" s="54"/>
      <c r="C254" s="54"/>
      <c r="D254" s="54"/>
      <c r="E254" s="54"/>
      <c r="F254" s="54"/>
    </row>
    <row r="255" spans="1:6" ht="12.75">
      <c r="A255" s="53"/>
      <c r="B255" s="54"/>
      <c r="C255" s="54"/>
      <c r="D255" s="54"/>
      <c r="E255" s="54"/>
      <c r="F255" s="54"/>
    </row>
    <row r="256" spans="1:6" ht="12.75">
      <c r="A256" s="53"/>
      <c r="B256" s="54"/>
      <c r="C256" s="54"/>
      <c r="D256" s="54"/>
      <c r="E256" s="54"/>
      <c r="F256" s="54"/>
    </row>
    <row r="257" spans="1:6" ht="12.75">
      <c r="A257" s="53"/>
      <c r="B257" s="54"/>
      <c r="C257" s="54"/>
      <c r="D257" s="54"/>
      <c r="E257" s="54"/>
      <c r="F257" s="54"/>
    </row>
    <row r="258" spans="1:6" ht="12.75">
      <c r="A258" s="53"/>
      <c r="B258" s="54"/>
      <c r="C258" s="54"/>
      <c r="D258" s="54"/>
      <c r="E258" s="54"/>
      <c r="F258" s="54"/>
    </row>
    <row r="259" spans="1:6" ht="12.75">
      <c r="A259" s="53"/>
      <c r="B259" s="54"/>
      <c r="C259" s="54"/>
      <c r="D259" s="54"/>
      <c r="E259" s="54"/>
      <c r="F259" s="54"/>
    </row>
    <row r="260" spans="1:6" ht="12.75">
      <c r="A260" s="53"/>
      <c r="B260" s="54"/>
      <c r="C260" s="54"/>
      <c r="D260" s="54"/>
      <c r="E260" s="54"/>
      <c r="F260" s="54"/>
    </row>
    <row r="261" spans="1:6" ht="12.75">
      <c r="A261" s="53"/>
      <c r="B261" s="54"/>
      <c r="C261" s="54"/>
      <c r="D261" s="54"/>
      <c r="E261" s="54"/>
      <c r="F261" s="54"/>
    </row>
    <row r="262" spans="1:6" ht="12.75">
      <c r="A262" s="53"/>
      <c r="B262" s="54"/>
      <c r="C262" s="54"/>
      <c r="D262" s="54"/>
      <c r="E262" s="54"/>
      <c r="F262" s="54"/>
    </row>
    <row r="263" spans="1:6" ht="12.75">
      <c r="A263" s="53"/>
      <c r="B263" s="54"/>
      <c r="C263" s="54"/>
      <c r="D263" s="54"/>
      <c r="E263" s="54"/>
      <c r="F263" s="54"/>
    </row>
    <row r="264" spans="1:6" ht="12.75">
      <c r="A264" s="53"/>
      <c r="B264" s="54"/>
      <c r="C264" s="54"/>
      <c r="D264" s="54"/>
      <c r="E264" s="54"/>
      <c r="F264" s="54"/>
    </row>
    <row r="265" spans="1:7" ht="12.75">
      <c r="A265" s="53"/>
      <c r="B265" s="54"/>
      <c r="C265" s="54"/>
      <c r="D265" s="54"/>
      <c r="E265" s="54"/>
      <c r="F265" s="54"/>
      <c r="G265" s="52"/>
    </row>
    <row r="266" spans="1:6" ht="12.75">
      <c r="A266" s="53"/>
      <c r="B266" s="54"/>
      <c r="C266" s="54"/>
      <c r="D266" s="54"/>
      <c r="E266" s="54"/>
      <c r="F266" s="54"/>
    </row>
    <row r="267" spans="1:6" ht="12.75">
      <c r="A267" s="53"/>
      <c r="B267" s="54"/>
      <c r="C267" s="54"/>
      <c r="D267" s="54"/>
      <c r="E267" s="54"/>
      <c r="F267" s="54"/>
    </row>
    <row r="268" spans="1:6" ht="12.75">
      <c r="A268" s="53"/>
      <c r="B268" s="54"/>
      <c r="C268" s="54"/>
      <c r="D268" s="54"/>
      <c r="E268" s="54"/>
      <c r="F268" s="54"/>
    </row>
    <row r="269" spans="1:6" ht="12.75">
      <c r="A269" s="53"/>
      <c r="B269" s="54"/>
      <c r="C269" s="54"/>
      <c r="D269" s="54"/>
      <c r="E269" s="54"/>
      <c r="F269" s="54"/>
    </row>
    <row r="270" spans="1:6" ht="12.75">
      <c r="A270" s="53"/>
      <c r="B270" s="54"/>
      <c r="C270" s="54"/>
      <c r="D270" s="54"/>
      <c r="E270" s="54"/>
      <c r="F270" s="54"/>
    </row>
    <row r="271" spans="1:6" ht="12.75">
      <c r="A271" s="53"/>
      <c r="B271" s="54"/>
      <c r="C271" s="54"/>
      <c r="D271" s="54"/>
      <c r="E271" s="54"/>
      <c r="F271" s="54"/>
    </row>
    <row r="272" spans="1:6" ht="12.75">
      <c r="A272" s="53"/>
      <c r="B272" s="54"/>
      <c r="C272" s="54"/>
      <c r="D272" s="54"/>
      <c r="E272" s="54"/>
      <c r="F272" s="54"/>
    </row>
    <row r="273" spans="1:6" ht="12.75">
      <c r="A273" s="53"/>
      <c r="B273" s="54"/>
      <c r="C273" s="54"/>
      <c r="D273" s="54"/>
      <c r="E273" s="54"/>
      <c r="F273" s="54"/>
    </row>
    <row r="274" spans="1:6" ht="12.75">
      <c r="A274" s="53"/>
      <c r="B274" s="54"/>
      <c r="C274" s="54"/>
      <c r="D274" s="54"/>
      <c r="E274" s="54"/>
      <c r="F274" s="54"/>
    </row>
    <row r="275" spans="1:6" ht="12.75">
      <c r="A275" s="53"/>
      <c r="B275" s="54"/>
      <c r="C275" s="54"/>
      <c r="D275" s="54"/>
      <c r="E275" s="54"/>
      <c r="F275" s="54"/>
    </row>
    <row r="276" spans="1:6" ht="12.75">
      <c r="A276" s="53"/>
      <c r="B276" s="54"/>
      <c r="C276" s="54"/>
      <c r="D276" s="54"/>
      <c r="E276" s="54"/>
      <c r="F276" s="54"/>
    </row>
    <row r="277" spans="1:6" ht="12.75">
      <c r="A277" s="53"/>
      <c r="B277" s="54"/>
      <c r="C277" s="54"/>
      <c r="D277" s="54"/>
      <c r="E277" s="54"/>
      <c r="F277" s="54"/>
    </row>
    <row r="278" spans="1:6" ht="12.75">
      <c r="A278" s="53"/>
      <c r="B278" s="54"/>
      <c r="C278" s="54"/>
      <c r="D278" s="54"/>
      <c r="E278" s="54"/>
      <c r="F278" s="54"/>
    </row>
    <row r="279" spans="1:6" ht="12.75">
      <c r="A279" s="53"/>
      <c r="B279" s="54"/>
      <c r="C279" s="54"/>
      <c r="D279" s="54"/>
      <c r="E279" s="54"/>
      <c r="F279" s="54"/>
    </row>
    <row r="280" spans="1:6" ht="12.75">
      <c r="A280" s="53"/>
      <c r="B280" s="54"/>
      <c r="C280" s="54"/>
      <c r="D280" s="54"/>
      <c r="E280" s="54"/>
      <c r="F280" s="54"/>
    </row>
    <row r="281" spans="1:6" ht="12.75">
      <c r="A281" s="53"/>
      <c r="B281" s="54"/>
      <c r="C281" s="54"/>
      <c r="D281" s="54"/>
      <c r="E281" s="54"/>
      <c r="F281" s="54"/>
    </row>
    <row r="282" spans="1:6" ht="12.75">
      <c r="A282" s="53"/>
      <c r="B282" s="54"/>
      <c r="C282" s="54"/>
      <c r="D282" s="54"/>
      <c r="E282" s="54"/>
      <c r="F282" s="54"/>
    </row>
    <row r="283" spans="1:6" ht="12.75">
      <c r="A283" s="53"/>
      <c r="B283" s="54"/>
      <c r="C283" s="54"/>
      <c r="D283" s="54"/>
      <c r="E283" s="54"/>
      <c r="F283" s="54"/>
    </row>
    <row r="284" spans="1:6" ht="12.75">
      <c r="A284" s="53"/>
      <c r="B284" s="54"/>
      <c r="C284" s="54"/>
      <c r="D284" s="54"/>
      <c r="E284" s="54"/>
      <c r="F284" s="54"/>
    </row>
    <row r="285" spans="1:6" ht="12.75">
      <c r="A285" s="53"/>
      <c r="B285" s="54"/>
      <c r="C285" s="54"/>
      <c r="D285" s="54"/>
      <c r="E285" s="54"/>
      <c r="F285" s="54"/>
    </row>
    <row r="286" spans="1:6" ht="12.75">
      <c r="A286" s="53"/>
      <c r="B286" s="54"/>
      <c r="C286" s="54"/>
      <c r="D286" s="54"/>
      <c r="E286" s="54"/>
      <c r="F286" s="54"/>
    </row>
    <row r="287" spans="1:6" ht="12.75">
      <c r="A287" s="53"/>
      <c r="B287" s="54"/>
      <c r="C287" s="54"/>
      <c r="D287" s="54"/>
      <c r="E287" s="54"/>
      <c r="F287" s="54"/>
    </row>
    <row r="288" spans="1:6" ht="12.75">
      <c r="A288" s="53"/>
      <c r="B288" s="54"/>
      <c r="C288" s="54"/>
      <c r="D288" s="54"/>
      <c r="E288" s="54"/>
      <c r="F288" s="54"/>
    </row>
    <row r="289" spans="1:6" ht="12.75">
      <c r="A289" s="53"/>
      <c r="B289" s="54"/>
      <c r="C289" s="54"/>
      <c r="D289" s="54"/>
      <c r="E289" s="54"/>
      <c r="F289" s="54"/>
    </row>
    <row r="290" spans="1:6" ht="12.75">
      <c r="A290" s="53"/>
      <c r="B290" s="54"/>
      <c r="C290" s="54"/>
      <c r="D290" s="54"/>
      <c r="E290" s="54"/>
      <c r="F290" s="54"/>
    </row>
    <row r="291" spans="1:7" ht="12.75">
      <c r="A291" s="53"/>
      <c r="B291" s="54"/>
      <c r="C291" s="54"/>
      <c r="D291" s="54"/>
      <c r="E291" s="54"/>
      <c r="F291" s="54"/>
      <c r="G291" s="52"/>
    </row>
    <row r="292" spans="1:6" ht="12.75">
      <c r="A292" s="53"/>
      <c r="B292" s="54"/>
      <c r="C292" s="54"/>
      <c r="D292" s="54"/>
      <c r="E292" s="54"/>
      <c r="F292" s="54"/>
    </row>
    <row r="293" spans="1:6" ht="12.75">
      <c r="A293" s="53"/>
      <c r="B293" s="54"/>
      <c r="C293" s="54"/>
      <c r="D293" s="54"/>
      <c r="E293" s="54"/>
      <c r="F293" s="54"/>
    </row>
    <row r="294" spans="1:6" ht="12.75">
      <c r="A294" s="53"/>
      <c r="B294" s="54"/>
      <c r="C294" s="54"/>
      <c r="D294" s="54"/>
      <c r="E294" s="54"/>
      <c r="F294" s="54"/>
    </row>
    <row r="295" spans="1:6" ht="12.75">
      <c r="A295" s="53"/>
      <c r="B295" s="54"/>
      <c r="C295" s="54"/>
      <c r="D295" s="54"/>
      <c r="E295" s="54"/>
      <c r="F295" s="54"/>
    </row>
    <row r="296" spans="1:6" ht="12.75">
      <c r="A296" s="53"/>
      <c r="B296" s="54"/>
      <c r="C296" s="54"/>
      <c r="D296" s="54"/>
      <c r="E296" s="54"/>
      <c r="F296" s="54"/>
    </row>
    <row r="297" spans="1:6" ht="12.75">
      <c r="A297" s="53"/>
      <c r="B297" s="54"/>
      <c r="C297" s="54"/>
      <c r="D297" s="54"/>
      <c r="E297" s="54"/>
      <c r="F297" s="54"/>
    </row>
    <row r="298" spans="1:6" ht="12.75">
      <c r="A298" s="53"/>
      <c r="B298" s="54"/>
      <c r="C298" s="54"/>
      <c r="D298" s="54"/>
      <c r="E298" s="54"/>
      <c r="F298" s="54"/>
    </row>
    <row r="299" spans="1:6" ht="12.75">
      <c r="A299" s="53"/>
      <c r="B299" s="54"/>
      <c r="C299" s="54"/>
      <c r="D299" s="54"/>
      <c r="E299" s="54"/>
      <c r="F299" s="54"/>
    </row>
    <row r="300" spans="1:6" ht="12.75">
      <c r="A300" s="53"/>
      <c r="B300" s="54"/>
      <c r="C300" s="54"/>
      <c r="D300" s="54"/>
      <c r="E300" s="54"/>
      <c r="F300" s="54"/>
    </row>
    <row r="301" spans="1:6" ht="12.75">
      <c r="A301" s="53"/>
      <c r="B301" s="54"/>
      <c r="C301" s="54"/>
      <c r="D301" s="54"/>
      <c r="E301" s="54"/>
      <c r="F301" s="54"/>
    </row>
    <row r="302" spans="1:6" ht="12.75">
      <c r="A302" s="53"/>
      <c r="B302" s="54"/>
      <c r="C302" s="54"/>
      <c r="D302" s="54"/>
      <c r="E302" s="54"/>
      <c r="F302" s="54"/>
    </row>
    <row r="303" spans="1:6" ht="12.75">
      <c r="A303" s="53"/>
      <c r="B303" s="54"/>
      <c r="C303" s="54"/>
      <c r="D303" s="54"/>
      <c r="E303" s="54"/>
      <c r="F303" s="54"/>
    </row>
    <row r="304" spans="1:6" ht="12.75">
      <c r="A304" s="53"/>
      <c r="B304" s="54"/>
      <c r="C304" s="54"/>
      <c r="D304" s="54"/>
      <c r="E304" s="54"/>
      <c r="F304" s="54"/>
    </row>
    <row r="305" spans="1:6" ht="12.75">
      <c r="A305" s="53"/>
      <c r="B305" s="54"/>
      <c r="C305" s="54"/>
      <c r="D305" s="54"/>
      <c r="E305" s="54"/>
      <c r="F305" s="54"/>
    </row>
    <row r="306" spans="1:6" ht="12.75">
      <c r="A306" s="53"/>
      <c r="B306" s="54"/>
      <c r="C306" s="54"/>
      <c r="D306" s="54"/>
      <c r="E306" s="54"/>
      <c r="F306" s="54"/>
    </row>
    <row r="307" spans="1:6" ht="12.75">
      <c r="A307" s="53"/>
      <c r="B307" s="54"/>
      <c r="C307" s="54"/>
      <c r="D307" s="54"/>
      <c r="E307" s="54"/>
      <c r="F307" s="54"/>
    </row>
    <row r="308" spans="1:6" ht="12.75">
      <c r="A308" s="53"/>
      <c r="B308" s="54"/>
      <c r="C308" s="54"/>
      <c r="D308" s="54"/>
      <c r="E308" s="54"/>
      <c r="F308" s="54"/>
    </row>
    <row r="309" spans="1:6" ht="12.75">
      <c r="A309" s="53"/>
      <c r="B309" s="54"/>
      <c r="C309" s="54"/>
      <c r="D309" s="54"/>
      <c r="E309" s="54"/>
      <c r="F309" s="54"/>
    </row>
    <row r="310" spans="1:6" ht="12.75">
      <c r="A310" s="53"/>
      <c r="B310" s="54"/>
      <c r="C310" s="54"/>
      <c r="D310" s="54"/>
      <c r="E310" s="54"/>
      <c r="F310" s="54"/>
    </row>
    <row r="311" spans="1:6" ht="12.75">
      <c r="A311" s="53"/>
      <c r="B311" s="54"/>
      <c r="C311" s="54"/>
      <c r="D311" s="54"/>
      <c r="E311" s="54"/>
      <c r="F311" s="54"/>
    </row>
    <row r="312" spans="1:6" ht="12.75">
      <c r="A312" s="53"/>
      <c r="B312" s="54"/>
      <c r="C312" s="54"/>
      <c r="D312" s="54"/>
      <c r="E312" s="54"/>
      <c r="F312" s="54"/>
    </row>
    <row r="313" spans="1:6" ht="12.75">
      <c r="A313" s="53"/>
      <c r="B313" s="54"/>
      <c r="C313" s="54"/>
      <c r="D313" s="54"/>
      <c r="E313" s="54"/>
      <c r="F313" s="54"/>
    </row>
    <row r="314" spans="1:6" ht="12.75">
      <c r="A314" s="53"/>
      <c r="B314" s="54"/>
      <c r="C314" s="54"/>
      <c r="D314" s="54"/>
      <c r="E314" s="54"/>
      <c r="F314" s="54"/>
    </row>
    <row r="315" spans="1:6" ht="12.75">
      <c r="A315" s="53"/>
      <c r="B315" s="54"/>
      <c r="C315" s="54"/>
      <c r="D315" s="54"/>
      <c r="E315" s="54"/>
      <c r="F315" s="54"/>
    </row>
    <row r="316" spans="1:6" ht="12.75">
      <c r="A316" s="53"/>
      <c r="B316" s="54"/>
      <c r="C316" s="54"/>
      <c r="D316" s="54"/>
      <c r="E316" s="54"/>
      <c r="F316" s="54"/>
    </row>
    <row r="317" spans="1:7" ht="12.75">
      <c r="A317" s="53"/>
      <c r="B317" s="54"/>
      <c r="C317" s="54"/>
      <c r="D317" s="54"/>
      <c r="E317" s="54"/>
      <c r="F317" s="54"/>
      <c r="G317" s="52"/>
    </row>
    <row r="318" spans="1:6" ht="12.75">
      <c r="A318" s="53"/>
      <c r="B318" s="54"/>
      <c r="C318" s="54"/>
      <c r="D318" s="54"/>
      <c r="E318" s="54"/>
      <c r="F318" s="54"/>
    </row>
    <row r="319" spans="1:6" ht="12.75">
      <c r="A319" s="53"/>
      <c r="B319" s="54"/>
      <c r="C319" s="54"/>
      <c r="D319" s="54"/>
      <c r="E319" s="54"/>
      <c r="F319" s="54"/>
    </row>
    <row r="320" spans="1:6" ht="12.75">
      <c r="A320" s="53"/>
      <c r="B320" s="54"/>
      <c r="C320" s="54"/>
      <c r="D320" s="54"/>
      <c r="E320" s="54"/>
      <c r="F320" s="54"/>
    </row>
    <row r="321" spans="1:6" ht="12.75">
      <c r="A321" s="53"/>
      <c r="B321" s="54"/>
      <c r="C321" s="54"/>
      <c r="D321" s="54"/>
      <c r="E321" s="54"/>
      <c r="F321" s="54"/>
    </row>
    <row r="322" spans="1:6" ht="12.75">
      <c r="A322" s="53"/>
      <c r="B322" s="54"/>
      <c r="C322" s="54"/>
      <c r="D322" s="54"/>
      <c r="E322" s="54"/>
      <c r="F322" s="54"/>
    </row>
    <row r="323" spans="1:6" ht="12.75">
      <c r="A323" s="53"/>
      <c r="B323" s="54"/>
      <c r="C323" s="54"/>
      <c r="D323" s="54"/>
      <c r="E323" s="54"/>
      <c r="F323" s="54"/>
    </row>
    <row r="324" spans="1:6" ht="12.75">
      <c r="A324" s="53"/>
      <c r="B324" s="54"/>
      <c r="C324" s="54"/>
      <c r="D324" s="54"/>
      <c r="E324" s="54"/>
      <c r="F324" s="54"/>
    </row>
    <row r="325" spans="1:6" ht="12.75">
      <c r="A325" s="53"/>
      <c r="B325" s="54"/>
      <c r="C325" s="54"/>
      <c r="D325" s="54"/>
      <c r="E325" s="54"/>
      <c r="F325" s="54"/>
    </row>
    <row r="326" spans="1:6" ht="12.75">
      <c r="A326" s="53"/>
      <c r="B326" s="54"/>
      <c r="C326" s="54"/>
      <c r="D326" s="54"/>
      <c r="E326" s="54"/>
      <c r="F326" s="54"/>
    </row>
    <row r="327" spans="1:6" ht="12.75">
      <c r="A327" s="53"/>
      <c r="B327" s="54"/>
      <c r="C327" s="54"/>
      <c r="D327" s="54"/>
      <c r="E327" s="54"/>
      <c r="F327" s="54"/>
    </row>
    <row r="328" spans="1:6" ht="12.75">
      <c r="A328" s="53"/>
      <c r="B328" s="54"/>
      <c r="C328" s="54"/>
      <c r="D328" s="54"/>
      <c r="E328" s="54"/>
      <c r="F328" s="54"/>
    </row>
    <row r="329" spans="1:6" ht="12.75">
      <c r="A329" s="53"/>
      <c r="B329" s="54"/>
      <c r="C329" s="54"/>
      <c r="D329" s="54"/>
      <c r="E329" s="54"/>
      <c r="F329" s="54"/>
    </row>
    <row r="330" spans="1:6" ht="12.75">
      <c r="A330" s="53"/>
      <c r="B330" s="54"/>
      <c r="C330" s="54"/>
      <c r="D330" s="54"/>
      <c r="E330" s="54"/>
      <c r="F330" s="54"/>
    </row>
    <row r="331" spans="1:6" ht="12.75">
      <c r="A331" s="53"/>
      <c r="B331" s="54"/>
      <c r="C331" s="54"/>
      <c r="D331" s="54"/>
      <c r="E331" s="54"/>
      <c r="F331" s="54"/>
    </row>
    <row r="332" spans="1:6" ht="12.75">
      <c r="A332" s="53"/>
      <c r="B332" s="54"/>
      <c r="C332" s="54"/>
      <c r="D332" s="54"/>
      <c r="E332" s="54"/>
      <c r="F332" s="54"/>
    </row>
    <row r="333" spans="1:6" ht="12.75">
      <c r="A333" s="53"/>
      <c r="B333" s="54"/>
      <c r="C333" s="54"/>
      <c r="D333" s="54"/>
      <c r="E333" s="54"/>
      <c r="F333" s="54"/>
    </row>
    <row r="334" spans="1:6" ht="12.75">
      <c r="A334" s="53"/>
      <c r="B334" s="54"/>
      <c r="C334" s="54"/>
      <c r="D334" s="54"/>
      <c r="E334" s="54"/>
      <c r="F334" s="54"/>
    </row>
    <row r="335" spans="1:6" ht="12.75">
      <c r="A335" s="53"/>
      <c r="B335" s="54"/>
      <c r="C335" s="54"/>
      <c r="D335" s="54"/>
      <c r="E335" s="54"/>
      <c r="F335" s="54"/>
    </row>
    <row r="336" spans="1:6" ht="12.75">
      <c r="A336" s="53"/>
      <c r="B336" s="54"/>
      <c r="C336" s="54"/>
      <c r="D336" s="54"/>
      <c r="E336" s="54"/>
      <c r="F336" s="54"/>
    </row>
    <row r="337" spans="1:6" ht="12.75">
      <c r="A337" s="53"/>
      <c r="B337" s="54"/>
      <c r="C337" s="54"/>
      <c r="D337" s="54"/>
      <c r="E337" s="54"/>
      <c r="F337" s="54"/>
    </row>
    <row r="338" spans="1:6" ht="12.75">
      <c r="A338" s="53"/>
      <c r="B338" s="54"/>
      <c r="C338" s="54"/>
      <c r="D338" s="54"/>
      <c r="E338" s="54"/>
      <c r="F338" s="54"/>
    </row>
    <row r="339" spans="1:6" ht="12.75">
      <c r="A339" s="53"/>
      <c r="B339" s="54"/>
      <c r="C339" s="54"/>
      <c r="D339" s="54"/>
      <c r="E339" s="54"/>
      <c r="F339" s="54"/>
    </row>
    <row r="340" spans="1:6" ht="12.75">
      <c r="A340" s="53"/>
      <c r="B340" s="54"/>
      <c r="C340" s="54"/>
      <c r="D340" s="54"/>
      <c r="E340" s="54"/>
      <c r="F340" s="54"/>
    </row>
    <row r="341" spans="1:6" ht="12.75">
      <c r="A341" s="53"/>
      <c r="B341" s="54"/>
      <c r="C341" s="54"/>
      <c r="D341" s="54"/>
      <c r="E341" s="54"/>
      <c r="F341" s="54"/>
    </row>
    <row r="342" spans="1:6" ht="12.75">
      <c r="A342" s="53"/>
      <c r="B342" s="54"/>
      <c r="C342" s="54"/>
      <c r="D342" s="54"/>
      <c r="E342" s="54"/>
      <c r="F342" s="54"/>
    </row>
    <row r="343" spans="1:7" ht="12.75">
      <c r="A343" s="53"/>
      <c r="B343" s="54"/>
      <c r="C343" s="54"/>
      <c r="D343" s="54"/>
      <c r="E343" s="54"/>
      <c r="F343" s="54"/>
      <c r="G343" s="52"/>
    </row>
    <row r="344" spans="1:6" ht="12.75">
      <c r="A344" s="53"/>
      <c r="B344" s="54"/>
      <c r="C344" s="54"/>
      <c r="D344" s="54"/>
      <c r="E344" s="54"/>
      <c r="F344" s="54"/>
    </row>
    <row r="345" spans="1:6" ht="12.75">
      <c r="A345" s="53"/>
      <c r="B345" s="54"/>
      <c r="C345" s="54"/>
      <c r="D345" s="54"/>
      <c r="E345" s="54"/>
      <c r="F345" s="54"/>
    </row>
    <row r="346" spans="1:6" ht="12.75">
      <c r="A346" s="53"/>
      <c r="B346" s="54"/>
      <c r="C346" s="54"/>
      <c r="D346" s="54"/>
      <c r="E346" s="54"/>
      <c r="F346" s="54"/>
    </row>
    <row r="347" spans="1:6" ht="12.75">
      <c r="A347" s="53"/>
      <c r="B347" s="54"/>
      <c r="C347" s="54"/>
      <c r="D347" s="54"/>
      <c r="E347" s="54"/>
      <c r="F347" s="54"/>
    </row>
    <row r="348" spans="1:6" ht="12.75">
      <c r="A348" s="53"/>
      <c r="B348" s="54"/>
      <c r="C348" s="54"/>
      <c r="D348" s="54"/>
      <c r="E348" s="54"/>
      <c r="F348" s="54"/>
    </row>
    <row r="349" spans="1:6" ht="12.75">
      <c r="A349" s="53"/>
      <c r="B349" s="54"/>
      <c r="C349" s="54"/>
      <c r="D349" s="54"/>
      <c r="E349" s="54"/>
      <c r="F349" s="54"/>
    </row>
    <row r="350" spans="1:6" ht="12.75">
      <c r="A350" s="53"/>
      <c r="B350" s="54"/>
      <c r="C350" s="54"/>
      <c r="D350" s="54"/>
      <c r="E350" s="54"/>
      <c r="F350" s="54"/>
    </row>
    <row r="351" spans="1:6" ht="12.75">
      <c r="A351" s="53"/>
      <c r="B351" s="54"/>
      <c r="C351" s="54"/>
      <c r="D351" s="54"/>
      <c r="E351" s="54"/>
      <c r="F351" s="54"/>
    </row>
    <row r="352" spans="1:6" ht="12.75">
      <c r="A352" s="53"/>
      <c r="B352" s="54"/>
      <c r="C352" s="54"/>
      <c r="D352" s="54"/>
      <c r="E352" s="54"/>
      <c r="F352" s="54"/>
    </row>
    <row r="353" spans="1:6" ht="12.75">
      <c r="A353" s="53"/>
      <c r="B353" s="54"/>
      <c r="C353" s="54"/>
      <c r="D353" s="54"/>
      <c r="E353" s="54"/>
      <c r="F353" s="54"/>
    </row>
    <row r="354" spans="1:6" ht="12.75">
      <c r="A354" s="53"/>
      <c r="B354" s="54"/>
      <c r="C354" s="54"/>
      <c r="D354" s="54"/>
      <c r="E354" s="54"/>
      <c r="F354" s="54"/>
    </row>
    <row r="355" spans="1:6" ht="12.75">
      <c r="A355" s="53"/>
      <c r="B355" s="54"/>
      <c r="C355" s="54"/>
      <c r="D355" s="54"/>
      <c r="E355" s="54"/>
      <c r="F355" s="54"/>
    </row>
    <row r="356" spans="1:6" ht="12.75">
      <c r="A356" s="53"/>
      <c r="B356" s="54"/>
      <c r="C356" s="54"/>
      <c r="D356" s="54"/>
      <c r="E356" s="54"/>
      <c r="F356" s="54"/>
    </row>
    <row r="357" spans="1:6" ht="12.75">
      <c r="A357" s="53"/>
      <c r="B357" s="54"/>
      <c r="C357" s="54"/>
      <c r="D357" s="54"/>
      <c r="E357" s="54"/>
      <c r="F357" s="54"/>
    </row>
    <row r="358" spans="1:6" ht="12.75">
      <c r="A358" s="53"/>
      <c r="B358" s="54"/>
      <c r="C358" s="54"/>
      <c r="D358" s="54"/>
      <c r="E358" s="54"/>
      <c r="F358" s="54"/>
    </row>
    <row r="359" spans="1:6" ht="12.75">
      <c r="A359" s="53"/>
      <c r="B359" s="54"/>
      <c r="C359" s="54"/>
      <c r="D359" s="54"/>
      <c r="E359" s="54"/>
      <c r="F359" s="54"/>
    </row>
    <row r="360" spans="1:6" ht="12.75">
      <c r="A360" s="53"/>
      <c r="B360" s="54"/>
      <c r="C360" s="54"/>
      <c r="D360" s="54"/>
      <c r="E360" s="54"/>
      <c r="F360" s="54"/>
    </row>
    <row r="361" spans="1:6" ht="12.75">
      <c r="A361" s="53"/>
      <c r="B361" s="54"/>
      <c r="C361" s="54"/>
      <c r="D361" s="54"/>
      <c r="E361" s="54"/>
      <c r="F361" s="54"/>
    </row>
    <row r="362" spans="1:6" ht="12.75">
      <c r="A362" s="53"/>
      <c r="B362" s="54"/>
      <c r="C362" s="54"/>
      <c r="D362" s="54"/>
      <c r="E362" s="54"/>
      <c r="F362" s="54"/>
    </row>
    <row r="363" spans="1:6" ht="12.75">
      <c r="A363" s="53"/>
      <c r="B363" s="54"/>
      <c r="C363" s="54"/>
      <c r="D363" s="54"/>
      <c r="E363" s="54"/>
      <c r="F363" s="54"/>
    </row>
    <row r="364" spans="1:6" ht="12.75">
      <c r="A364" s="53"/>
      <c r="B364" s="54"/>
      <c r="C364" s="54"/>
      <c r="D364" s="54"/>
      <c r="E364" s="54"/>
      <c r="F364" s="54"/>
    </row>
    <row r="365" spans="1:6" ht="12.75">
      <c r="A365" s="53"/>
      <c r="B365" s="54"/>
      <c r="C365" s="54"/>
      <c r="D365" s="54"/>
      <c r="E365" s="54"/>
      <c r="F365" s="54"/>
    </row>
    <row r="366" spans="1:6" ht="12.75">
      <c r="A366" s="53"/>
      <c r="B366" s="54"/>
      <c r="C366" s="54"/>
      <c r="D366" s="54"/>
      <c r="E366" s="54"/>
      <c r="F366" s="54"/>
    </row>
    <row r="367" spans="1:6" ht="12.75">
      <c r="A367" s="53"/>
      <c r="B367" s="54"/>
      <c r="C367" s="54"/>
      <c r="D367" s="54"/>
      <c r="E367" s="54"/>
      <c r="F367" s="54"/>
    </row>
    <row r="368" spans="1:6" ht="12.75">
      <c r="A368" s="53"/>
      <c r="B368" s="54"/>
      <c r="C368" s="54"/>
      <c r="D368" s="54"/>
      <c r="E368" s="54"/>
      <c r="F368" s="54"/>
    </row>
    <row r="369" spans="1:7" ht="12.75">
      <c r="A369" s="53"/>
      <c r="B369" s="54"/>
      <c r="C369" s="54"/>
      <c r="D369" s="54"/>
      <c r="E369" s="54"/>
      <c r="F369" s="54"/>
      <c r="G369" s="52"/>
    </row>
    <row r="370" spans="1:6" ht="12.75">
      <c r="A370" s="53"/>
      <c r="B370" s="54"/>
      <c r="C370" s="54"/>
      <c r="D370" s="54"/>
      <c r="E370" s="54"/>
      <c r="F370" s="54"/>
    </row>
    <row r="371" spans="1:6" ht="12.75">
      <c r="A371" s="53"/>
      <c r="B371" s="54"/>
      <c r="C371" s="54"/>
      <c r="D371" s="54"/>
      <c r="E371" s="54"/>
      <c r="F371" s="54"/>
    </row>
    <row r="372" spans="1:6" ht="12.75">
      <c r="A372" s="53"/>
      <c r="B372" s="54"/>
      <c r="C372" s="54"/>
      <c r="D372" s="54"/>
      <c r="E372" s="54"/>
      <c r="F372" s="54"/>
    </row>
    <row r="373" spans="1:6" ht="12.75">
      <c r="A373" s="53"/>
      <c r="B373" s="54"/>
      <c r="C373" s="54"/>
      <c r="D373" s="54"/>
      <c r="E373" s="54"/>
      <c r="F373" s="54"/>
    </row>
    <row r="374" spans="1:6" ht="12.75">
      <c r="A374" s="53"/>
      <c r="B374" s="54"/>
      <c r="C374" s="54"/>
      <c r="D374" s="54"/>
      <c r="E374" s="54"/>
      <c r="F374" s="54"/>
    </row>
    <row r="375" spans="1:6" ht="12.75">
      <c r="A375" s="53"/>
      <c r="B375" s="54"/>
      <c r="C375" s="54"/>
      <c r="D375" s="54"/>
      <c r="E375" s="54"/>
      <c r="F375" s="54"/>
    </row>
    <row r="376" spans="1:6" ht="12.75">
      <c r="A376" s="53"/>
      <c r="B376" s="54"/>
      <c r="C376" s="54"/>
      <c r="D376" s="54"/>
      <c r="E376" s="54"/>
      <c r="F376" s="54"/>
    </row>
    <row r="377" spans="1:6" ht="12.75">
      <c r="A377" s="53"/>
      <c r="B377" s="54"/>
      <c r="C377" s="54"/>
      <c r="D377" s="54"/>
      <c r="E377" s="54"/>
      <c r="F377" s="54"/>
    </row>
    <row r="378" spans="1:6" ht="12.75">
      <c r="A378" s="53"/>
      <c r="B378" s="54"/>
      <c r="C378" s="54"/>
      <c r="D378" s="54"/>
      <c r="E378" s="54"/>
      <c r="F378" s="54"/>
    </row>
    <row r="379" spans="1:6" ht="12.75">
      <c r="A379" s="53"/>
      <c r="B379" s="54"/>
      <c r="C379" s="54"/>
      <c r="D379" s="54"/>
      <c r="E379" s="54"/>
      <c r="F379" s="54"/>
    </row>
    <row r="380" spans="1:6" ht="12.75">
      <c r="A380" s="53"/>
      <c r="B380" s="54"/>
      <c r="C380" s="54"/>
      <c r="D380" s="54"/>
      <c r="E380" s="54"/>
      <c r="F380" s="54"/>
    </row>
    <row r="381" spans="1:6" ht="12.75">
      <c r="A381" s="53"/>
      <c r="B381" s="54"/>
      <c r="C381" s="54"/>
      <c r="D381" s="54"/>
      <c r="E381" s="54"/>
      <c r="F381" s="54"/>
    </row>
    <row r="382" spans="1:6" ht="12.75">
      <c r="A382" s="53"/>
      <c r="B382" s="54"/>
      <c r="C382" s="54"/>
      <c r="D382" s="54"/>
      <c r="E382" s="54"/>
      <c r="F382" s="54"/>
    </row>
    <row r="383" spans="1:6" ht="12.75">
      <c r="A383" s="53"/>
      <c r="B383" s="54"/>
      <c r="C383" s="54"/>
      <c r="D383" s="54"/>
      <c r="E383" s="54"/>
      <c r="F383" s="54"/>
    </row>
    <row r="384" spans="1:6" ht="12.75">
      <c r="A384" s="53"/>
      <c r="B384" s="54"/>
      <c r="C384" s="54"/>
      <c r="D384" s="54"/>
      <c r="E384" s="54"/>
      <c r="F384" s="54"/>
    </row>
    <row r="385" spans="1:6" ht="12.75">
      <c r="A385" s="53"/>
      <c r="B385" s="54"/>
      <c r="C385" s="54"/>
      <c r="D385" s="54"/>
      <c r="E385" s="54"/>
      <c r="F385" s="54"/>
    </row>
    <row r="386" spans="1:6" ht="12.75">
      <c r="A386" s="53"/>
      <c r="B386" s="54"/>
      <c r="C386" s="54"/>
      <c r="D386" s="54"/>
      <c r="E386" s="54"/>
      <c r="F386" s="54"/>
    </row>
    <row r="387" spans="1:6" ht="12.75">
      <c r="A387" s="53"/>
      <c r="B387" s="54"/>
      <c r="C387" s="54"/>
      <c r="D387" s="54"/>
      <c r="E387" s="54"/>
      <c r="F387" s="54"/>
    </row>
    <row r="388" spans="1:6" ht="12.75">
      <c r="A388" s="53"/>
      <c r="B388" s="54"/>
      <c r="C388" s="54"/>
      <c r="D388" s="54"/>
      <c r="E388" s="54"/>
      <c r="F388" s="54"/>
    </row>
    <row r="389" spans="1:6" ht="12.75">
      <c r="A389" s="53"/>
      <c r="B389" s="54"/>
      <c r="C389" s="54"/>
      <c r="D389" s="54"/>
      <c r="E389" s="54"/>
      <c r="F389" s="54"/>
    </row>
    <row r="390" spans="1:6" ht="12.75">
      <c r="A390" s="53"/>
      <c r="B390" s="54"/>
      <c r="C390" s="54"/>
      <c r="D390" s="54"/>
      <c r="E390" s="54"/>
      <c r="F390" s="54"/>
    </row>
    <row r="391" spans="1:6" ht="12.75">
      <c r="A391" s="53"/>
      <c r="B391" s="54"/>
      <c r="C391" s="54"/>
      <c r="D391" s="54"/>
      <c r="E391" s="54"/>
      <c r="F391" s="54"/>
    </row>
    <row r="392" spans="1:6" ht="12.75">
      <c r="A392" s="53"/>
      <c r="B392" s="54"/>
      <c r="C392" s="54"/>
      <c r="D392" s="54"/>
      <c r="E392" s="54"/>
      <c r="F392" s="54"/>
    </row>
    <row r="393" spans="1:6" ht="12.75">
      <c r="A393" s="53"/>
      <c r="B393" s="54"/>
      <c r="C393" s="54"/>
      <c r="D393" s="54"/>
      <c r="E393" s="54"/>
      <c r="F393" s="54"/>
    </row>
    <row r="394" spans="1:6" ht="12.75">
      <c r="A394" s="53"/>
      <c r="B394" s="54"/>
      <c r="C394" s="54"/>
      <c r="D394" s="54"/>
      <c r="E394" s="54"/>
      <c r="F394" s="54"/>
    </row>
    <row r="395" spans="1:7" ht="12.75">
      <c r="A395" s="53"/>
      <c r="B395" s="54"/>
      <c r="C395" s="54"/>
      <c r="D395" s="54"/>
      <c r="E395" s="54"/>
      <c r="F395" s="54"/>
      <c r="G395" s="52"/>
    </row>
    <row r="396" spans="1:6" ht="12.75">
      <c r="A396" s="53"/>
      <c r="B396" s="54"/>
      <c r="C396" s="54"/>
      <c r="D396" s="54"/>
      <c r="E396" s="54"/>
      <c r="F396" s="54"/>
    </row>
    <row r="397" spans="1:6" ht="12.75">
      <c r="A397" s="53"/>
      <c r="B397" s="54"/>
      <c r="C397" s="54"/>
      <c r="D397" s="54"/>
      <c r="E397" s="54"/>
      <c r="F397" s="54"/>
    </row>
    <row r="398" spans="1:6" ht="12.75">
      <c r="A398" s="53"/>
      <c r="B398" s="54"/>
      <c r="C398" s="54"/>
      <c r="D398" s="54"/>
      <c r="E398" s="54"/>
      <c r="F398" s="54"/>
    </row>
    <row r="399" spans="1:6" ht="12.75">
      <c r="A399" s="53"/>
      <c r="B399" s="54"/>
      <c r="C399" s="54"/>
      <c r="D399" s="54"/>
      <c r="E399" s="54"/>
      <c r="F399" s="54"/>
    </row>
    <row r="400" spans="1:6" ht="12.75">
      <c r="A400" s="53"/>
      <c r="B400" s="54"/>
      <c r="C400" s="54"/>
      <c r="D400" s="54"/>
      <c r="E400" s="54"/>
      <c r="F400" s="54"/>
    </row>
    <row r="401" spans="1:6" ht="12.75">
      <c r="A401" s="53"/>
      <c r="B401" s="54"/>
      <c r="C401" s="54"/>
      <c r="D401" s="54"/>
      <c r="E401" s="54"/>
      <c r="F401" s="54"/>
    </row>
    <row r="402" spans="1:6" ht="12.75">
      <c r="A402" s="53"/>
      <c r="B402" s="54"/>
      <c r="C402" s="54"/>
      <c r="D402" s="54"/>
      <c r="E402" s="54"/>
      <c r="F402" s="54"/>
    </row>
    <row r="403" spans="1:6" ht="12.75">
      <c r="A403" s="53"/>
      <c r="B403" s="54"/>
      <c r="C403" s="54"/>
      <c r="D403" s="54"/>
      <c r="E403" s="54"/>
      <c r="F403" s="54"/>
    </row>
    <row r="404" spans="1:6" ht="12.75">
      <c r="A404" s="53"/>
      <c r="B404" s="54"/>
      <c r="C404" s="54"/>
      <c r="D404" s="54"/>
      <c r="E404" s="54"/>
      <c r="F404" s="54"/>
    </row>
    <row r="405" spans="1:6" ht="12.75">
      <c r="A405" s="53"/>
      <c r="B405" s="54"/>
      <c r="C405" s="54"/>
      <c r="D405" s="54"/>
      <c r="E405" s="54"/>
      <c r="F405" s="54"/>
    </row>
    <row r="406" spans="1:6" ht="12.75">
      <c r="A406" s="53"/>
      <c r="B406" s="54"/>
      <c r="C406" s="54"/>
      <c r="D406" s="54"/>
      <c r="E406" s="54"/>
      <c r="F406" s="54"/>
    </row>
    <row r="407" spans="1:6" ht="12.75">
      <c r="A407" s="53"/>
      <c r="B407" s="54"/>
      <c r="C407" s="54"/>
      <c r="D407" s="54"/>
      <c r="E407" s="54"/>
      <c r="F407" s="54"/>
    </row>
    <row r="408" spans="1:6" ht="12.75">
      <c r="A408" s="53"/>
      <c r="B408" s="54"/>
      <c r="C408" s="54"/>
      <c r="D408" s="54"/>
      <c r="E408" s="54"/>
      <c r="F408" s="54"/>
    </row>
    <row r="409" spans="1:6" ht="12.75">
      <c r="A409" s="53"/>
      <c r="B409" s="54"/>
      <c r="C409" s="54"/>
      <c r="D409" s="54"/>
      <c r="E409" s="54"/>
      <c r="F409" s="54"/>
    </row>
    <row r="410" spans="1:6" ht="12.75">
      <c r="A410" s="53"/>
      <c r="B410" s="54"/>
      <c r="C410" s="54"/>
      <c r="D410" s="54"/>
      <c r="E410" s="54"/>
      <c r="F410" s="54"/>
    </row>
    <row r="411" spans="1:6" ht="12.75">
      <c r="A411" s="53"/>
      <c r="B411" s="54"/>
      <c r="C411" s="54"/>
      <c r="D411" s="54"/>
      <c r="E411" s="54"/>
      <c r="F411" s="54"/>
    </row>
    <row r="412" spans="1:6" ht="12.75">
      <c r="A412" s="53"/>
      <c r="B412" s="54"/>
      <c r="C412" s="54"/>
      <c r="D412" s="54"/>
      <c r="E412" s="54"/>
      <c r="F412" s="54"/>
    </row>
    <row r="413" spans="1:6" ht="12.75">
      <c r="A413" s="53"/>
      <c r="B413" s="54"/>
      <c r="C413" s="54"/>
      <c r="D413" s="54"/>
      <c r="E413" s="54"/>
      <c r="F413" s="54"/>
    </row>
    <row r="414" spans="1:6" ht="12.75">
      <c r="A414" s="53"/>
      <c r="B414" s="54"/>
      <c r="C414" s="54"/>
      <c r="D414" s="54"/>
      <c r="E414" s="54"/>
      <c r="F414" s="54"/>
    </row>
    <row r="415" spans="1:6" ht="12.75">
      <c r="A415" s="53"/>
      <c r="B415" s="54"/>
      <c r="C415" s="54"/>
      <c r="D415" s="54"/>
      <c r="E415" s="54"/>
      <c r="F415" s="54"/>
    </row>
    <row r="416" spans="1:6" ht="12.75">
      <c r="A416" s="53"/>
      <c r="B416" s="54"/>
      <c r="C416" s="54"/>
      <c r="D416" s="54"/>
      <c r="E416" s="54"/>
      <c r="F416" s="54"/>
    </row>
    <row r="417" spans="1:6" ht="12.75">
      <c r="A417" s="53"/>
      <c r="B417" s="54"/>
      <c r="C417" s="54"/>
      <c r="D417" s="54"/>
      <c r="E417" s="54"/>
      <c r="F417" s="54"/>
    </row>
    <row r="418" spans="1:6" ht="12.75">
      <c r="A418" s="53"/>
      <c r="B418" s="54"/>
      <c r="C418" s="54"/>
      <c r="D418" s="54"/>
      <c r="E418" s="54"/>
      <c r="F418" s="54"/>
    </row>
    <row r="419" spans="1:6" ht="12.75">
      <c r="A419" s="53"/>
      <c r="B419" s="54"/>
      <c r="C419" s="54"/>
      <c r="D419" s="54"/>
      <c r="E419" s="54"/>
      <c r="F419" s="54"/>
    </row>
    <row r="420" spans="1:6" ht="12.75">
      <c r="A420" s="53"/>
      <c r="B420" s="54"/>
      <c r="C420" s="54"/>
      <c r="D420" s="54"/>
      <c r="E420" s="54"/>
      <c r="F420" s="54"/>
    </row>
    <row r="421" spans="1:7" ht="12.75">
      <c r="A421" s="53"/>
      <c r="B421" s="54"/>
      <c r="C421" s="54"/>
      <c r="D421" s="54"/>
      <c r="E421" s="54"/>
      <c r="F421" s="54"/>
      <c r="G421" s="52"/>
    </row>
    <row r="422" spans="1:6" ht="12.75">
      <c r="A422" s="53"/>
      <c r="B422" s="54"/>
      <c r="C422" s="54"/>
      <c r="D422" s="54"/>
      <c r="E422" s="54"/>
      <c r="F422" s="54"/>
    </row>
    <row r="423" spans="1:6" ht="12.75">
      <c r="A423" s="53"/>
      <c r="B423" s="54"/>
      <c r="C423" s="54"/>
      <c r="D423" s="54"/>
      <c r="E423" s="54"/>
      <c r="F423" s="54"/>
    </row>
    <row r="424" spans="1:6" ht="12.75">
      <c r="A424" s="53"/>
      <c r="B424" s="54"/>
      <c r="C424" s="54"/>
      <c r="D424" s="54"/>
      <c r="E424" s="54"/>
      <c r="F424" s="54"/>
    </row>
    <row r="425" spans="1:6" ht="12.75">
      <c r="A425" s="53"/>
      <c r="B425" s="54"/>
      <c r="C425" s="54"/>
      <c r="D425" s="54"/>
      <c r="E425" s="54"/>
      <c r="F425" s="54"/>
    </row>
    <row r="426" spans="1:6" ht="12.75">
      <c r="A426" s="53"/>
      <c r="B426" s="54"/>
      <c r="C426" s="54"/>
      <c r="D426" s="54"/>
      <c r="E426" s="54"/>
      <c r="F426" s="54"/>
    </row>
    <row r="427" spans="1:6" ht="12.75">
      <c r="A427" s="53"/>
      <c r="B427" s="54"/>
      <c r="C427" s="54"/>
      <c r="D427" s="54"/>
      <c r="E427" s="54"/>
      <c r="F427" s="54"/>
    </row>
    <row r="428" spans="1:6" ht="12.75">
      <c r="A428" s="53"/>
      <c r="B428" s="54"/>
      <c r="C428" s="54"/>
      <c r="D428" s="54"/>
      <c r="E428" s="54"/>
      <c r="F428" s="54"/>
    </row>
    <row r="429" spans="1:6" ht="12.75">
      <c r="A429" s="53"/>
      <c r="B429" s="54"/>
      <c r="C429" s="54"/>
      <c r="D429" s="54"/>
      <c r="E429" s="54"/>
      <c r="F429" s="54"/>
    </row>
    <row r="430" spans="1:6" ht="12.75">
      <c r="A430" s="53"/>
      <c r="B430" s="54"/>
      <c r="C430" s="54"/>
      <c r="D430" s="54"/>
      <c r="E430" s="54"/>
      <c r="F430" s="54"/>
    </row>
    <row r="431" spans="1:6" ht="12.75">
      <c r="A431" s="53"/>
      <c r="B431" s="54"/>
      <c r="C431" s="54"/>
      <c r="D431" s="54"/>
      <c r="E431" s="54"/>
      <c r="F431" s="54"/>
    </row>
    <row r="432" spans="1:6" ht="12.75">
      <c r="A432" s="53"/>
      <c r="B432" s="54"/>
      <c r="C432" s="54"/>
      <c r="D432" s="54"/>
      <c r="E432" s="54"/>
      <c r="F432" s="54"/>
    </row>
    <row r="433" spans="1:6" ht="12.75">
      <c r="A433" s="53"/>
      <c r="B433" s="54"/>
      <c r="C433" s="54"/>
      <c r="D433" s="54"/>
      <c r="E433" s="54"/>
      <c r="F433" s="54"/>
    </row>
    <row r="434" spans="1:6" ht="12.75">
      <c r="A434" s="53"/>
      <c r="B434" s="54"/>
      <c r="C434" s="54"/>
      <c r="D434" s="54"/>
      <c r="E434" s="54"/>
      <c r="F434" s="54"/>
    </row>
    <row r="435" spans="1:6" ht="12.75">
      <c r="A435" s="53"/>
      <c r="B435" s="54"/>
      <c r="C435" s="54"/>
      <c r="D435" s="54"/>
      <c r="E435" s="54"/>
      <c r="F435" s="54"/>
    </row>
    <row r="436" spans="1:6" ht="12.75">
      <c r="A436" s="53"/>
      <c r="B436" s="54"/>
      <c r="C436" s="54"/>
      <c r="D436" s="54"/>
      <c r="E436" s="54"/>
      <c r="F436" s="54"/>
    </row>
    <row r="437" spans="1:6" ht="12.75">
      <c r="A437" s="53"/>
      <c r="B437" s="54"/>
      <c r="C437" s="54"/>
      <c r="D437" s="54"/>
      <c r="E437" s="54"/>
      <c r="F437" s="54"/>
    </row>
    <row r="438" spans="1:6" ht="12.75">
      <c r="A438" s="53"/>
      <c r="B438" s="54"/>
      <c r="C438" s="54"/>
      <c r="D438" s="54"/>
      <c r="E438" s="54"/>
      <c r="F438" s="54"/>
    </row>
    <row r="439" spans="1:6" ht="12.75">
      <c r="A439" s="53"/>
      <c r="B439" s="54"/>
      <c r="C439" s="54"/>
      <c r="D439" s="54"/>
      <c r="E439" s="54"/>
      <c r="F439" s="54"/>
    </row>
    <row r="440" spans="1:6" ht="12.75">
      <c r="A440" s="53"/>
      <c r="B440" s="54"/>
      <c r="C440" s="54"/>
      <c r="D440" s="54"/>
      <c r="E440" s="54"/>
      <c r="F440" s="54"/>
    </row>
    <row r="441" spans="1:6" ht="12.75">
      <c r="A441" s="53"/>
      <c r="B441" s="54"/>
      <c r="C441" s="54"/>
      <c r="D441" s="54"/>
      <c r="E441" s="54"/>
      <c r="F441" s="54"/>
    </row>
    <row r="442" spans="1:6" ht="12.75">
      <c r="A442" s="53"/>
      <c r="B442" s="54"/>
      <c r="C442" s="54"/>
      <c r="D442" s="54"/>
      <c r="E442" s="54"/>
      <c r="F442" s="54"/>
    </row>
    <row r="443" spans="1:6" ht="12.75">
      <c r="A443" s="53"/>
      <c r="B443" s="54"/>
      <c r="C443" s="54"/>
      <c r="D443" s="54"/>
      <c r="E443" s="54"/>
      <c r="F443" s="54"/>
    </row>
    <row r="444" spans="1:6" ht="12.75">
      <c r="A444" s="53"/>
      <c r="B444" s="54"/>
      <c r="C444" s="54"/>
      <c r="D444" s="54"/>
      <c r="E444" s="54"/>
      <c r="F444" s="54"/>
    </row>
    <row r="445" spans="1:6" ht="12.75">
      <c r="A445" s="53"/>
      <c r="B445" s="54"/>
      <c r="C445" s="54"/>
      <c r="D445" s="54"/>
      <c r="E445" s="54"/>
      <c r="F445" s="54"/>
    </row>
    <row r="446" spans="1:6" ht="12.75">
      <c r="A446" s="53"/>
      <c r="B446" s="54"/>
      <c r="C446" s="54"/>
      <c r="D446" s="54"/>
      <c r="E446" s="54"/>
      <c r="F446" s="54"/>
    </row>
    <row r="447" spans="1:6" ht="12.75">
      <c r="A447" s="53"/>
      <c r="B447" s="54"/>
      <c r="C447" s="54"/>
      <c r="D447" s="54"/>
      <c r="E447" s="54"/>
      <c r="F447" s="54"/>
    </row>
    <row r="448" spans="1:6" ht="12.75">
      <c r="A448" s="53"/>
      <c r="B448" s="54"/>
      <c r="C448" s="54"/>
      <c r="D448" s="54"/>
      <c r="E448" s="54"/>
      <c r="F448" s="54"/>
    </row>
    <row r="449" spans="1:6" ht="12.75">
      <c r="A449" s="53"/>
      <c r="B449" s="54"/>
      <c r="C449" s="54"/>
      <c r="D449" s="54"/>
      <c r="E449" s="54"/>
      <c r="F449" s="54"/>
    </row>
    <row r="450" spans="1:6" ht="12.75">
      <c r="A450" s="53"/>
      <c r="B450" s="54"/>
      <c r="C450" s="54"/>
      <c r="D450" s="54"/>
      <c r="E450" s="54"/>
      <c r="F450" s="54"/>
    </row>
    <row r="451" spans="1:6" ht="12.75">
      <c r="A451" s="53"/>
      <c r="B451" s="54"/>
      <c r="C451" s="54"/>
      <c r="D451" s="54"/>
      <c r="E451" s="54"/>
      <c r="F451" s="54"/>
    </row>
    <row r="452" spans="1:6" ht="12.75">
      <c r="A452" s="53"/>
      <c r="B452" s="54"/>
      <c r="C452" s="54"/>
      <c r="D452" s="54"/>
      <c r="E452" s="54"/>
      <c r="F452" s="54"/>
    </row>
    <row r="453" spans="1:6" ht="12.75">
      <c r="A453" s="53"/>
      <c r="B453" s="54"/>
      <c r="C453" s="54"/>
      <c r="D453" s="54"/>
      <c r="E453" s="54"/>
      <c r="F453" s="54"/>
    </row>
    <row r="454" spans="1:6" ht="12.75">
      <c r="A454" s="53"/>
      <c r="B454" s="54"/>
      <c r="C454" s="54"/>
      <c r="D454" s="54"/>
      <c r="E454" s="54"/>
      <c r="F454" s="54"/>
    </row>
    <row r="455" spans="1:6" ht="12.75">
      <c r="A455" s="53"/>
      <c r="B455" s="54"/>
      <c r="C455" s="54"/>
      <c r="D455" s="54"/>
      <c r="E455" s="54"/>
      <c r="F455" s="54"/>
    </row>
    <row r="456" spans="1:6" ht="12.75">
      <c r="A456" s="53"/>
      <c r="B456" s="54"/>
      <c r="C456" s="54"/>
      <c r="D456" s="54"/>
      <c r="E456" s="54"/>
      <c r="F456" s="54"/>
    </row>
    <row r="457" spans="4:5" ht="12">
      <c r="D457" s="54"/>
      <c r="E457" s="54"/>
    </row>
    <row r="458" spans="4:5" ht="12">
      <c r="D458" s="54"/>
      <c r="E458" s="5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1"/>
  <sheetViews>
    <sheetView workbookViewId="0" topLeftCell="A52">
      <selection activeCell="G137" sqref="G137"/>
    </sheetView>
  </sheetViews>
  <sheetFormatPr defaultColWidth="9.00390625" defaultRowHeight="12"/>
  <cols>
    <col min="1" max="1" width="9.875" style="0" customWidth="1"/>
    <col min="2" max="2" width="2.125" style="0" customWidth="1"/>
    <col min="3" max="3" width="11.375" style="0" customWidth="1"/>
    <col min="4" max="4" width="9.25390625" style="0" customWidth="1"/>
    <col min="5" max="5" width="9.00390625" style="0" customWidth="1"/>
    <col min="6" max="6" width="1.875" style="0" customWidth="1"/>
    <col min="7" max="7" width="13.375" style="0" customWidth="1"/>
    <col min="8" max="8" width="1.12109375" style="0" customWidth="1"/>
    <col min="9" max="9" width="15.625" style="29" customWidth="1"/>
    <col min="10" max="10" width="9.875" style="0" customWidth="1"/>
    <col min="11" max="11" width="2.125" style="0" customWidth="1"/>
    <col min="12" max="16384" width="11.375" style="0" customWidth="1"/>
  </cols>
  <sheetData>
    <row r="1" spans="1:11" ht="12.75">
      <c r="A1" s="3"/>
      <c r="B1" s="1"/>
      <c r="C1" s="5"/>
      <c r="D1" s="4"/>
      <c r="E1" s="6"/>
      <c r="F1" s="3"/>
      <c r="G1" s="3"/>
      <c r="H1" s="1"/>
      <c r="I1" s="25"/>
      <c r="J1" s="86" t="s">
        <v>215</v>
      </c>
      <c r="K1" s="1"/>
    </row>
    <row r="2" spans="1:11" ht="12.75">
      <c r="A2" s="3"/>
      <c r="B2" s="1"/>
      <c r="C2" s="5"/>
      <c r="D2" s="4"/>
      <c r="E2" s="6"/>
      <c r="F2" s="3"/>
      <c r="G2" s="3"/>
      <c r="H2" s="1"/>
      <c r="I2" s="25"/>
      <c r="J2" s="33" t="s">
        <v>221</v>
      </c>
      <c r="K2" s="1"/>
    </row>
    <row r="3" spans="1:11" ht="12.75">
      <c r="A3" s="3"/>
      <c r="B3" s="1"/>
      <c r="C3" s="5"/>
      <c r="D3" s="4"/>
      <c r="E3" s="6"/>
      <c r="F3" s="3"/>
      <c r="G3" s="3"/>
      <c r="H3" s="1"/>
      <c r="I3" s="25"/>
      <c r="J3" s="6" t="s">
        <v>144</v>
      </c>
      <c r="K3" s="1"/>
    </row>
    <row r="4" spans="1:11" ht="12.75">
      <c r="A4" s="3"/>
      <c r="B4" s="1"/>
      <c r="C4" s="5"/>
      <c r="D4" s="4"/>
      <c r="E4" s="6"/>
      <c r="F4" s="3"/>
      <c r="G4" s="3"/>
      <c r="H4" s="1"/>
      <c r="I4" s="25"/>
      <c r="J4" s="6"/>
      <c r="K4" s="1"/>
    </row>
    <row r="5" spans="1:11" ht="12.75">
      <c r="A5" s="3"/>
      <c r="B5" s="1"/>
      <c r="C5" s="5"/>
      <c r="D5" s="4"/>
      <c r="E5" s="6"/>
      <c r="F5" s="3"/>
      <c r="G5" s="3"/>
      <c r="H5" s="1"/>
      <c r="I5" s="25"/>
      <c r="J5" s="6"/>
      <c r="K5" s="1"/>
    </row>
    <row r="6" spans="1:11" ht="12.75">
      <c r="A6" s="3"/>
      <c r="B6" s="1"/>
      <c r="C6" s="5"/>
      <c r="D6" s="4"/>
      <c r="E6" s="8"/>
      <c r="F6" s="9" t="str">
        <f>DATA!A1</f>
        <v>AVISTA UTILITIES</v>
      </c>
      <c r="G6" s="1"/>
      <c r="H6" s="1"/>
      <c r="I6" s="25"/>
      <c r="J6" s="6"/>
      <c r="K6" s="1"/>
    </row>
    <row r="7" spans="1:11" ht="12.75">
      <c r="A7" s="3"/>
      <c r="B7" s="1"/>
      <c r="C7" s="5"/>
      <c r="D7" s="4"/>
      <c r="E7" s="8"/>
      <c r="F7" s="3" t="s">
        <v>12</v>
      </c>
      <c r="G7" s="1"/>
      <c r="H7" s="1"/>
      <c r="I7" s="25"/>
      <c r="J7" s="6"/>
      <c r="K7" s="1"/>
    </row>
    <row r="8" spans="1:11" ht="12.75">
      <c r="A8" s="3"/>
      <c r="B8" s="1"/>
      <c r="C8" s="5"/>
      <c r="D8" s="4"/>
      <c r="E8" s="6"/>
      <c r="F8" s="3"/>
      <c r="G8" s="3"/>
      <c r="H8" s="1"/>
      <c r="I8" s="25"/>
      <c r="J8" s="6"/>
      <c r="K8" s="1"/>
    </row>
    <row r="9" spans="1:11" ht="12.75">
      <c r="A9" s="3"/>
      <c r="B9" s="1"/>
      <c r="C9" s="5"/>
      <c r="D9" s="4"/>
      <c r="E9" s="6"/>
      <c r="F9" s="3"/>
      <c r="G9" s="3"/>
      <c r="H9" s="1"/>
      <c r="I9" s="25"/>
      <c r="J9" s="6"/>
      <c r="K9" s="1"/>
    </row>
    <row r="10" spans="1:11" ht="12.75">
      <c r="A10" s="3"/>
      <c r="B10" s="1"/>
      <c r="C10" s="5"/>
      <c r="D10" s="4"/>
      <c r="E10" s="6"/>
      <c r="F10" s="3"/>
      <c r="G10" s="3"/>
      <c r="H10" s="1"/>
      <c r="I10" s="25"/>
      <c r="J10" s="6"/>
      <c r="K10" s="1"/>
    </row>
    <row r="11" spans="1:11" ht="12.75">
      <c r="A11" s="10" t="s">
        <v>13</v>
      </c>
      <c r="B11" s="1"/>
      <c r="C11" s="11"/>
      <c r="D11" s="12" t="s">
        <v>14</v>
      </c>
      <c r="E11" s="13" t="s">
        <v>15</v>
      </c>
      <c r="F11" s="10"/>
      <c r="G11" s="10"/>
      <c r="H11" s="1"/>
      <c r="I11" s="27" t="s">
        <v>145</v>
      </c>
      <c r="J11" s="14" t="s">
        <v>15</v>
      </c>
      <c r="K11" s="1"/>
    </row>
    <row r="12" spans="1:11" ht="12.75">
      <c r="A12" s="3"/>
      <c r="B12" s="1"/>
      <c r="C12" s="5"/>
      <c r="D12" s="4"/>
      <c r="E12" s="6"/>
      <c r="F12" s="3"/>
      <c r="G12" s="3"/>
      <c r="H12" s="1"/>
      <c r="I12" s="25"/>
      <c r="J12" s="6"/>
      <c r="K12" s="1"/>
    </row>
    <row r="13" spans="1:11" ht="12.75">
      <c r="A13" s="3"/>
      <c r="B13" s="1"/>
      <c r="C13" s="5" t="s">
        <v>146</v>
      </c>
      <c r="D13" s="4" t="s">
        <v>123</v>
      </c>
      <c r="E13" s="6"/>
      <c r="F13" s="3"/>
      <c r="G13" s="3" t="s">
        <v>124</v>
      </c>
      <c r="H13" s="1"/>
      <c r="I13" s="25" t="s">
        <v>125</v>
      </c>
      <c r="J13" s="6" t="s">
        <v>126</v>
      </c>
      <c r="K13" s="1"/>
    </row>
    <row r="14" spans="1:11" ht="12.75">
      <c r="A14" s="15" t="str">
        <f>DATA!A5</f>
        <v>CV</v>
      </c>
      <c r="B14" s="1"/>
      <c r="C14" s="11" t="s">
        <v>127</v>
      </c>
      <c r="D14" s="12" t="s">
        <v>128</v>
      </c>
      <c r="E14" s="13" t="s">
        <v>154</v>
      </c>
      <c r="F14" s="10"/>
      <c r="G14" s="10" t="s">
        <v>54</v>
      </c>
      <c r="H14" s="1"/>
      <c r="I14" s="28" t="s">
        <v>55</v>
      </c>
      <c r="J14" s="13" t="s">
        <v>15</v>
      </c>
      <c r="K14" s="1"/>
    </row>
    <row r="15" spans="1:11" ht="12.75">
      <c r="A15" s="3">
        <v>2000</v>
      </c>
      <c r="B15" s="1"/>
      <c r="C15" s="5">
        <f>1-DATA!N5/DATA!F5</f>
        <v>0.22807017543859642</v>
      </c>
      <c r="D15" s="4">
        <f>DATA!V$5</f>
        <v>0.069</v>
      </c>
      <c r="E15" s="6">
        <f>C15*D15</f>
        <v>0.015736842105263153</v>
      </c>
      <c r="F15" s="3"/>
      <c r="G15" s="25">
        <f>DATA!AD$5</f>
        <v>16.57</v>
      </c>
      <c r="H15" s="1"/>
      <c r="I15" s="25">
        <f>DATA!AL$5</f>
        <v>11.51</v>
      </c>
      <c r="J15" s="6"/>
      <c r="K15" s="1"/>
    </row>
    <row r="16" spans="1:11" ht="12.75">
      <c r="A16" s="3">
        <v>2001</v>
      </c>
      <c r="B16" s="1"/>
      <c r="C16" s="5">
        <f>1-DATA!O5/DATA!G5</f>
        <v>0.05376344086021512</v>
      </c>
      <c r="D16" s="4">
        <f>DATA!W$5</f>
        <v>0.058</v>
      </c>
      <c r="E16" s="6">
        <f>C16*D16</f>
        <v>0.003118279569892477</v>
      </c>
      <c r="F16" s="3"/>
      <c r="G16" s="25">
        <f>DATA!AE$5</f>
        <v>15.81</v>
      </c>
      <c r="H16" s="1"/>
      <c r="I16" s="25">
        <f>DATA!AM$5</f>
        <v>11.61</v>
      </c>
      <c r="J16" s="6"/>
      <c r="K16" s="1"/>
    </row>
    <row r="17" spans="1:11" ht="12.75">
      <c r="A17" s="3">
        <v>2002</v>
      </c>
      <c r="B17" s="1"/>
      <c r="C17" s="5">
        <f>1-DATA!P5/DATA!H5</f>
        <v>0.4285714285714286</v>
      </c>
      <c r="D17" s="4">
        <f>DATA!X$5</f>
        <v>0.093</v>
      </c>
      <c r="E17" s="6">
        <f>C17*D17</f>
        <v>0.03985714285714286</v>
      </c>
      <c r="F17" s="3"/>
      <c r="G17" s="25">
        <f>DATA!AF$5</f>
        <v>16.83</v>
      </c>
      <c r="H17" s="1"/>
      <c r="I17" s="25">
        <f>DATA!AN$5</f>
        <v>11.74</v>
      </c>
      <c r="J17" s="6"/>
      <c r="K17" s="1"/>
    </row>
    <row r="18" spans="1:11" ht="12.75">
      <c r="A18" s="3">
        <v>2003</v>
      </c>
      <c r="B18" s="1"/>
      <c r="C18" s="5">
        <f>1-DATA!Q5/DATA!I5</f>
        <v>0.375886524822695</v>
      </c>
      <c r="D18" s="4">
        <f>DATA!Y$5</f>
        <v>0.081</v>
      </c>
      <c r="E18" s="6">
        <f>C18*D18</f>
        <v>0.030446808510638298</v>
      </c>
      <c r="F18" s="3"/>
      <c r="G18" s="25">
        <f>DATA!AG$5</f>
        <v>17.89</v>
      </c>
      <c r="H18" s="1"/>
      <c r="I18" s="25">
        <f>DATA!AO$5</f>
        <v>11.81</v>
      </c>
      <c r="J18" s="6"/>
      <c r="K18" s="1"/>
    </row>
    <row r="19" spans="1:11" ht="12.75">
      <c r="A19" s="3">
        <v>2004</v>
      </c>
      <c r="B19" s="1"/>
      <c r="C19" s="5">
        <f>1-DATA!R5/DATA!J5</f>
        <v>0.264</v>
      </c>
      <c r="D19" s="4">
        <f>DATA!Z$5</f>
        <v>0.068</v>
      </c>
      <c r="E19" s="16">
        <f>C19*D19</f>
        <v>0.017952000000000003</v>
      </c>
      <c r="F19" s="17"/>
      <c r="G19" s="26">
        <f>DATA!AH$5</f>
        <v>18.49</v>
      </c>
      <c r="H19" s="18"/>
      <c r="I19" s="26">
        <f>DATA!AP$5</f>
        <v>12.19</v>
      </c>
      <c r="J19" s="6"/>
      <c r="K19" s="1"/>
    </row>
    <row r="20" spans="1:11" ht="12.75">
      <c r="A20" s="19" t="s">
        <v>56</v>
      </c>
      <c r="B20" s="1"/>
      <c r="C20" s="5"/>
      <c r="D20" s="4"/>
      <c r="E20" s="6">
        <f>AVERAGE(E15:E19)</f>
        <v>0.02142221460858736</v>
      </c>
      <c r="F20" s="6"/>
      <c r="G20" s="6">
        <f>DATA!AX5</f>
        <v>0.02</v>
      </c>
      <c r="H20" s="1"/>
      <c r="I20" s="25"/>
      <c r="J20" s="6">
        <f>(I19/I15)^0.25-1</f>
        <v>0.014453384700750416</v>
      </c>
      <c r="K20" s="1"/>
    </row>
    <row r="21" spans="1:11" ht="12.75">
      <c r="A21" s="3">
        <v>2005</v>
      </c>
      <c r="B21" s="1"/>
      <c r="C21" s="5">
        <f>1-DATA!S$5/DATA!K$5</f>
        <v>19.4</v>
      </c>
      <c r="D21" s="4" t="str">
        <f>DATA!AA$5</f>
        <v>-</v>
      </c>
      <c r="E21" s="6" t="s">
        <v>179</v>
      </c>
      <c r="F21" s="6"/>
      <c r="G21" s="6"/>
      <c r="H21" s="1"/>
      <c r="I21" s="25">
        <f>DATA!AQ$5</f>
        <v>12.5</v>
      </c>
      <c r="J21" s="6">
        <f>(I21/I19)-1</f>
        <v>0.025430680885972112</v>
      </c>
      <c r="K21" s="1"/>
    </row>
    <row r="22" spans="1:11" ht="12.75">
      <c r="A22" s="3">
        <v>2006</v>
      </c>
      <c r="B22" s="1"/>
      <c r="C22" s="5">
        <f>1-DATA!T$5/DATA!L$5</f>
        <v>0.264</v>
      </c>
      <c r="D22" s="4">
        <f>DATA!AB$5</f>
        <v>0.075</v>
      </c>
      <c r="E22" s="6">
        <f>C22*D22</f>
        <v>0.0198</v>
      </c>
      <c r="F22" s="6"/>
      <c r="G22" s="6"/>
      <c r="H22" s="1"/>
      <c r="I22" s="25">
        <f>DATA!AR$5</f>
        <v>12.75</v>
      </c>
      <c r="J22" s="6">
        <v>-0.005</v>
      </c>
      <c r="K22" s="1"/>
    </row>
    <row r="23" spans="1:11" ht="12.75">
      <c r="A23" s="3" t="s">
        <v>178</v>
      </c>
      <c r="B23" s="1"/>
      <c r="C23" s="5">
        <f>1-DATA!U$5/DATA!M$5</f>
        <v>0.34545454545454535</v>
      </c>
      <c r="D23" s="4">
        <f>DATA!AC$5</f>
        <v>0.095</v>
      </c>
      <c r="E23" s="6">
        <f>C23*D23</f>
        <v>0.03281818181818181</v>
      </c>
      <c r="F23" s="6"/>
      <c r="G23" s="6">
        <f>DATA!AY5</f>
        <v>-0.005</v>
      </c>
      <c r="H23" s="1"/>
      <c r="I23" s="25">
        <f>DATA!AS$5</f>
        <v>13.5</v>
      </c>
      <c r="J23" s="6">
        <f>(I23/I19)^0.2-1</f>
        <v>0.02062455464797819</v>
      </c>
      <c r="K23" s="1"/>
    </row>
    <row r="24" spans="1:11" ht="12.75">
      <c r="A24" s="3"/>
      <c r="B24" s="1"/>
      <c r="C24" s="5"/>
      <c r="D24" s="4"/>
      <c r="E24" s="6"/>
      <c r="F24" s="3"/>
      <c r="G24" s="3"/>
      <c r="H24" s="1"/>
      <c r="I24" s="25"/>
      <c r="J24" s="6"/>
      <c r="K24" s="1"/>
    </row>
    <row r="25" spans="1:11" ht="12.75">
      <c r="A25" s="3"/>
      <c r="B25" s="1"/>
      <c r="C25" s="5"/>
      <c r="D25" s="4"/>
      <c r="E25" s="6"/>
      <c r="F25" s="3"/>
      <c r="G25" s="3"/>
      <c r="H25" s="1"/>
      <c r="I25" s="25"/>
      <c r="J25" s="6"/>
      <c r="K25" s="1"/>
    </row>
    <row r="26" spans="1:11" ht="12.75">
      <c r="A26" s="3"/>
      <c r="B26" s="1"/>
      <c r="C26" s="5"/>
      <c r="D26" s="4"/>
      <c r="E26" s="6"/>
      <c r="F26" s="3"/>
      <c r="G26" s="3"/>
      <c r="H26" s="1"/>
      <c r="I26" s="25"/>
      <c r="J26" s="6"/>
      <c r="K26" s="1"/>
    </row>
    <row r="27" spans="1:11" ht="12.75">
      <c r="A27" s="3"/>
      <c r="B27" s="1"/>
      <c r="C27" s="5"/>
      <c r="D27" s="4"/>
      <c r="E27" s="6"/>
      <c r="F27" s="3"/>
      <c r="G27" s="3"/>
      <c r="H27" s="1"/>
      <c r="I27" s="25"/>
      <c r="J27" s="6"/>
      <c r="K27" s="1"/>
    </row>
    <row r="28" spans="1:11" ht="12.75">
      <c r="A28" s="10" t="s">
        <v>13</v>
      </c>
      <c r="B28" s="1"/>
      <c r="C28" s="11"/>
      <c r="D28" s="12" t="s">
        <v>14</v>
      </c>
      <c r="E28" s="13" t="s">
        <v>15</v>
      </c>
      <c r="F28" s="10"/>
      <c r="G28" s="10"/>
      <c r="H28" s="1"/>
      <c r="I28" s="27" t="s">
        <v>145</v>
      </c>
      <c r="J28" s="14" t="s">
        <v>15</v>
      </c>
      <c r="K28" s="1"/>
    </row>
    <row r="29" spans="1:11" ht="12.75">
      <c r="A29" s="3"/>
      <c r="B29" s="1"/>
      <c r="C29" s="5"/>
      <c r="D29" s="4"/>
      <c r="E29" s="6"/>
      <c r="F29" s="3"/>
      <c r="G29" s="3"/>
      <c r="H29" s="1"/>
      <c r="I29" s="25"/>
      <c r="J29" s="6"/>
      <c r="K29" s="1"/>
    </row>
    <row r="30" spans="1:11" ht="12.75">
      <c r="A30" s="3"/>
      <c r="B30" s="1"/>
      <c r="C30" s="5" t="s">
        <v>146</v>
      </c>
      <c r="D30" s="4" t="s">
        <v>123</v>
      </c>
      <c r="E30" s="6"/>
      <c r="F30" s="3"/>
      <c r="G30" s="3" t="s">
        <v>124</v>
      </c>
      <c r="H30" s="1"/>
      <c r="I30" s="25" t="s">
        <v>125</v>
      </c>
      <c r="J30" s="6" t="s">
        <v>126</v>
      </c>
      <c r="K30" s="1"/>
    </row>
    <row r="31" spans="1:11" ht="12.75">
      <c r="A31" s="15" t="str">
        <f>DATA!A$6</f>
        <v>EAS</v>
      </c>
      <c r="B31" s="1"/>
      <c r="C31" s="11" t="s">
        <v>127</v>
      </c>
      <c r="D31" s="12" t="s">
        <v>128</v>
      </c>
      <c r="E31" s="13" t="s">
        <v>154</v>
      </c>
      <c r="F31" s="10"/>
      <c r="G31" s="10" t="s">
        <v>54</v>
      </c>
      <c r="H31" s="1"/>
      <c r="I31" s="28" t="s">
        <v>55</v>
      </c>
      <c r="J31" s="13" t="s">
        <v>15</v>
      </c>
      <c r="K31" s="1"/>
    </row>
    <row r="32" spans="1:11" ht="12.75">
      <c r="A32" s="3">
        <v>2000</v>
      </c>
      <c r="B32" s="1"/>
      <c r="C32" s="5">
        <f>1-DATA!N$6/DATA!F6</f>
        <v>0.57487922705314</v>
      </c>
      <c r="D32" s="4">
        <f>DATA!V$6</f>
        <v>0.138</v>
      </c>
      <c r="E32" s="6">
        <f>C32*D32</f>
        <v>0.07933333333333333</v>
      </c>
      <c r="F32" s="3"/>
      <c r="G32" s="25">
        <f>DATA!AD$6</f>
        <v>14.59</v>
      </c>
      <c r="H32" s="1"/>
      <c r="I32" s="25">
        <f>DATA!AL$6</f>
        <v>117.66</v>
      </c>
      <c r="J32" s="6"/>
      <c r="K32" s="1"/>
    </row>
    <row r="33" spans="1:11" ht="12.75">
      <c r="A33" s="3">
        <v>2001</v>
      </c>
      <c r="B33" s="1"/>
      <c r="C33" s="5">
        <f>1-DATA!O$6/DATA!G$6</f>
        <v>0.54</v>
      </c>
      <c r="D33" s="4">
        <f>DATA!W$6</f>
        <v>0.131</v>
      </c>
      <c r="E33" s="6">
        <f>C33*D33</f>
        <v>0.07074000000000001</v>
      </c>
      <c r="F33" s="3"/>
      <c r="G33" s="25">
        <f>DATA!AE$6</f>
        <v>15.26</v>
      </c>
      <c r="H33" s="1"/>
      <c r="I33" s="25">
        <f>DATA!AM$6</f>
        <v>116.72</v>
      </c>
      <c r="J33" s="6"/>
      <c r="K33" s="1"/>
    </row>
    <row r="34" spans="1:12" ht="12.75">
      <c r="A34" s="3">
        <v>2002</v>
      </c>
      <c r="B34" s="1"/>
      <c r="C34" s="5">
        <f>1-DATA!P$6/DATA!H$6</f>
        <v>0.36</v>
      </c>
      <c r="D34" s="4">
        <f>DATA!X$6</f>
        <v>0.08</v>
      </c>
      <c r="E34" s="6">
        <f>C34*D34</f>
        <v>0.0288</v>
      </c>
      <c r="F34" s="3"/>
      <c r="G34" s="25">
        <f>DATA!AF$6</f>
        <v>16.97</v>
      </c>
      <c r="H34" s="1"/>
      <c r="I34" s="25">
        <f>DATA!AN$6</f>
        <v>144.97</v>
      </c>
      <c r="J34" s="6"/>
      <c r="K34" s="1"/>
      <c r="L34">
        <f>(I34/I32)^0.5</f>
        <v>1.110004264837989</v>
      </c>
    </row>
    <row r="35" spans="1:11" ht="12.75">
      <c r="A35" s="3">
        <v>2003</v>
      </c>
      <c r="B35" s="1"/>
      <c r="C35" s="5">
        <f>1-DATA!Q$6/DATA!I$6</f>
        <v>0.3006993006993006</v>
      </c>
      <c r="D35" s="4">
        <f>DATA!Y$6</f>
        <v>0.081</v>
      </c>
      <c r="E35" s="6">
        <f>C35*D35</f>
        <v>0.02435664335664335</v>
      </c>
      <c r="F35" s="3"/>
      <c r="G35" s="25">
        <f>DATA!AG$6</f>
        <v>17.59</v>
      </c>
      <c r="H35" s="1"/>
      <c r="I35" s="25">
        <f>DATA!AO$6</f>
        <v>146.26</v>
      </c>
      <c r="J35" s="6"/>
      <c r="K35" s="1"/>
    </row>
    <row r="36" spans="1:11" ht="12.75">
      <c r="A36" s="3">
        <v>2004</v>
      </c>
      <c r="B36" s="1"/>
      <c r="C36" s="5">
        <f>1-DATA!R$6/DATA!J$6</f>
        <v>0.345679012345679</v>
      </c>
      <c r="D36" s="4">
        <f>DATA!Z$6</f>
        <v>0.09</v>
      </c>
      <c r="E36" s="16">
        <f>C36*D36</f>
        <v>0.031111111111111107</v>
      </c>
      <c r="F36" s="17"/>
      <c r="G36" s="26">
        <f>DATA!AH$6</f>
        <v>17.89</v>
      </c>
      <c r="H36" s="18"/>
      <c r="I36" s="26">
        <f>DATA!AP$6</f>
        <v>147.12</v>
      </c>
      <c r="J36" s="6"/>
      <c r="K36" s="1"/>
    </row>
    <row r="37" spans="1:12" ht="12.75">
      <c r="A37" s="19" t="s">
        <v>56</v>
      </c>
      <c r="B37" s="1"/>
      <c r="C37" s="5"/>
      <c r="D37" s="4"/>
      <c r="E37" s="6">
        <f>AVERAGE(E32:E36)</f>
        <v>0.04686821756021756</v>
      </c>
      <c r="F37" s="6"/>
      <c r="G37" s="6">
        <f>DATA!AX$6</f>
        <v>0.055</v>
      </c>
      <c r="H37" s="1"/>
      <c r="I37" s="25"/>
      <c r="J37" s="6">
        <f>(I36/I32)^0.25-1</f>
        <v>0.057452134167113034</v>
      </c>
      <c r="K37" s="1"/>
      <c r="L37">
        <f>(I36/I34)^0.5-1</f>
        <v>0.007388035772808221</v>
      </c>
    </row>
    <row r="38" spans="1:11" ht="12.75">
      <c r="A38" s="3">
        <v>2005</v>
      </c>
      <c r="B38" s="1"/>
      <c r="C38" s="5">
        <f>1-DATA!S$6/DATA!K$6</f>
        <v>0.37222222222222234</v>
      </c>
      <c r="D38" s="4">
        <f>DATA!AA$6</f>
        <v>0.095</v>
      </c>
      <c r="E38" s="6">
        <f>C38*D38</f>
        <v>0.03536111111111112</v>
      </c>
      <c r="F38" s="6"/>
      <c r="G38" s="6"/>
      <c r="H38" s="1"/>
      <c r="I38" s="25">
        <f>DATA!AQ$6</f>
        <v>148</v>
      </c>
      <c r="J38" s="6">
        <f>(I38/I36)-1</f>
        <v>0.005981511691136365</v>
      </c>
      <c r="K38" s="1"/>
    </row>
    <row r="39" spans="1:11" ht="12.75">
      <c r="A39" s="3">
        <v>2006</v>
      </c>
      <c r="B39" s="3"/>
      <c r="C39" s="5">
        <f>1-DATA!T$6/DATA!L$6</f>
        <v>0.32777777777777783</v>
      </c>
      <c r="D39" s="4">
        <f>DATA!AB$6</f>
        <v>0.095</v>
      </c>
      <c r="E39" s="6">
        <f>C39*D39</f>
        <v>0.031138888888888893</v>
      </c>
      <c r="F39" s="3"/>
      <c r="G39" s="6"/>
      <c r="H39" s="3"/>
      <c r="I39" s="25">
        <f>DATA!AR$6</f>
        <v>149</v>
      </c>
      <c r="J39" s="6">
        <f>(I39/I36)^0.5-1</f>
        <v>0.006369059573786862</v>
      </c>
      <c r="K39" s="1"/>
    </row>
    <row r="40" spans="1:11" ht="12.75">
      <c r="A40" s="3" t="s">
        <v>178</v>
      </c>
      <c r="B40" s="1"/>
      <c r="C40" s="5">
        <f>1-DATA!U$6/DATA!M$6</f>
        <v>0.275</v>
      </c>
      <c r="D40" s="4">
        <f>DATA!AC$6</f>
        <v>0.095</v>
      </c>
      <c r="E40" s="6">
        <f>C40*D40</f>
        <v>0.026125000000000002</v>
      </c>
      <c r="F40" s="6"/>
      <c r="G40" s="6">
        <f>DATA!AY$6</f>
        <v>0.03</v>
      </c>
      <c r="H40" s="1"/>
      <c r="I40" s="25">
        <f>DATA!AS$6</f>
        <v>152</v>
      </c>
      <c r="J40" s="6">
        <f>(I40/I36)^0.2-1</f>
        <v>0.006547731387163358</v>
      </c>
      <c r="K40" s="1"/>
    </row>
    <row r="41" spans="1:11" ht="12.75">
      <c r="A41" s="3"/>
      <c r="B41" s="1"/>
      <c r="C41" s="5"/>
      <c r="D41" s="4"/>
      <c r="E41" s="6"/>
      <c r="F41" s="3"/>
      <c r="G41" s="3"/>
      <c r="H41" s="1"/>
      <c r="I41" s="25"/>
      <c r="J41" s="6"/>
      <c r="K41" s="1"/>
    </row>
    <row r="42" spans="1:11" ht="12.75">
      <c r="A42" s="3"/>
      <c r="B42" s="1"/>
      <c r="C42" s="5"/>
      <c r="D42" s="4"/>
      <c r="E42" s="6"/>
      <c r="F42" s="3"/>
      <c r="G42" s="3"/>
      <c r="H42" s="1"/>
      <c r="I42" s="25"/>
      <c r="J42" s="6"/>
      <c r="K42" s="1"/>
    </row>
    <row r="43" spans="1:11" ht="12.75">
      <c r="A43" s="3"/>
      <c r="B43" s="1"/>
      <c r="C43" s="5"/>
      <c r="D43" s="4"/>
      <c r="E43" s="6"/>
      <c r="F43" s="3"/>
      <c r="G43" s="3"/>
      <c r="H43" s="1"/>
      <c r="I43" s="25"/>
      <c r="J43" s="6"/>
      <c r="K43" s="1"/>
    </row>
    <row r="44" spans="1:11" ht="12.75">
      <c r="A44" s="10" t="s">
        <v>13</v>
      </c>
      <c r="B44" s="1"/>
      <c r="C44" s="11"/>
      <c r="D44" s="12" t="s">
        <v>14</v>
      </c>
      <c r="E44" s="13" t="s">
        <v>15</v>
      </c>
      <c r="F44" s="10"/>
      <c r="G44" s="10"/>
      <c r="H44" s="1"/>
      <c r="I44" s="27" t="s">
        <v>145</v>
      </c>
      <c r="J44" s="14" t="s">
        <v>15</v>
      </c>
      <c r="K44" s="1"/>
    </row>
    <row r="45" spans="1:11" ht="12.75">
      <c r="A45" s="3"/>
      <c r="B45" s="1"/>
      <c r="C45" s="5"/>
      <c r="D45" s="4"/>
      <c r="E45" s="6"/>
      <c r="F45" s="3"/>
      <c r="G45" s="3"/>
      <c r="H45" s="1"/>
      <c r="I45" s="25"/>
      <c r="J45" s="6"/>
      <c r="K45" s="1"/>
    </row>
    <row r="46" spans="1:11" ht="12.75">
      <c r="A46" s="3"/>
      <c r="B46" s="1"/>
      <c r="C46" s="5" t="s">
        <v>146</v>
      </c>
      <c r="D46" s="4" t="s">
        <v>123</v>
      </c>
      <c r="E46" s="6"/>
      <c r="F46" s="3"/>
      <c r="G46" s="3" t="s">
        <v>124</v>
      </c>
      <c r="H46" s="1"/>
      <c r="I46" s="25" t="s">
        <v>125</v>
      </c>
      <c r="J46" s="6" t="s">
        <v>126</v>
      </c>
      <c r="K46" s="1"/>
    </row>
    <row r="47" spans="1:11" ht="12.75">
      <c r="A47" s="15" t="str">
        <f>DATA!A$7</f>
        <v>FE</v>
      </c>
      <c r="B47" s="1"/>
      <c r="C47" s="11" t="s">
        <v>127</v>
      </c>
      <c r="D47" s="12" t="s">
        <v>128</v>
      </c>
      <c r="E47" s="13" t="s">
        <v>154</v>
      </c>
      <c r="F47" s="10"/>
      <c r="G47" s="10" t="s">
        <v>54</v>
      </c>
      <c r="H47" s="1"/>
      <c r="I47" s="28" t="s">
        <v>55</v>
      </c>
      <c r="J47" s="13" t="s">
        <v>15</v>
      </c>
      <c r="K47" s="1"/>
    </row>
    <row r="48" spans="1:11" ht="12.75">
      <c r="A48" s="3">
        <v>2000</v>
      </c>
      <c r="B48" s="1"/>
      <c r="C48" s="5">
        <f>1-DATA!N$7/DATA!F7</f>
        <v>0.4423791821561338</v>
      </c>
      <c r="D48" s="4">
        <f>DATA!V$7</f>
        <v>0.129</v>
      </c>
      <c r="E48" s="6">
        <f>C48*D48</f>
        <v>0.05706691449814126</v>
      </c>
      <c r="F48" s="3"/>
      <c r="G48" s="25">
        <f>DATA!AD$7</f>
        <v>20.72</v>
      </c>
      <c r="H48" s="1"/>
      <c r="I48" s="25">
        <f>DATA!AL$7</f>
        <v>224.53</v>
      </c>
      <c r="J48" s="6"/>
      <c r="K48" s="1"/>
    </row>
    <row r="49" spans="1:11" ht="12.75">
      <c r="A49" s="3">
        <v>2001</v>
      </c>
      <c r="B49" s="1"/>
      <c r="C49" s="5">
        <f>1-DATA!O$7/DATA!G$7</f>
        <v>0.4718309859154929</v>
      </c>
      <c r="D49" s="4">
        <f>DATA!W$7</f>
        <v>0.089</v>
      </c>
      <c r="E49" s="6">
        <f>C49*D49</f>
        <v>0.04199295774647886</v>
      </c>
      <c r="F49" s="3"/>
      <c r="G49" s="25">
        <f>DATA!AE$7</f>
        <v>24.86</v>
      </c>
      <c r="H49" s="1"/>
      <c r="I49" s="25">
        <f>DATA!AM$7</f>
        <v>297.64</v>
      </c>
      <c r="J49" s="6"/>
      <c r="K49" s="1"/>
    </row>
    <row r="50" spans="1:11" ht="12.75">
      <c r="A50" s="3">
        <v>2002</v>
      </c>
      <c r="B50" s="1"/>
      <c r="C50" s="5">
        <f>1-DATA!P$7/DATA!H$7</f>
        <v>0.40944881889763785</v>
      </c>
      <c r="D50" s="4">
        <f>DATA!X$7</f>
        <v>0.105</v>
      </c>
      <c r="E50" s="6">
        <f>C50*D50</f>
        <v>0.04299212598425197</v>
      </c>
      <c r="F50" s="3"/>
      <c r="G50" s="25">
        <f>DATA!AF$7</f>
        <v>23.92</v>
      </c>
      <c r="H50" s="1"/>
      <c r="I50" s="25">
        <f>DATA!AN$7</f>
        <v>297.64</v>
      </c>
      <c r="J50" s="6"/>
      <c r="K50" s="1"/>
    </row>
    <row r="51" spans="1:12" ht="12.75">
      <c r="A51" s="3">
        <v>2003</v>
      </c>
      <c r="B51" s="1"/>
      <c r="C51" s="5">
        <f>1-DATA!Q$7/DATA!I$7</f>
        <v>-0.020408163265306145</v>
      </c>
      <c r="D51" s="4">
        <f>DATA!Y$7</f>
        <v>0.054</v>
      </c>
      <c r="E51" s="6">
        <f>C51*D51</f>
        <v>-0.0011020408163265319</v>
      </c>
      <c r="F51" s="3"/>
      <c r="G51" s="25">
        <f>DATA!AG$7</f>
        <v>25.13</v>
      </c>
      <c r="H51" s="1"/>
      <c r="I51" s="25">
        <f>DATA!AO$7</f>
        <v>329.84</v>
      </c>
      <c r="J51" s="6"/>
      <c r="K51" s="1"/>
      <c r="L51">
        <f>(I51/I48)^0.3333-1</f>
        <v>0.13676514117493177</v>
      </c>
    </row>
    <row r="52" spans="1:11" ht="12.75">
      <c r="A52" s="3">
        <v>2004</v>
      </c>
      <c r="B52" s="1"/>
      <c r="C52" s="5">
        <f>1-DATA!R$7/DATA!J$7</f>
        <v>0.31046931407942246</v>
      </c>
      <c r="D52" s="4">
        <f>DATA!Z$7</f>
        <v>0.106</v>
      </c>
      <c r="E52" s="16">
        <f>C52*D52</f>
        <v>0.03290974729241878</v>
      </c>
      <c r="F52" s="17"/>
      <c r="G52" s="26">
        <f>DATA!AH$7</f>
        <v>26.04</v>
      </c>
      <c r="H52" s="18"/>
      <c r="I52" s="26">
        <f>DATA!AP$7</f>
        <v>329.84</v>
      </c>
      <c r="J52" s="6"/>
      <c r="K52" s="1"/>
    </row>
    <row r="53" spans="1:11" ht="12.75">
      <c r="A53" s="19" t="s">
        <v>56</v>
      </c>
      <c r="B53" s="1"/>
      <c r="C53" s="5"/>
      <c r="D53" s="4"/>
      <c r="E53" s="6">
        <f>AVERAGE(E48:E52)</f>
        <v>0.03477194094099287</v>
      </c>
      <c r="F53" s="6"/>
      <c r="G53" s="6">
        <f>DATA!AX$7</f>
        <v>0.06</v>
      </c>
      <c r="H53" s="1"/>
      <c r="I53" s="25"/>
      <c r="J53" s="6">
        <f>(I52/I48)^0.25-1</f>
        <v>0.10092373881887484</v>
      </c>
      <c r="K53" s="1"/>
    </row>
    <row r="54" spans="1:11" ht="12.75">
      <c r="A54" s="3">
        <v>2005</v>
      </c>
      <c r="B54" s="1"/>
      <c r="C54" s="5">
        <f>1-DATA!S$7/DATA!K$7</f>
        <v>0.5649122807017544</v>
      </c>
      <c r="D54" s="4">
        <f>DATA!AA$7</f>
        <v>0.105</v>
      </c>
      <c r="E54" s="6">
        <f>C54*D54</f>
        <v>0.059315789473684204</v>
      </c>
      <c r="F54" s="6"/>
      <c r="G54" s="6"/>
      <c r="H54" s="1"/>
      <c r="I54" s="25">
        <f>DATA!AQ$7</f>
        <v>329.84</v>
      </c>
      <c r="J54" s="6">
        <f>(I54/I52)-1</f>
        <v>0</v>
      </c>
      <c r="K54" s="1"/>
    </row>
    <row r="55" spans="1:11" ht="12.75">
      <c r="A55" s="3">
        <v>2006</v>
      </c>
      <c r="B55" s="3"/>
      <c r="C55" s="5">
        <f>1-DATA!T$7/DATA!L$7</f>
        <v>0.5014492753623189</v>
      </c>
      <c r="D55" s="4">
        <f>DATA!AB$7</f>
        <v>0.115</v>
      </c>
      <c r="E55" s="6">
        <f>C55*D55</f>
        <v>0.05766666666666667</v>
      </c>
      <c r="F55" s="3"/>
      <c r="G55" s="6"/>
      <c r="H55" s="3"/>
      <c r="I55" s="25">
        <f>DATA!AR$7</f>
        <v>329.84</v>
      </c>
      <c r="J55" s="6">
        <f>(I55/I52)^0.5-1</f>
        <v>0</v>
      </c>
      <c r="K55" s="3"/>
    </row>
    <row r="56" spans="1:11" ht="12.75">
      <c r="A56" s="3" t="s">
        <v>178</v>
      </c>
      <c r="B56" s="1"/>
      <c r="C56" s="5">
        <f>1-DATA!U$7/DATA!M$7</f>
        <v>0.5</v>
      </c>
      <c r="D56" s="4">
        <f>DATA!AC$7</f>
        <v>0.115</v>
      </c>
      <c r="E56" s="6">
        <f>C56*D56</f>
        <v>0.0575</v>
      </c>
      <c r="F56" s="6"/>
      <c r="G56" s="6">
        <f>DATA!AY$7</f>
        <v>0.055</v>
      </c>
      <c r="H56" s="1"/>
      <c r="I56" s="25">
        <f>DATA!AS$7</f>
        <v>329.84</v>
      </c>
      <c r="J56" s="6">
        <f>(I56/I52)^0.2-1</f>
        <v>0</v>
      </c>
      <c r="K56" s="1"/>
    </row>
    <row r="57" spans="1:11" ht="12.75">
      <c r="A57" s="3"/>
      <c r="B57" s="1"/>
      <c r="C57" s="5"/>
      <c r="D57" s="4"/>
      <c r="E57" s="6"/>
      <c r="F57" s="3"/>
      <c r="G57" s="3"/>
      <c r="H57" s="1"/>
      <c r="I57" s="25"/>
      <c r="J57" s="86" t="s">
        <v>215</v>
      </c>
      <c r="K57" s="1"/>
    </row>
    <row r="58" spans="1:11" ht="12.75">
      <c r="A58" s="3"/>
      <c r="B58" s="1"/>
      <c r="C58" s="5"/>
      <c r="D58" s="4"/>
      <c r="E58" s="6"/>
      <c r="F58" s="3"/>
      <c r="G58" s="3"/>
      <c r="H58" s="1"/>
      <c r="I58" s="25"/>
      <c r="J58" s="33" t="s">
        <v>220</v>
      </c>
      <c r="K58" s="1"/>
    </row>
    <row r="59" spans="1:11" ht="12.75">
      <c r="A59" s="3"/>
      <c r="B59" s="1"/>
      <c r="C59" s="5"/>
      <c r="D59" s="4"/>
      <c r="E59" s="6"/>
      <c r="F59" s="3"/>
      <c r="G59" s="3"/>
      <c r="H59" s="1"/>
      <c r="I59" s="25"/>
      <c r="J59" s="6" t="s">
        <v>143</v>
      </c>
      <c r="K59" s="1"/>
    </row>
    <row r="60" spans="1:11" ht="12.75">
      <c r="A60" s="3"/>
      <c r="B60" s="1"/>
      <c r="C60" s="5"/>
      <c r="D60" s="4"/>
      <c r="E60" s="6"/>
      <c r="F60" s="3"/>
      <c r="G60" s="3"/>
      <c r="H60" s="1"/>
      <c r="I60" s="25"/>
      <c r="J60" s="6"/>
      <c r="K60" s="1"/>
    </row>
    <row r="61" spans="1:11" ht="12.75">
      <c r="A61" s="3"/>
      <c r="B61" s="1"/>
      <c r="C61" s="5"/>
      <c r="D61" s="4"/>
      <c r="E61" s="6"/>
      <c r="F61" s="3"/>
      <c r="G61" s="3"/>
      <c r="H61" s="1"/>
      <c r="I61" s="25"/>
      <c r="J61" s="6"/>
      <c r="K61" s="1"/>
    </row>
    <row r="62" spans="1:11" ht="12.75">
      <c r="A62" s="3"/>
      <c r="B62" s="1"/>
      <c r="C62" s="5"/>
      <c r="D62" s="4"/>
      <c r="E62" s="8"/>
      <c r="F62" s="9" t="str">
        <f>F$6</f>
        <v>AVISTA UTILITIES</v>
      </c>
      <c r="G62" s="1"/>
      <c r="H62" s="1"/>
      <c r="I62" s="25"/>
      <c r="J62" s="6"/>
      <c r="K62" s="1"/>
    </row>
    <row r="63" spans="1:11" ht="12.75">
      <c r="A63" s="3"/>
      <c r="B63" s="1"/>
      <c r="C63" s="5"/>
      <c r="D63" s="4"/>
      <c r="E63" s="8"/>
      <c r="F63" s="3" t="s">
        <v>12</v>
      </c>
      <c r="G63" s="1"/>
      <c r="H63" s="1"/>
      <c r="I63" s="25"/>
      <c r="J63" s="6"/>
      <c r="K63" s="1"/>
    </row>
    <row r="64" spans="1:11" ht="12.75">
      <c r="A64" s="3"/>
      <c r="B64" s="1"/>
      <c r="C64" s="5"/>
      <c r="D64" s="4"/>
      <c r="E64" s="6"/>
      <c r="F64" s="3"/>
      <c r="G64" s="3"/>
      <c r="H64" s="1"/>
      <c r="I64" s="25"/>
      <c r="J64" s="6"/>
      <c r="K64" s="1"/>
    </row>
    <row r="65" spans="1:11" ht="12.75">
      <c r="A65" s="3"/>
      <c r="B65" s="1"/>
      <c r="C65" s="5"/>
      <c r="D65" s="4"/>
      <c r="E65" s="6"/>
      <c r="F65" s="3"/>
      <c r="G65" s="3"/>
      <c r="H65" s="1"/>
      <c r="I65" s="25"/>
      <c r="J65" s="6"/>
      <c r="K65" s="1"/>
    </row>
    <row r="66" spans="1:11" ht="12.75">
      <c r="A66" s="3"/>
      <c r="B66" s="1"/>
      <c r="C66" s="5"/>
      <c r="D66" s="4"/>
      <c r="E66" s="6"/>
      <c r="F66" s="3"/>
      <c r="G66" s="3"/>
      <c r="H66" s="1"/>
      <c r="I66" s="25"/>
      <c r="J66" s="6"/>
      <c r="K66" s="1"/>
    </row>
    <row r="67" spans="1:11" ht="12.75">
      <c r="A67" s="10" t="s">
        <v>13</v>
      </c>
      <c r="B67" s="1"/>
      <c r="C67" s="11"/>
      <c r="D67" s="12" t="s">
        <v>14</v>
      </c>
      <c r="E67" s="13" t="s">
        <v>15</v>
      </c>
      <c r="F67" s="10"/>
      <c r="G67" s="10"/>
      <c r="H67" s="1"/>
      <c r="I67" s="27" t="s">
        <v>145</v>
      </c>
      <c r="J67" s="14" t="s">
        <v>15</v>
      </c>
      <c r="K67" s="1"/>
    </row>
    <row r="68" spans="1:11" ht="12.75">
      <c r="A68" s="3"/>
      <c r="B68" s="1"/>
      <c r="C68" s="5"/>
      <c r="D68" s="4"/>
      <c r="E68" s="6"/>
      <c r="F68" s="3"/>
      <c r="G68" s="3"/>
      <c r="H68" s="1"/>
      <c r="I68" s="25"/>
      <c r="J68" s="6"/>
      <c r="K68" s="1"/>
    </row>
    <row r="69" spans="1:11" ht="12.75">
      <c r="A69" s="3"/>
      <c r="B69" s="1"/>
      <c r="C69" s="5" t="s">
        <v>146</v>
      </c>
      <c r="D69" s="4" t="s">
        <v>123</v>
      </c>
      <c r="E69" s="6"/>
      <c r="F69" s="3"/>
      <c r="G69" s="3" t="s">
        <v>124</v>
      </c>
      <c r="H69" s="1"/>
      <c r="I69" s="25" t="s">
        <v>125</v>
      </c>
      <c r="J69" s="6" t="s">
        <v>126</v>
      </c>
      <c r="K69" s="1"/>
    </row>
    <row r="70" spans="1:11" ht="12.75">
      <c r="A70" s="15" t="str">
        <f>DATA!A$8</f>
        <v>GMP</v>
      </c>
      <c r="B70" s="1"/>
      <c r="C70" s="11" t="s">
        <v>127</v>
      </c>
      <c r="D70" s="12" t="s">
        <v>128</v>
      </c>
      <c r="E70" s="13" t="s">
        <v>154</v>
      </c>
      <c r="F70" s="10"/>
      <c r="G70" s="10" t="s">
        <v>54</v>
      </c>
      <c r="H70" s="1"/>
      <c r="I70" s="28" t="s">
        <v>55</v>
      </c>
      <c r="J70" s="13" t="s">
        <v>15</v>
      </c>
      <c r="K70" s="1"/>
    </row>
    <row r="71" spans="1:11" ht="12.75">
      <c r="A71" s="3">
        <v>2000</v>
      </c>
      <c r="B71" s="1"/>
      <c r="C71" s="5">
        <f>1-DATA!N$8/DATA!F$8</f>
        <v>10.166666666666668</v>
      </c>
      <c r="D71" s="4" t="str">
        <f>DATA!V$8</f>
        <v>nmf</v>
      </c>
      <c r="E71" s="6" t="s">
        <v>179</v>
      </c>
      <c r="F71" s="3"/>
      <c r="G71" s="3">
        <f>DATA!AD$8</f>
        <v>16.53</v>
      </c>
      <c r="H71" s="1"/>
      <c r="I71" s="25">
        <f>DATA!AL$8</f>
        <v>5.57</v>
      </c>
      <c r="J71" s="6"/>
      <c r="K71" s="1"/>
    </row>
    <row r="72" spans="1:11" ht="12.75">
      <c r="A72" s="3">
        <v>2001</v>
      </c>
      <c r="B72" s="1"/>
      <c r="C72" s="5">
        <f>1-DATA!O$8/DATA!G$8</f>
        <v>0.7074468085106382</v>
      </c>
      <c r="D72" s="4">
        <f>DATA!W$8</f>
        <v>0.107</v>
      </c>
      <c r="E72" s="6">
        <f>C72*D72</f>
        <v>0.07569680851063829</v>
      </c>
      <c r="F72" s="3"/>
      <c r="G72" s="3">
        <f>DATA!AE$8</f>
        <v>17.81</v>
      </c>
      <c r="H72" s="1"/>
      <c r="I72" s="25">
        <f>DATA!AM$8</f>
        <v>5.69</v>
      </c>
      <c r="J72" s="6"/>
      <c r="K72" s="1"/>
    </row>
    <row r="73" spans="1:11" ht="12.75">
      <c r="A73" s="3">
        <v>2002</v>
      </c>
      <c r="B73" s="1"/>
      <c r="C73" s="5">
        <f>1-DATA!P$8/DATA!H$8</f>
        <v>0.6938775510204082</v>
      </c>
      <c r="D73" s="4">
        <f>DATA!X$8</f>
        <v>0.123</v>
      </c>
      <c r="E73" s="6">
        <f>C73*D73</f>
        <v>0.08534693877551021</v>
      </c>
      <c r="F73" s="3"/>
      <c r="G73" s="3">
        <f>DATA!AF$8</f>
        <v>18.51</v>
      </c>
      <c r="H73" s="1"/>
      <c r="I73" s="25">
        <f>DATA!AN$8</f>
        <v>4.95</v>
      </c>
      <c r="J73" s="6"/>
      <c r="K73" s="1"/>
    </row>
    <row r="74" spans="1:11" ht="12.75">
      <c r="A74" s="3">
        <v>2003</v>
      </c>
      <c r="B74" s="1"/>
      <c r="C74" s="5">
        <f>1-DATA!Q$8/DATA!I$8</f>
        <v>0.6218905472636815</v>
      </c>
      <c r="D74" s="4">
        <f>DATA!Y$8</f>
        <v>0.103</v>
      </c>
      <c r="E74" s="6">
        <f>C74*D74</f>
        <v>0.06405472636815919</v>
      </c>
      <c r="F74" s="3"/>
      <c r="G74" s="3">
        <f>DATA!AG$8</f>
        <v>19.85</v>
      </c>
      <c r="H74" s="1"/>
      <c r="I74" s="25">
        <f>DATA!AO$8</f>
        <v>5.03</v>
      </c>
      <c r="J74" s="6"/>
      <c r="K74" s="1"/>
    </row>
    <row r="75" spans="1:11" ht="12.75">
      <c r="A75" s="3">
        <v>2004</v>
      </c>
      <c r="B75" s="1"/>
      <c r="C75" s="5">
        <f>1-DATA!R$8/DATA!J$8</f>
        <v>0.5809523809523809</v>
      </c>
      <c r="D75" s="4">
        <f>DATA!Z$8</f>
        <v>0.101</v>
      </c>
      <c r="E75" s="16">
        <f>C75*D75</f>
        <v>0.05867619047619047</v>
      </c>
      <c r="F75" s="17"/>
      <c r="G75" s="17">
        <f>DATA!AH$8</f>
        <v>21.32</v>
      </c>
      <c r="H75" s="18"/>
      <c r="I75" s="26">
        <f>DATA!AP$8</f>
        <v>5.14</v>
      </c>
      <c r="J75" s="6"/>
      <c r="K75" s="1"/>
    </row>
    <row r="76" spans="1:11" ht="12.75">
      <c r="A76" s="19" t="s">
        <v>56</v>
      </c>
      <c r="B76" s="1"/>
      <c r="C76" s="5"/>
      <c r="D76" s="4"/>
      <c r="E76" s="6">
        <f>AVERAGE(E71:E75)</f>
        <v>0.07094366603262454</v>
      </c>
      <c r="F76" s="6"/>
      <c r="G76" s="6">
        <f>DATA!AX$8</f>
        <v>-0.005</v>
      </c>
      <c r="H76" s="1"/>
      <c r="I76" s="25"/>
      <c r="J76" s="6">
        <f>(I75/I71)^0.25-1</f>
        <v>-0.01988512384210195</v>
      </c>
      <c r="K76" s="1"/>
    </row>
    <row r="77" spans="1:11" ht="12.75">
      <c r="A77" s="3">
        <v>2005</v>
      </c>
      <c r="B77" s="1"/>
      <c r="C77" s="5">
        <f>1-DATA!S$8/DATA!K$8</f>
        <v>0.5348837209302326</v>
      </c>
      <c r="D77" s="4">
        <f>DATA!AA$8</f>
        <v>0.1</v>
      </c>
      <c r="E77" s="6">
        <f>C77*D77</f>
        <v>0.05348837209302326</v>
      </c>
      <c r="F77" s="6"/>
      <c r="G77" s="6"/>
      <c r="H77" s="1"/>
      <c r="I77" s="25">
        <f>DATA!AQ$8</f>
        <v>5.25</v>
      </c>
      <c r="J77" s="6">
        <f>(I77/I75)-1</f>
        <v>0.021400778210116878</v>
      </c>
      <c r="K77" s="1"/>
    </row>
    <row r="78" spans="1:11" ht="12.75">
      <c r="A78" s="3">
        <v>2006</v>
      </c>
      <c r="B78" s="3"/>
      <c r="C78" s="5">
        <f>1-DATA!T$8/DATA!L$8</f>
        <v>0.52</v>
      </c>
      <c r="D78" s="4">
        <f>DATA!AB$8</f>
        <v>0.1</v>
      </c>
      <c r="E78" s="6">
        <f>C78*D78</f>
        <v>0.052000000000000005</v>
      </c>
      <c r="F78" s="3"/>
      <c r="G78" s="6"/>
      <c r="H78" s="3"/>
      <c r="I78" s="25">
        <f>DATA!AR$8</f>
        <v>5.3</v>
      </c>
      <c r="J78" s="6">
        <f>(I78/I75)^0.5-1</f>
        <v>0.015444929412354202</v>
      </c>
      <c r="K78" s="3"/>
    </row>
    <row r="79" spans="1:11" ht="12.75">
      <c r="A79" s="3" t="s">
        <v>178</v>
      </c>
      <c r="B79" s="1"/>
      <c r="C79" s="5">
        <f>1-DATA!U$8/DATA!M$8</f>
        <v>0.46122448979591835</v>
      </c>
      <c r="D79" s="4">
        <f>DATA!AC$8</f>
        <v>0.1</v>
      </c>
      <c r="E79" s="6">
        <f>C79*D79</f>
        <v>0.046122448979591835</v>
      </c>
      <c r="F79" s="6"/>
      <c r="G79" s="6">
        <f>DATA!AY$8</f>
        <v>0.03</v>
      </c>
      <c r="H79" s="1"/>
      <c r="I79" s="25">
        <f>DATA!AS$8</f>
        <v>5.45</v>
      </c>
      <c r="J79" s="6">
        <f>(I79/I75)^0.2-1</f>
        <v>0.011781365816508682</v>
      </c>
      <c r="K79" s="1"/>
    </row>
    <row r="80" spans="1:11" ht="12.75">
      <c r="A80" s="3"/>
      <c r="B80" s="1"/>
      <c r="C80" s="5"/>
      <c r="D80" s="4"/>
      <c r="E80" s="6"/>
      <c r="F80" s="3"/>
      <c r="G80" s="3"/>
      <c r="H80" s="1"/>
      <c r="I80" s="25"/>
      <c r="J80" s="6"/>
      <c r="K80" s="1"/>
    </row>
    <row r="81" spans="1:11" ht="12.75">
      <c r="A81" s="3"/>
      <c r="B81" s="1"/>
      <c r="C81" s="5"/>
      <c r="D81" s="4"/>
      <c r="E81" s="6"/>
      <c r="F81" s="3"/>
      <c r="G81" s="3"/>
      <c r="H81" s="1"/>
      <c r="I81" s="25"/>
      <c r="J81" s="6"/>
      <c r="K81" s="1"/>
    </row>
    <row r="82" spans="1:11" ht="12.75">
      <c r="A82" s="3"/>
      <c r="B82" s="1"/>
      <c r="C82" s="5"/>
      <c r="D82" s="4"/>
      <c r="E82" s="6"/>
      <c r="F82" s="3"/>
      <c r="G82" s="3"/>
      <c r="H82" s="1"/>
      <c r="I82" s="25"/>
      <c r="J82" s="6"/>
      <c r="K82" s="1"/>
    </row>
    <row r="83" spans="1:11" ht="12.75">
      <c r="A83" s="10" t="s">
        <v>13</v>
      </c>
      <c r="B83" s="1"/>
      <c r="C83" s="11"/>
      <c r="D83" s="12" t="s">
        <v>14</v>
      </c>
      <c r="E83" s="13" t="s">
        <v>15</v>
      </c>
      <c r="F83" s="10"/>
      <c r="G83" s="10"/>
      <c r="H83" s="1"/>
      <c r="I83" s="27" t="s">
        <v>145</v>
      </c>
      <c r="J83" s="14" t="s">
        <v>15</v>
      </c>
      <c r="K83" s="1"/>
    </row>
    <row r="84" spans="1:11" ht="12.75">
      <c r="A84" s="3"/>
      <c r="B84" s="1"/>
      <c r="C84" s="5"/>
      <c r="D84" s="4"/>
      <c r="E84" s="6"/>
      <c r="F84" s="3"/>
      <c r="G84" s="3"/>
      <c r="H84" s="1"/>
      <c r="I84" s="25"/>
      <c r="J84" s="6"/>
      <c r="K84" s="1"/>
    </row>
    <row r="85" spans="1:11" ht="12.75">
      <c r="A85" s="3"/>
      <c r="B85" s="1"/>
      <c r="C85" s="5" t="s">
        <v>146</v>
      </c>
      <c r="D85" s="4" t="s">
        <v>123</v>
      </c>
      <c r="E85" s="6"/>
      <c r="F85" s="3"/>
      <c r="G85" s="3" t="s">
        <v>124</v>
      </c>
      <c r="H85" s="1"/>
      <c r="I85" s="25" t="s">
        <v>125</v>
      </c>
      <c r="J85" s="6" t="s">
        <v>126</v>
      </c>
      <c r="K85" s="1"/>
    </row>
    <row r="86" spans="1:11" ht="12.75">
      <c r="A86" s="15" t="str">
        <f>DATA!A$9</f>
        <v>NU</v>
      </c>
      <c r="B86" s="1"/>
      <c r="C86" s="11" t="s">
        <v>127</v>
      </c>
      <c r="D86" s="12" t="s">
        <v>128</v>
      </c>
      <c r="E86" s="13" t="s">
        <v>154</v>
      </c>
      <c r="F86" s="10"/>
      <c r="G86" s="10" t="s">
        <v>54</v>
      </c>
      <c r="H86" s="1"/>
      <c r="I86" s="28" t="s">
        <v>55</v>
      </c>
      <c r="J86" s="13" t="s">
        <v>15</v>
      </c>
      <c r="K86" s="1"/>
    </row>
    <row r="87" spans="1:11" ht="12.75">
      <c r="A87" s="3">
        <f>DATA!F$3</f>
        <v>2000</v>
      </c>
      <c r="B87" s="1"/>
      <c r="C87" s="5">
        <f>1-DATA!N$9/DATA!F$9</f>
        <v>3</v>
      </c>
      <c r="D87" s="4" t="str">
        <f>DATA!V$9</f>
        <v>nmf</v>
      </c>
      <c r="E87" s="6" t="s">
        <v>179</v>
      </c>
      <c r="F87" s="3"/>
      <c r="G87" s="25">
        <f>DATA!AD$9</f>
        <v>15.43</v>
      </c>
      <c r="H87" s="1"/>
      <c r="I87" s="25">
        <f>DATA!AL$9</f>
        <v>143.82</v>
      </c>
      <c r="J87" s="6"/>
      <c r="K87" s="1"/>
    </row>
    <row r="88" spans="1:11" ht="12.75">
      <c r="A88" s="3">
        <f>DATA!G$3</f>
        <v>2001</v>
      </c>
      <c r="B88" s="1"/>
      <c r="C88" s="5">
        <f>1-DATA!O$9/DATA!G$9</f>
        <v>0.6715328467153285</v>
      </c>
      <c r="D88" s="4">
        <f>DATA!W$9</f>
        <v>0.085</v>
      </c>
      <c r="E88" s="6">
        <f>C88*D88</f>
        <v>0.05708029197080293</v>
      </c>
      <c r="F88" s="3"/>
      <c r="G88" s="25">
        <f>DATA!AE$9</f>
        <v>16.27</v>
      </c>
      <c r="H88" s="1"/>
      <c r="I88" s="25">
        <f>DATA!AM$9</f>
        <v>130.13</v>
      </c>
      <c r="J88" s="6"/>
      <c r="K88" s="1"/>
    </row>
    <row r="89" spans="1:11" ht="12.75">
      <c r="A89" s="3">
        <f>DATA!H$3</f>
        <v>2002</v>
      </c>
      <c r="B89" s="1"/>
      <c r="C89" s="5">
        <f>1-DATA!P$9/DATA!H$9</f>
        <v>0.5092592592592593</v>
      </c>
      <c r="D89" s="4">
        <f>DATA!X$9</f>
        <v>0.063</v>
      </c>
      <c r="E89" s="6">
        <f>C89*D89</f>
        <v>0.03208333333333334</v>
      </c>
      <c r="F89" s="3"/>
      <c r="G89" s="25">
        <f>DATA!AF$9</f>
        <v>17.33</v>
      </c>
      <c r="H89" s="1"/>
      <c r="I89" s="25">
        <f>DATA!AN$9</f>
        <v>127.56</v>
      </c>
      <c r="J89" s="6"/>
      <c r="K89" s="1"/>
    </row>
    <row r="90" spans="1:11" ht="12.75">
      <c r="A90" s="3">
        <f>DATA!I$3</f>
        <v>2003</v>
      </c>
      <c r="B90" s="1"/>
      <c r="C90" s="5">
        <f>1-DATA!Q$9/DATA!I$9</f>
        <v>0.532258064516129</v>
      </c>
      <c r="D90" s="4">
        <f>DATA!Y$9</f>
        <v>0.069</v>
      </c>
      <c r="E90" s="6">
        <f>C90*D90</f>
        <v>0.036725806451612907</v>
      </c>
      <c r="F90" s="3"/>
      <c r="G90" s="25">
        <f>DATA!AG$9</f>
        <v>17.73</v>
      </c>
      <c r="H90" s="1"/>
      <c r="I90" s="25">
        <f>DATA!AO$9</f>
        <v>127.7</v>
      </c>
      <c r="J90" s="6"/>
      <c r="K90" s="1"/>
    </row>
    <row r="91" spans="1:11" ht="12.75">
      <c r="A91" s="3">
        <f>DATA!J$3</f>
        <v>2004</v>
      </c>
      <c r="B91" s="1"/>
      <c r="C91" s="5">
        <f>1-DATA!R$9/DATA!J$9</f>
        <v>0.3076923076923077</v>
      </c>
      <c r="D91" s="4">
        <f>DATA!Z$9</f>
        <v>0.051</v>
      </c>
      <c r="E91" s="16">
        <f>C91*D91</f>
        <v>0.015692307692307693</v>
      </c>
      <c r="F91" s="17"/>
      <c r="G91" s="26">
        <f>DATA!AH$9</f>
        <v>17.8</v>
      </c>
      <c r="H91" s="18"/>
      <c r="I91" s="26">
        <f>DATA!AP$9</f>
        <v>129.03</v>
      </c>
      <c r="J91" s="6"/>
      <c r="K91" s="1"/>
    </row>
    <row r="92" spans="1:11" ht="12.75">
      <c r="A92" s="19" t="s">
        <v>56</v>
      </c>
      <c r="B92" s="1"/>
      <c r="C92" s="5"/>
      <c r="D92" s="4"/>
      <c r="E92" s="6">
        <f>AVERAGE(E87:E91)</f>
        <v>0.03539543486201422</v>
      </c>
      <c r="F92" s="6"/>
      <c r="G92" s="6">
        <f>DATA!AX$9</f>
        <v>0.02</v>
      </c>
      <c r="H92" s="1"/>
      <c r="I92" s="25"/>
      <c r="J92" s="6">
        <f>(I91/I87)^0.25-1</f>
        <v>-0.026764698943192777</v>
      </c>
      <c r="K92" s="1"/>
    </row>
    <row r="93" spans="1:11" ht="12.75">
      <c r="A93" s="3">
        <f>DATA!K$3</f>
        <v>2005</v>
      </c>
      <c r="B93" s="1"/>
      <c r="C93" s="5">
        <f>1-DATA!S$9/DATA!K$9</f>
        <v>0.4086956521739129</v>
      </c>
      <c r="D93" s="4">
        <f>DATA!AA$9</f>
        <v>0.07</v>
      </c>
      <c r="E93" s="6">
        <f>C93*D93</f>
        <v>0.028608695652173905</v>
      </c>
      <c r="F93" s="6"/>
      <c r="G93" s="6"/>
      <c r="H93" s="1"/>
      <c r="I93" s="25">
        <f>DATA!AQ$9</f>
        <v>130</v>
      </c>
      <c r="J93" s="6">
        <f>(I93/I91)-1</f>
        <v>0.00751763155855234</v>
      </c>
      <c r="K93" s="1"/>
    </row>
    <row r="94" spans="1:11" ht="12.75">
      <c r="A94" s="3">
        <f>DATA!L$3</f>
        <v>2006</v>
      </c>
      <c r="B94" s="3"/>
      <c r="C94" s="5">
        <f>1-DATA!T$9/DATA!L$9</f>
        <v>0.4666666666666667</v>
      </c>
      <c r="D94" s="4">
        <f>DATA!AB$9</f>
        <v>0.075</v>
      </c>
      <c r="E94" s="6">
        <f>C94*D94</f>
        <v>0.034999999999999996</v>
      </c>
      <c r="F94" s="3"/>
      <c r="G94" s="6"/>
      <c r="H94" s="3"/>
      <c r="I94" s="25">
        <f>DATA!AR$9</f>
        <v>134</v>
      </c>
      <c r="J94" s="6">
        <f>(I94/I91)^0.5-1</f>
        <v>0.01907711880310914</v>
      </c>
      <c r="K94" s="3"/>
    </row>
    <row r="95" spans="1:11" ht="12.75">
      <c r="A95" s="3" t="str">
        <f>DATA!M$3</f>
        <v>2008-2010</v>
      </c>
      <c r="B95" s="1"/>
      <c r="C95" s="5">
        <f>1-DATA!U$9/DATA!M$9</f>
        <v>0.515</v>
      </c>
      <c r="D95" s="4">
        <f>DATA!AC$9</f>
        <v>0.1</v>
      </c>
      <c r="E95" s="6">
        <f>C95*D95</f>
        <v>0.051500000000000004</v>
      </c>
      <c r="F95" s="6"/>
      <c r="G95" s="6">
        <f>DATA!AY$9</f>
        <v>0.025</v>
      </c>
      <c r="H95" s="1"/>
      <c r="I95" s="25">
        <f>DATA!AS$9</f>
        <v>135</v>
      </c>
      <c r="J95" s="6">
        <f>(I95/I91)^0.2-1</f>
        <v>0.009087007019607185</v>
      </c>
      <c r="K95" s="1"/>
    </row>
    <row r="96" spans="1:11" ht="12.75">
      <c r="A96" s="3"/>
      <c r="B96" s="1"/>
      <c r="C96" s="5"/>
      <c r="D96" s="4"/>
      <c r="E96" s="6"/>
      <c r="F96" s="3"/>
      <c r="G96" s="3"/>
      <c r="H96" s="1"/>
      <c r="I96" s="25"/>
      <c r="J96" s="6"/>
      <c r="K96" s="1"/>
    </row>
    <row r="97" spans="1:11" ht="12.75">
      <c r="A97" s="3"/>
      <c r="B97" s="1"/>
      <c r="C97" s="5"/>
      <c r="D97" s="4"/>
      <c r="E97" s="6"/>
      <c r="F97" s="3"/>
      <c r="G97" s="3"/>
      <c r="H97" s="1"/>
      <c r="I97" s="25"/>
      <c r="J97" s="6"/>
      <c r="K97" s="1"/>
    </row>
    <row r="98" spans="1:11" ht="12.75">
      <c r="A98" s="3"/>
      <c r="B98" s="1"/>
      <c r="C98" s="5"/>
      <c r="D98" s="4"/>
      <c r="E98" s="6"/>
      <c r="F98" s="3"/>
      <c r="G98" s="3"/>
      <c r="H98" s="1"/>
      <c r="I98" s="25"/>
      <c r="J98" s="6"/>
      <c r="K98" s="1"/>
    </row>
    <row r="99" spans="1:11" ht="12.75">
      <c r="A99" s="10" t="s">
        <v>13</v>
      </c>
      <c r="B99" s="1"/>
      <c r="C99" s="11"/>
      <c r="D99" s="12" t="s">
        <v>14</v>
      </c>
      <c r="E99" s="13" t="s">
        <v>15</v>
      </c>
      <c r="F99" s="10"/>
      <c r="G99" s="10"/>
      <c r="H99" s="1"/>
      <c r="I99" s="27" t="s">
        <v>145</v>
      </c>
      <c r="J99" s="14" t="s">
        <v>15</v>
      </c>
      <c r="K99" s="1"/>
    </row>
    <row r="100" spans="1:11" ht="12.75">
      <c r="A100" s="3"/>
      <c r="B100" s="1"/>
      <c r="C100" s="5"/>
      <c r="D100" s="4"/>
      <c r="E100" s="6"/>
      <c r="F100" s="3"/>
      <c r="G100" s="3"/>
      <c r="H100" s="1"/>
      <c r="I100" s="25"/>
      <c r="J100" s="6"/>
      <c r="K100" s="1"/>
    </row>
    <row r="101" spans="1:11" ht="12.75">
      <c r="A101" s="3"/>
      <c r="B101" s="1"/>
      <c r="C101" s="5" t="s">
        <v>146</v>
      </c>
      <c r="D101" s="4" t="s">
        <v>123</v>
      </c>
      <c r="E101" s="6"/>
      <c r="F101" s="3"/>
      <c r="G101" s="3" t="s">
        <v>124</v>
      </c>
      <c r="H101" s="1"/>
      <c r="I101" s="25" t="s">
        <v>125</v>
      </c>
      <c r="J101" s="6" t="s">
        <v>126</v>
      </c>
      <c r="K101" s="1"/>
    </row>
    <row r="102" spans="1:11" ht="12.75">
      <c r="A102" s="15" t="str">
        <f>DATA!A$10</f>
        <v>CIN</v>
      </c>
      <c r="B102" s="1"/>
      <c r="C102" s="11" t="s">
        <v>127</v>
      </c>
      <c r="D102" s="12" t="s">
        <v>128</v>
      </c>
      <c r="E102" s="13" t="s">
        <v>154</v>
      </c>
      <c r="F102" s="10"/>
      <c r="G102" s="10" t="s">
        <v>54</v>
      </c>
      <c r="H102" s="1"/>
      <c r="I102" s="28" t="s">
        <v>55</v>
      </c>
      <c r="J102" s="13" t="s">
        <v>15</v>
      </c>
      <c r="K102" s="1"/>
    </row>
    <row r="103" spans="1:11" ht="12.75">
      <c r="A103" s="3">
        <f>DATA!F$3</f>
        <v>2000</v>
      </c>
      <c r="B103" s="1"/>
      <c r="C103" s="5">
        <f>1-DATA!N$10/DATA!F$10</f>
        <v>0.28</v>
      </c>
      <c r="D103" s="4">
        <f>DATA!V$10</f>
        <v>0.145</v>
      </c>
      <c r="E103" s="6">
        <f>C103*D103</f>
        <v>0.040600000000000004</v>
      </c>
      <c r="F103" s="3"/>
      <c r="G103" s="25">
        <f>DATA!AD$10</f>
        <v>17.36</v>
      </c>
      <c r="H103" s="1"/>
      <c r="I103" s="25">
        <f>DATA!AL$10</f>
        <v>158.97</v>
      </c>
      <c r="J103" s="6"/>
      <c r="K103" s="1"/>
    </row>
    <row r="104" spans="1:11" ht="12.75">
      <c r="A104" s="3">
        <f>DATA!G$3</f>
        <v>2001</v>
      </c>
      <c r="B104" s="1"/>
      <c r="C104" s="5">
        <f>1-DATA!O$10/DATA!G$10</f>
        <v>0.34545454545454546</v>
      </c>
      <c r="D104" s="4">
        <f>DATA!W$10</f>
        <v>0.15</v>
      </c>
      <c r="E104" s="6">
        <f>C104*D104</f>
        <v>0.05181818181818182</v>
      </c>
      <c r="F104" s="3"/>
      <c r="G104" s="25">
        <f>DATA!AE$10</f>
        <v>18.45</v>
      </c>
      <c r="H104" s="1"/>
      <c r="I104" s="25">
        <f>DATA!AM$10</f>
        <v>159.4</v>
      </c>
      <c r="J104" s="6"/>
      <c r="K104" s="1"/>
    </row>
    <row r="105" spans="1:11" ht="12.75">
      <c r="A105" s="3">
        <f>DATA!H$3</f>
        <v>2002</v>
      </c>
      <c r="B105" s="1"/>
      <c r="C105" s="5">
        <f>1-DATA!P$10/DATA!H$10</f>
        <v>0.18918918918918926</v>
      </c>
      <c r="D105" s="4">
        <f>DATA!X$10</f>
        <v>0.109</v>
      </c>
      <c r="E105" s="6">
        <f>C105*D105</f>
        <v>0.02062162162162163</v>
      </c>
      <c r="F105" s="3"/>
      <c r="G105" s="25">
        <f>DATA!AF$10</f>
        <v>19.53</v>
      </c>
      <c r="H105" s="1"/>
      <c r="I105" s="25">
        <f>DATA!AN$10</f>
        <v>168.66</v>
      </c>
      <c r="J105" s="6"/>
      <c r="K105" s="1"/>
    </row>
    <row r="106" spans="1:11" ht="12.75">
      <c r="A106" s="3">
        <f>DATA!I$3</f>
        <v>2003</v>
      </c>
      <c r="B106" s="1"/>
      <c r="C106" s="5">
        <f>1-DATA!Q$10/DATA!I$10</f>
        <v>0.24279835390946503</v>
      </c>
      <c r="D106" s="4">
        <f>DATA!Y$10</f>
        <v>0.117</v>
      </c>
      <c r="E106" s="6">
        <f>C106*D106</f>
        <v>0.02840740740740741</v>
      </c>
      <c r="F106" s="3"/>
      <c r="G106" s="25">
        <f>DATA!AG$10</f>
        <v>20.74</v>
      </c>
      <c r="H106" s="1"/>
      <c r="I106" s="25">
        <f>DATA!AO$10</f>
        <v>178.44</v>
      </c>
      <c r="J106" s="6"/>
      <c r="K106" s="1"/>
    </row>
    <row r="107" spans="1:11" ht="12.75">
      <c r="A107" s="3">
        <f>DATA!J$3</f>
        <v>2004</v>
      </c>
      <c r="B107" s="1"/>
      <c r="C107" s="5">
        <f>1-DATA!R$10/DATA!J$10</f>
        <v>0.13761467889908263</v>
      </c>
      <c r="D107" s="4">
        <f>DATA!Z$10</f>
        <v>0.097</v>
      </c>
      <c r="E107" s="16">
        <f>C107*D107</f>
        <v>0.013348623853211016</v>
      </c>
      <c r="F107" s="17"/>
      <c r="G107" s="26">
        <f>DATA!AH$10</f>
        <v>21.95</v>
      </c>
      <c r="H107" s="18"/>
      <c r="I107" s="26">
        <f>DATA!AP$10</f>
        <v>187.53</v>
      </c>
      <c r="J107" s="6"/>
      <c r="K107" s="1"/>
    </row>
    <row r="108" spans="1:11" ht="12.75">
      <c r="A108" s="19" t="s">
        <v>56</v>
      </c>
      <c r="B108" s="1"/>
      <c r="C108" s="5"/>
      <c r="D108" s="4"/>
      <c r="E108" s="6">
        <f>AVERAGE(E103:E107)</f>
        <v>0.03095916694008437</v>
      </c>
      <c r="F108" s="6"/>
      <c r="G108" s="6">
        <f>DATA!AX$10</f>
        <v>0.05</v>
      </c>
      <c r="H108" s="1"/>
      <c r="I108" s="25"/>
      <c r="J108" s="6">
        <f>(I107/I103)^0.25-1</f>
        <v>0.04217078584132583</v>
      </c>
      <c r="K108" s="1"/>
    </row>
    <row r="109" spans="1:11" ht="12.75">
      <c r="A109" s="3">
        <f>DATA!K$3</f>
        <v>2005</v>
      </c>
      <c r="B109" s="1"/>
      <c r="C109" s="5">
        <f>1-DATA!S$10/DATA!K$10</f>
        <v>0.288888888888889</v>
      </c>
      <c r="D109" s="4">
        <f>DATA!AA$10</f>
        <v>0.11</v>
      </c>
      <c r="E109" s="6">
        <f>C109*D109</f>
        <v>0.03177777777777779</v>
      </c>
      <c r="F109" s="6"/>
      <c r="G109" s="6"/>
      <c r="H109" s="1"/>
      <c r="I109" s="25">
        <f>DATA!AQ$10</f>
        <v>200</v>
      </c>
      <c r="J109" s="6">
        <f>(I109/I107)-1</f>
        <v>0.06649602730229831</v>
      </c>
      <c r="K109" s="1"/>
    </row>
    <row r="110" spans="1:11" ht="12.75">
      <c r="A110" s="3">
        <f>DATA!L$3</f>
        <v>2006</v>
      </c>
      <c r="B110" s="3"/>
      <c r="C110" s="5">
        <f>1-DATA!T$10/DATA!L$10</f>
        <v>0.35737704918032787</v>
      </c>
      <c r="D110" s="4">
        <f>DATA!AB$10</f>
        <v>0.12</v>
      </c>
      <c r="E110" s="6">
        <f>C110*D110</f>
        <v>0.04288524590163934</v>
      </c>
      <c r="F110" s="3"/>
      <c r="G110" s="6"/>
      <c r="H110" s="3"/>
      <c r="I110" s="25">
        <f>DATA!AR$10</f>
        <v>202.7</v>
      </c>
      <c r="J110" s="6">
        <f>(I110/I107)^0.5-1</f>
        <v>0.039660388622592135</v>
      </c>
      <c r="K110" s="3"/>
    </row>
    <row r="111" spans="1:11" ht="12.75">
      <c r="A111" s="3" t="str">
        <f>DATA!M$3</f>
        <v>2008-2010</v>
      </c>
      <c r="B111" s="1"/>
      <c r="C111" s="5">
        <f>1-DATA!U$10/DATA!M$10</f>
        <v>0.3396825396825396</v>
      </c>
      <c r="D111" s="4">
        <f>DATA!AC$10</f>
        <v>0.11</v>
      </c>
      <c r="E111" s="6">
        <f>C111*D111</f>
        <v>0.03736507936507936</v>
      </c>
      <c r="F111" s="6"/>
      <c r="G111" s="6">
        <f>DATA!AY$10</f>
        <v>0.055</v>
      </c>
      <c r="H111" s="1"/>
      <c r="I111" s="25">
        <f>DATA!AS$10</f>
        <v>209.8</v>
      </c>
      <c r="J111" s="6">
        <f>(I111/I107)^0.2-1</f>
        <v>0.022696915378068505</v>
      </c>
      <c r="K111" s="1"/>
    </row>
    <row r="112" spans="1:11" ht="12.75">
      <c r="A112" s="3"/>
      <c r="B112" s="1"/>
      <c r="C112" s="5"/>
      <c r="D112" s="4"/>
      <c r="E112" s="6"/>
      <c r="F112" s="3"/>
      <c r="G112" s="3"/>
      <c r="H112" s="1"/>
      <c r="I112" s="25"/>
      <c r="J112" s="86" t="s">
        <v>215</v>
      </c>
      <c r="K112" s="1"/>
    </row>
    <row r="113" spans="1:11" ht="12.75">
      <c r="A113" s="3"/>
      <c r="B113" s="1"/>
      <c r="C113" s="5"/>
      <c r="D113" s="4"/>
      <c r="E113" s="6"/>
      <c r="F113" s="3"/>
      <c r="G113" s="3"/>
      <c r="H113" s="1"/>
      <c r="I113" s="25"/>
      <c r="J113" s="33" t="s">
        <v>220</v>
      </c>
      <c r="K113" s="1"/>
    </row>
    <row r="114" spans="1:11" ht="12.75">
      <c r="A114" s="3"/>
      <c r="B114" s="1"/>
      <c r="C114" s="5"/>
      <c r="D114" s="4"/>
      <c r="E114" s="6"/>
      <c r="F114" s="3"/>
      <c r="G114" s="3"/>
      <c r="H114" s="1"/>
      <c r="I114" s="25"/>
      <c r="J114" s="6" t="s">
        <v>142</v>
      </c>
      <c r="K114" s="1"/>
    </row>
    <row r="115" spans="1:11" ht="12.75">
      <c r="A115" s="3"/>
      <c r="B115" s="1"/>
      <c r="C115" s="5"/>
      <c r="D115" s="4"/>
      <c r="E115" s="6"/>
      <c r="F115" s="3"/>
      <c r="G115" s="3"/>
      <c r="H115" s="1"/>
      <c r="I115" s="25"/>
      <c r="J115" s="6"/>
      <c r="K115" s="1"/>
    </row>
    <row r="116" spans="1:11" ht="12.75">
      <c r="A116" s="3"/>
      <c r="B116" s="1"/>
      <c r="C116" s="5"/>
      <c r="D116" s="4"/>
      <c r="E116" s="6"/>
      <c r="F116" s="3"/>
      <c r="G116" s="3"/>
      <c r="H116" s="1"/>
      <c r="I116" s="25"/>
      <c r="J116" s="6"/>
      <c r="K116" s="1"/>
    </row>
    <row r="117" spans="1:11" ht="12.75">
      <c r="A117" s="3"/>
      <c r="B117" s="1"/>
      <c r="C117" s="5"/>
      <c r="D117" s="4"/>
      <c r="E117" s="8"/>
      <c r="F117" s="9" t="str">
        <f>F$6</f>
        <v>AVISTA UTILITIES</v>
      </c>
      <c r="G117" s="1"/>
      <c r="H117" s="1"/>
      <c r="I117" s="25"/>
      <c r="J117" s="6"/>
      <c r="K117" s="1"/>
    </row>
    <row r="118" spans="1:11" ht="12.75">
      <c r="A118" s="3"/>
      <c r="B118" s="1"/>
      <c r="C118" s="5"/>
      <c r="D118" s="4"/>
      <c r="E118" s="8"/>
      <c r="F118" s="3" t="s">
        <v>12</v>
      </c>
      <c r="G118" s="1"/>
      <c r="H118" s="1"/>
      <c r="I118" s="25"/>
      <c r="J118" s="6"/>
      <c r="K118" s="1"/>
    </row>
    <row r="119" spans="1:11" ht="12.75">
      <c r="A119" s="3"/>
      <c r="B119" s="1"/>
      <c r="C119" s="5"/>
      <c r="D119" s="4"/>
      <c r="E119" s="6"/>
      <c r="F119" s="3"/>
      <c r="G119" s="3"/>
      <c r="H119" s="1"/>
      <c r="I119" s="25"/>
      <c r="J119" s="6"/>
      <c r="K119" s="1"/>
    </row>
    <row r="120" spans="1:11" ht="12.75">
      <c r="A120" s="3"/>
      <c r="B120" s="1"/>
      <c r="C120" s="5"/>
      <c r="D120" s="4"/>
      <c r="E120" s="6"/>
      <c r="F120" s="3"/>
      <c r="G120" s="3"/>
      <c r="H120" s="1"/>
      <c r="I120" s="25"/>
      <c r="J120" s="6"/>
      <c r="K120" s="1"/>
    </row>
    <row r="121" spans="1:11" ht="12.75">
      <c r="A121" s="3"/>
      <c r="B121" s="1"/>
      <c r="C121" s="5"/>
      <c r="D121" s="4"/>
      <c r="E121" s="6"/>
      <c r="F121" s="3"/>
      <c r="G121" s="3"/>
      <c r="H121" s="1"/>
      <c r="I121" s="25"/>
      <c r="J121" s="6"/>
      <c r="K121" s="1"/>
    </row>
    <row r="122" spans="1:11" ht="12.75">
      <c r="A122" s="10" t="s">
        <v>13</v>
      </c>
      <c r="B122" s="1"/>
      <c r="C122" s="11"/>
      <c r="D122" s="12" t="s">
        <v>14</v>
      </c>
      <c r="E122" s="13" t="s">
        <v>15</v>
      </c>
      <c r="F122" s="10"/>
      <c r="G122" s="10"/>
      <c r="H122" s="1"/>
      <c r="I122" s="27" t="s">
        <v>145</v>
      </c>
      <c r="J122" s="14" t="s">
        <v>15</v>
      </c>
      <c r="K122" s="1"/>
    </row>
    <row r="123" spans="1:11" ht="12.75">
      <c r="A123" s="3"/>
      <c r="B123" s="1"/>
      <c r="C123" s="5"/>
      <c r="D123" s="4"/>
      <c r="E123" s="6"/>
      <c r="F123" s="3"/>
      <c r="G123" s="3"/>
      <c r="H123" s="1"/>
      <c r="I123" s="25"/>
      <c r="J123" s="6"/>
      <c r="K123" s="1"/>
    </row>
    <row r="124" spans="1:11" ht="12.75">
      <c r="A124" s="3"/>
      <c r="B124" s="1"/>
      <c r="C124" s="5" t="s">
        <v>146</v>
      </c>
      <c r="D124" s="4" t="s">
        <v>123</v>
      </c>
      <c r="E124" s="6"/>
      <c r="F124" s="3"/>
      <c r="G124" s="3" t="s">
        <v>124</v>
      </c>
      <c r="H124" s="1"/>
      <c r="I124" s="25" t="s">
        <v>125</v>
      </c>
      <c r="J124" s="6" t="s">
        <v>126</v>
      </c>
      <c r="K124" s="1"/>
    </row>
    <row r="125" spans="1:11" ht="12.75">
      <c r="A125" s="15" t="str">
        <f>DATA!A$11</f>
        <v>CNL</v>
      </c>
      <c r="B125" s="1"/>
      <c r="C125" s="11" t="s">
        <v>127</v>
      </c>
      <c r="D125" s="12" t="s">
        <v>128</v>
      </c>
      <c r="E125" s="13" t="s">
        <v>154</v>
      </c>
      <c r="F125" s="10"/>
      <c r="G125" s="10" t="s">
        <v>54</v>
      </c>
      <c r="H125" s="1"/>
      <c r="I125" s="28" t="s">
        <v>55</v>
      </c>
      <c r="J125" s="13" t="s">
        <v>15</v>
      </c>
      <c r="K125" s="1"/>
    </row>
    <row r="126" spans="1:11" ht="12.75">
      <c r="A126" s="3">
        <f>DATA!F$3</f>
        <v>2000</v>
      </c>
      <c r="B126" s="1"/>
      <c r="C126" s="5">
        <f>1-DATA!N$11/DATA!F$11</f>
        <v>0.4178082191780822</v>
      </c>
      <c r="D126" s="4">
        <f>DATA!V$11</f>
        <v>0.149</v>
      </c>
      <c r="E126" s="6">
        <f>C126*D126</f>
        <v>0.062253424657534244</v>
      </c>
      <c r="F126" s="3"/>
      <c r="G126" s="25">
        <f>DATA!AD$11</f>
        <v>10.04</v>
      </c>
      <c r="H126" s="1"/>
      <c r="I126" s="25">
        <f>DATA!AL$11</f>
        <v>44.99</v>
      </c>
      <c r="J126" s="6"/>
      <c r="K126" s="1"/>
    </row>
    <row r="127" spans="1:11" ht="12.75">
      <c r="A127" s="3">
        <f>DATA!G$3</f>
        <v>2001</v>
      </c>
      <c r="B127" s="1"/>
      <c r="C127" s="5">
        <f>1-DATA!O$11/DATA!G$11</f>
        <v>0.42384105960264906</v>
      </c>
      <c r="D127" s="4">
        <f>DATA!W$11</f>
        <v>0.146</v>
      </c>
      <c r="E127" s="6">
        <f>C127*D127</f>
        <v>0.061880794701986756</v>
      </c>
      <c r="F127" s="3"/>
      <c r="G127" s="25">
        <f>DATA!AE$11</f>
        <v>10.69</v>
      </c>
      <c r="H127" s="1"/>
      <c r="I127" s="25">
        <f>DATA!AM$11</f>
        <v>44.96</v>
      </c>
      <c r="J127" s="6"/>
      <c r="K127" s="1"/>
    </row>
    <row r="128" spans="1:11" ht="12.75">
      <c r="A128" s="3">
        <f>DATA!H$3</f>
        <v>2002</v>
      </c>
      <c r="B128" s="1"/>
      <c r="C128" s="5">
        <f>1-DATA!P$11/DATA!H$11</f>
        <v>0.4078947368421053</v>
      </c>
      <c r="D128" s="4">
        <f>DATA!X$11</f>
        <v>0.131</v>
      </c>
      <c r="E128" s="6">
        <f>C128*D128</f>
        <v>0.0534342105263158</v>
      </c>
      <c r="F128" s="3"/>
      <c r="G128" s="25">
        <f>DATA!AF$11</f>
        <v>11.77</v>
      </c>
      <c r="H128" s="1"/>
      <c r="I128" s="25">
        <f>DATA!AN$11</f>
        <v>47.04</v>
      </c>
      <c r="J128" s="6"/>
      <c r="K128" s="1"/>
    </row>
    <row r="129" spans="1:11" ht="12.75">
      <c r="A129" s="3">
        <f>DATA!I$3</f>
        <v>2003</v>
      </c>
      <c r="B129" s="1"/>
      <c r="C129" s="5">
        <f>1-DATA!Q$11/DATA!I$11</f>
        <v>0.2857142857142857</v>
      </c>
      <c r="D129" s="4">
        <f>DATA!Y$11</f>
        <v>0.125</v>
      </c>
      <c r="E129" s="6">
        <f>C129*D129</f>
        <v>0.03571428571428571</v>
      </c>
      <c r="F129" s="3"/>
      <c r="G129" s="25">
        <f>DATA!AG$11</f>
        <v>10.09</v>
      </c>
      <c r="H129" s="1"/>
      <c r="I129" s="25">
        <f>DATA!AO$11</f>
        <v>47.18</v>
      </c>
      <c r="J129" s="6"/>
      <c r="K129" s="1"/>
    </row>
    <row r="130" spans="1:11" ht="12.75">
      <c r="A130" s="3">
        <f>DATA!J$3</f>
        <v>2004</v>
      </c>
      <c r="B130" s="1"/>
      <c r="C130" s="5">
        <f>1-DATA!R$11/DATA!J$11</f>
        <v>0.31818181818181823</v>
      </c>
      <c r="D130" s="4">
        <f>DATA!Z$11</f>
        <v>0.119</v>
      </c>
      <c r="E130" s="16">
        <f>C130*D130</f>
        <v>0.03786363636363637</v>
      </c>
      <c r="F130" s="17"/>
      <c r="G130" s="26">
        <f>DATA!AH$11</f>
        <v>10.83</v>
      </c>
      <c r="H130" s="18"/>
      <c r="I130" s="26">
        <f>DATA!AP$11</f>
        <v>49.62</v>
      </c>
      <c r="J130" s="6"/>
      <c r="K130" s="1"/>
    </row>
    <row r="131" spans="1:11" ht="12.75">
      <c r="A131" s="19" t="s">
        <v>56</v>
      </c>
      <c r="B131" s="1"/>
      <c r="C131" s="5"/>
      <c r="D131" s="4"/>
      <c r="E131" s="6">
        <f>AVERAGE(E126:E130)</f>
        <v>0.05022927039275178</v>
      </c>
      <c r="F131" s="6"/>
      <c r="G131" s="6">
        <f>DATA!AX$11</f>
        <v>0.04</v>
      </c>
      <c r="H131" s="1"/>
      <c r="I131" s="25"/>
      <c r="J131" s="6">
        <f>(I130/I126)^0.25-1</f>
        <v>0.024790738157965064</v>
      </c>
      <c r="K131" s="1"/>
    </row>
    <row r="132" spans="1:11" ht="12.75">
      <c r="A132" s="3">
        <f>DATA!K$3</f>
        <v>2005</v>
      </c>
      <c r="B132" s="1"/>
      <c r="C132" s="5">
        <f>1-DATA!S$11/DATA!K$11</f>
        <v>0.3076923076923077</v>
      </c>
      <c r="D132" s="4">
        <f>DATA!AA$11</f>
        <v>0.115</v>
      </c>
      <c r="E132" s="6">
        <f>C132*D132</f>
        <v>0.03538461538461539</v>
      </c>
      <c r="F132" s="6"/>
      <c r="G132" s="6"/>
      <c r="H132" s="1"/>
      <c r="I132" s="25">
        <f>DATA!AQ$11</f>
        <v>50</v>
      </c>
      <c r="J132" s="6">
        <f>(I132/I130)-1</f>
        <v>0.00765820233776715</v>
      </c>
      <c r="K132" s="1"/>
    </row>
    <row r="133" spans="1:11" ht="12.75">
      <c r="A133" s="3">
        <f>DATA!L$3</f>
        <v>2006</v>
      </c>
      <c r="B133" s="3"/>
      <c r="C133" s="5">
        <f>1-DATA!T$11/DATA!L$11</f>
        <v>0.3571428571428571</v>
      </c>
      <c r="D133" s="4">
        <f>DATA!AB$11</f>
        <v>0.12</v>
      </c>
      <c r="E133" s="6">
        <f>C133*D133</f>
        <v>0.04285714285714285</v>
      </c>
      <c r="F133" s="3"/>
      <c r="G133" s="6"/>
      <c r="H133" s="3"/>
      <c r="I133" s="25">
        <f>DATA!AR$11</f>
        <v>50.25</v>
      </c>
      <c r="J133" s="6">
        <f>(I133/I130)^0.5-1</f>
        <v>0.006328223468593741</v>
      </c>
      <c r="K133" s="3"/>
    </row>
    <row r="134" spans="1:11" ht="12.75">
      <c r="A134" s="3" t="str">
        <f>DATA!M$3</f>
        <v>2008-2010</v>
      </c>
      <c r="B134" s="1"/>
      <c r="C134" s="5">
        <f>1-DATA!U$11/DATA!M$11</f>
        <v>0.4</v>
      </c>
      <c r="D134" s="4">
        <f>DATA!AC$11</f>
        <v>0.11</v>
      </c>
      <c r="E134" s="6">
        <f>C134*D134</f>
        <v>0.044000000000000004</v>
      </c>
      <c r="F134" s="6"/>
      <c r="G134" s="6">
        <f>DATA!AY$11</f>
        <v>0.035</v>
      </c>
      <c r="H134" s="1"/>
      <c r="I134" s="25">
        <f>DATA!AS$11</f>
        <v>51</v>
      </c>
      <c r="J134" s="6">
        <f>(I134/I130)^0.2-1</f>
        <v>0.005501408366189509</v>
      </c>
      <c r="K134" s="1"/>
    </row>
    <row r="135" spans="1:11" ht="12.75">
      <c r="A135" s="3"/>
      <c r="B135" s="1"/>
      <c r="C135" s="5"/>
      <c r="D135" s="4"/>
      <c r="E135" s="6"/>
      <c r="F135" s="3"/>
      <c r="G135" s="3"/>
      <c r="H135" s="1"/>
      <c r="I135" s="25"/>
      <c r="J135" s="6"/>
      <c r="K135" s="1"/>
    </row>
    <row r="136" spans="1:11" ht="12.75">
      <c r="A136" s="3"/>
      <c r="B136" s="1"/>
      <c r="C136" s="5"/>
      <c r="D136" s="4"/>
      <c r="E136" s="6"/>
      <c r="F136" s="3"/>
      <c r="G136" s="3"/>
      <c r="H136" s="1"/>
      <c r="I136" s="25"/>
      <c r="J136" s="6"/>
      <c r="K136" s="1"/>
    </row>
    <row r="137" spans="1:11" ht="12.75">
      <c r="A137" s="3"/>
      <c r="B137" s="1"/>
      <c r="C137" s="5"/>
      <c r="D137" s="4"/>
      <c r="E137" s="6"/>
      <c r="F137" s="3"/>
      <c r="G137" s="3"/>
      <c r="H137" s="1"/>
      <c r="I137" s="25"/>
      <c r="J137" s="6"/>
      <c r="K137" s="1"/>
    </row>
    <row r="138" spans="1:11" ht="12.75">
      <c r="A138" s="10" t="s">
        <v>13</v>
      </c>
      <c r="B138" s="1"/>
      <c r="C138" s="11"/>
      <c r="D138" s="12" t="s">
        <v>14</v>
      </c>
      <c r="E138" s="13" t="s">
        <v>15</v>
      </c>
      <c r="F138" s="10"/>
      <c r="G138" s="10"/>
      <c r="H138" s="1"/>
      <c r="I138" s="27" t="s">
        <v>145</v>
      </c>
      <c r="J138" s="14" t="s">
        <v>15</v>
      </c>
      <c r="K138" s="1"/>
    </row>
    <row r="139" spans="1:11" ht="12.75">
      <c r="A139" s="3"/>
      <c r="B139" s="1"/>
      <c r="C139" s="5"/>
      <c r="D139" s="4"/>
      <c r="E139" s="6"/>
      <c r="F139" s="3"/>
      <c r="G139" s="3"/>
      <c r="H139" s="1"/>
      <c r="I139" s="25"/>
      <c r="J139" s="6"/>
      <c r="K139" s="1"/>
    </row>
    <row r="140" spans="1:11" ht="12.75">
      <c r="A140" s="3"/>
      <c r="B140" s="1"/>
      <c r="C140" s="5" t="s">
        <v>146</v>
      </c>
      <c r="D140" s="4" t="s">
        <v>123</v>
      </c>
      <c r="E140" s="6"/>
      <c r="F140" s="3"/>
      <c r="G140" s="3" t="s">
        <v>124</v>
      </c>
      <c r="H140" s="1"/>
      <c r="I140" s="25" t="s">
        <v>125</v>
      </c>
      <c r="J140" s="6" t="s">
        <v>126</v>
      </c>
      <c r="K140" s="1"/>
    </row>
    <row r="141" spans="1:11" ht="12.75">
      <c r="A141" s="15" t="str">
        <f>DATA!A$12</f>
        <v>EDE</v>
      </c>
      <c r="B141" s="1"/>
      <c r="C141" s="11" t="s">
        <v>127</v>
      </c>
      <c r="D141" s="12" t="s">
        <v>128</v>
      </c>
      <c r="E141" s="13" t="s">
        <v>154</v>
      </c>
      <c r="F141" s="10"/>
      <c r="G141" s="10" t="s">
        <v>54</v>
      </c>
      <c r="H141" s="1"/>
      <c r="I141" s="28" t="s">
        <v>55</v>
      </c>
      <c r="J141" s="13" t="s">
        <v>15</v>
      </c>
      <c r="K141" s="1"/>
    </row>
    <row r="142" spans="1:11" ht="12.75">
      <c r="A142" s="3">
        <f>DATA!F$3</f>
        <v>2000</v>
      </c>
      <c r="B142" s="1"/>
      <c r="C142" s="5">
        <f>1-DATA!N$12/DATA!F$12</f>
        <v>0.05185185185185193</v>
      </c>
      <c r="D142" s="4">
        <f>DATA!V$12</f>
        <v>0.098</v>
      </c>
      <c r="E142" s="6">
        <f>C142*D142</f>
        <v>0.005081481481481489</v>
      </c>
      <c r="F142" s="3"/>
      <c r="G142" s="25">
        <f>DATA!AD$12</f>
        <v>13.65</v>
      </c>
      <c r="H142" s="1"/>
      <c r="I142" s="25">
        <f>DATA!AL$12</f>
        <v>17.6</v>
      </c>
      <c r="J142" s="6"/>
      <c r="K142" s="1"/>
    </row>
    <row r="143" spans="1:11" ht="12.75">
      <c r="A143" s="3">
        <f>DATA!G$3</f>
        <v>2001</v>
      </c>
      <c r="B143" s="1"/>
      <c r="C143" s="5">
        <f>1-DATA!O$12/DATA!G$12</f>
        <v>-1.1694915254237288</v>
      </c>
      <c r="D143" s="4">
        <f>DATA!W$12</f>
        <v>0.039</v>
      </c>
      <c r="E143" s="6" t="s">
        <v>179</v>
      </c>
      <c r="F143" s="3"/>
      <c r="G143" s="25">
        <f>DATA!AE$12</f>
        <v>13.58</v>
      </c>
      <c r="H143" s="1"/>
      <c r="I143" s="25">
        <f>DATA!AM$12</f>
        <v>19.76</v>
      </c>
      <c r="J143" s="6"/>
      <c r="K143" s="1"/>
    </row>
    <row r="144" spans="1:11" ht="12.75">
      <c r="A144" s="3">
        <f>DATA!H$3</f>
        <v>2002</v>
      </c>
      <c r="B144" s="1"/>
      <c r="C144" s="5">
        <f>1-DATA!P$12/DATA!H$12</f>
        <v>-0.07563025210084051</v>
      </c>
      <c r="D144" s="4">
        <f>DATA!X$12</f>
        <v>0.078</v>
      </c>
      <c r="E144" s="6">
        <f>C144*D144</f>
        <v>-0.00589915966386556</v>
      </c>
      <c r="F144" s="3"/>
      <c r="G144" s="25">
        <f>DATA!AF$12</f>
        <v>14.59</v>
      </c>
      <c r="H144" s="1"/>
      <c r="I144" s="25">
        <f>DATA!AN$12</f>
        <v>22.57</v>
      </c>
      <c r="J144" s="6"/>
      <c r="K144" s="1"/>
    </row>
    <row r="145" spans="1:11" ht="12.75">
      <c r="A145" s="3">
        <f>DATA!I$3</f>
        <v>2003</v>
      </c>
      <c r="B145" s="1"/>
      <c r="C145" s="5">
        <f>1-DATA!Q$12/DATA!I$12</f>
        <v>0.007751937984496138</v>
      </c>
      <c r="D145" s="4">
        <f>DATA!Y$12</f>
        <v>0.078</v>
      </c>
      <c r="E145" s="6">
        <f>C145*D145</f>
        <v>0.0006046511627906988</v>
      </c>
      <c r="F145" s="3"/>
      <c r="G145" s="25">
        <f>DATA!AG$12</f>
        <v>15.17</v>
      </c>
      <c r="H145" s="1"/>
      <c r="I145" s="25">
        <f>DATA!AO$12</f>
        <v>24.98</v>
      </c>
      <c r="J145" s="6"/>
      <c r="K145" s="1"/>
    </row>
    <row r="146" spans="1:11" ht="12.75">
      <c r="A146" s="3">
        <f>DATA!J$3</f>
        <v>2004</v>
      </c>
      <c r="B146" s="1"/>
      <c r="C146" s="5">
        <f>1-DATA!R$12/DATA!J$12</f>
        <v>-0.4883720930232558</v>
      </c>
      <c r="D146" s="4">
        <f>DATA!Z$12</f>
        <v>0.058</v>
      </c>
      <c r="E146" s="16">
        <f>C146*D146</f>
        <v>-0.028325581395348836</v>
      </c>
      <c r="F146" s="17"/>
      <c r="G146" s="26">
        <f>DATA!AH$12</f>
        <v>14.76</v>
      </c>
      <c r="H146" s="18"/>
      <c r="I146" s="26">
        <f>DATA!AP$12</f>
        <v>25.7</v>
      </c>
      <c r="J146" s="6"/>
      <c r="K146" s="1"/>
    </row>
    <row r="147" spans="1:12" ht="12.75">
      <c r="A147" s="19" t="s">
        <v>56</v>
      </c>
      <c r="B147" s="1"/>
      <c r="C147" s="5"/>
      <c r="D147" s="4"/>
      <c r="E147" s="6">
        <f>AVERAGE(E142:E146)</f>
        <v>-0.007134652103735552</v>
      </c>
      <c r="F147" s="6"/>
      <c r="G147" s="6">
        <f>DATA!AX$12</f>
        <v>0.02</v>
      </c>
      <c r="H147" s="1"/>
      <c r="I147" s="25"/>
      <c r="J147" s="6">
        <f>(I146/I142)^0.25-1</f>
        <v>0.09927186802150767</v>
      </c>
      <c r="K147" s="1"/>
      <c r="L147">
        <f>(I146/I144)^0.5-1</f>
        <v>0.06708934174689762</v>
      </c>
    </row>
    <row r="148" spans="1:11" ht="12.75">
      <c r="A148" s="3">
        <f>DATA!K$3</f>
        <v>2005</v>
      </c>
      <c r="B148" s="1"/>
      <c r="C148" s="5">
        <f>1-DATA!S$12/DATA!K$12</f>
        <v>-0.02400000000000002</v>
      </c>
      <c r="D148" s="4">
        <f>DATA!AA$12</f>
        <v>0.085</v>
      </c>
      <c r="E148" s="6">
        <f>C148*D148</f>
        <v>-0.002040000000000002</v>
      </c>
      <c r="F148" s="6"/>
      <c r="G148" s="6"/>
      <c r="H148" s="1"/>
      <c r="I148" s="25">
        <f>DATA!AQ$12</f>
        <v>26</v>
      </c>
      <c r="J148" s="6">
        <f>(I148/I146)-1</f>
        <v>0.011673151750972721</v>
      </c>
      <c r="K148" s="1"/>
    </row>
    <row r="149" spans="1:11" ht="12.75">
      <c r="A149" s="3">
        <f>DATA!L$3</f>
        <v>2006</v>
      </c>
      <c r="B149" s="3"/>
      <c r="C149" s="5">
        <f>1-DATA!T$12/DATA!L$12</f>
        <v>0.1466666666666666</v>
      </c>
      <c r="D149" s="4">
        <f>DATA!AB$12</f>
        <v>0.1</v>
      </c>
      <c r="E149" s="6">
        <f>C149*D149</f>
        <v>0.014666666666666661</v>
      </c>
      <c r="F149" s="3"/>
      <c r="G149" s="6"/>
      <c r="H149" s="3"/>
      <c r="I149" s="25">
        <f>DATA!AR$12</f>
        <v>26.3</v>
      </c>
      <c r="J149" s="6">
        <f>(I149/I146)^0.5-1</f>
        <v>0.011605804403051811</v>
      </c>
      <c r="K149" s="3"/>
    </row>
    <row r="150" spans="1:11" ht="12.75">
      <c r="A150" s="3" t="str">
        <f>DATA!M$3</f>
        <v>2008-2010</v>
      </c>
      <c r="B150" s="1"/>
      <c r="C150" s="5">
        <f>1-DATA!U$12/DATA!M$12</f>
        <v>0.26857142857142857</v>
      </c>
      <c r="D150" s="4">
        <f>DATA!AC$12</f>
        <v>0.105</v>
      </c>
      <c r="E150" s="6">
        <f>C150*D150</f>
        <v>0.0282</v>
      </c>
      <c r="F150" s="6"/>
      <c r="G150" s="6">
        <f>DATA!AY$12</f>
        <v>0.02</v>
      </c>
      <c r="H150" s="1"/>
      <c r="I150" s="25">
        <f>DATA!AS$12</f>
        <v>27.2</v>
      </c>
      <c r="J150" s="6">
        <f>(I150/I146)^0.2-1</f>
        <v>0.0114097970912872</v>
      </c>
      <c r="K150" s="1"/>
    </row>
    <row r="151" spans="1:11" ht="12.75">
      <c r="A151" s="3"/>
      <c r="B151" s="1"/>
      <c r="C151" s="5"/>
      <c r="D151" s="4"/>
      <c r="E151" s="6"/>
      <c r="F151" s="3"/>
      <c r="G151" s="3"/>
      <c r="H151" s="1"/>
      <c r="I151" s="25"/>
      <c r="J151" s="6"/>
      <c r="K151" s="1"/>
    </row>
    <row r="152" spans="1:11" ht="12.75">
      <c r="A152" s="3"/>
      <c r="B152" s="1"/>
      <c r="C152" s="5"/>
      <c r="D152" s="4"/>
      <c r="E152" s="6"/>
      <c r="F152" s="3"/>
      <c r="G152" s="3"/>
      <c r="H152" s="1"/>
      <c r="I152" s="25"/>
      <c r="J152" s="6"/>
      <c r="K152" s="1"/>
    </row>
    <row r="153" spans="1:11" ht="12.75">
      <c r="A153" s="3"/>
      <c r="B153" s="1"/>
      <c r="C153" s="5"/>
      <c r="D153" s="4"/>
      <c r="E153" s="6"/>
      <c r="F153" s="3"/>
      <c r="G153" s="3"/>
      <c r="H153" s="1"/>
      <c r="I153" s="25"/>
      <c r="J153" s="6"/>
      <c r="K153" s="1"/>
    </row>
    <row r="154" spans="1:11" ht="12.75">
      <c r="A154" s="10" t="s">
        <v>13</v>
      </c>
      <c r="B154" s="1"/>
      <c r="C154" s="11"/>
      <c r="D154" s="12" t="s">
        <v>14</v>
      </c>
      <c r="E154" s="13" t="s">
        <v>15</v>
      </c>
      <c r="F154" s="10"/>
      <c r="G154" s="10"/>
      <c r="H154" s="1"/>
      <c r="I154" s="27" t="s">
        <v>145</v>
      </c>
      <c r="J154" s="14" t="s">
        <v>15</v>
      </c>
      <c r="K154" s="1"/>
    </row>
    <row r="155" spans="1:11" ht="12.75">
      <c r="A155" s="3"/>
      <c r="B155" s="1"/>
      <c r="C155" s="5"/>
      <c r="D155" s="4"/>
      <c r="E155" s="6"/>
      <c r="F155" s="3"/>
      <c r="G155" s="3"/>
      <c r="H155" s="1"/>
      <c r="I155" s="25"/>
      <c r="J155" s="6"/>
      <c r="K155" s="1"/>
    </row>
    <row r="156" spans="1:11" ht="12.75">
      <c r="A156" s="3"/>
      <c r="B156" s="1"/>
      <c r="C156" s="5" t="s">
        <v>146</v>
      </c>
      <c r="D156" s="4" t="s">
        <v>123</v>
      </c>
      <c r="E156" s="6"/>
      <c r="F156" s="3"/>
      <c r="G156" s="3" t="s">
        <v>124</v>
      </c>
      <c r="H156" s="1"/>
      <c r="I156" s="25" t="s">
        <v>125</v>
      </c>
      <c r="J156" s="6" t="s">
        <v>126</v>
      </c>
      <c r="K156" s="1"/>
    </row>
    <row r="157" spans="1:11" ht="12.75">
      <c r="A157" s="15" t="str">
        <f>DATA!A$13</f>
        <v>ETR</v>
      </c>
      <c r="B157" s="1"/>
      <c r="C157" s="11" t="s">
        <v>127</v>
      </c>
      <c r="D157" s="12" t="s">
        <v>128</v>
      </c>
      <c r="E157" s="13" t="s">
        <v>154</v>
      </c>
      <c r="F157" s="10"/>
      <c r="G157" s="10" t="s">
        <v>54</v>
      </c>
      <c r="H157" s="1"/>
      <c r="I157" s="28" t="s">
        <v>55</v>
      </c>
      <c r="J157" s="13" t="s">
        <v>15</v>
      </c>
      <c r="K157" s="1"/>
    </row>
    <row r="158" spans="1:11" ht="12.75">
      <c r="A158" s="3">
        <f>DATA!F$3</f>
        <v>2000</v>
      </c>
      <c r="B158" s="1"/>
      <c r="C158" s="5">
        <f>1-DATA!N$13/DATA!F$13</f>
        <v>0.5892255892255893</v>
      </c>
      <c r="D158" s="4">
        <f>DATA!V$13</f>
        <v>0.097</v>
      </c>
      <c r="E158" s="6">
        <f>C158*D158</f>
        <v>0.05715488215488217</v>
      </c>
      <c r="F158" s="3"/>
      <c r="G158" s="3">
        <f>DATA!AD$13</f>
        <v>31.89</v>
      </c>
      <c r="H158" s="1"/>
      <c r="I158" s="25">
        <f>DATA!AL$13</f>
        <v>219.6</v>
      </c>
      <c r="J158" s="6"/>
      <c r="K158" s="1"/>
    </row>
    <row r="159" spans="1:11" ht="12.75">
      <c r="A159" s="3">
        <f>DATA!G$3</f>
        <v>2001</v>
      </c>
      <c r="B159" s="1"/>
      <c r="C159" s="5">
        <f>1-DATA!O$13/DATA!G$13</f>
        <v>0.5844155844155845</v>
      </c>
      <c r="D159" s="4">
        <f>DATA!W$13</f>
        <v>0.093</v>
      </c>
      <c r="E159" s="6">
        <f>C159*D159</f>
        <v>0.05435064935064936</v>
      </c>
      <c r="F159" s="3"/>
      <c r="G159" s="3">
        <f>DATA!AE$13</f>
        <v>33.78</v>
      </c>
      <c r="H159" s="1"/>
      <c r="I159" s="25">
        <f>DATA!AM$13</f>
        <v>220.73</v>
      </c>
      <c r="J159" s="6"/>
      <c r="K159" s="1"/>
    </row>
    <row r="160" spans="1:11" ht="12.75">
      <c r="A160" s="3">
        <f>DATA!H$3</f>
        <v>2002</v>
      </c>
      <c r="B160" s="1"/>
      <c r="C160" s="5">
        <f>1-DATA!P$13/DATA!H$13</f>
        <v>0.6358695652173914</v>
      </c>
      <c r="D160" s="4">
        <f>DATA!X$13</f>
        <v>0.109</v>
      </c>
      <c r="E160" s="6">
        <f>C160*D160</f>
        <v>0.06930978260869566</v>
      </c>
      <c r="F160" s="3"/>
      <c r="G160" s="3">
        <f>DATA!AF$13</f>
        <v>35.24</v>
      </c>
      <c r="H160" s="1"/>
      <c r="I160" s="25">
        <f>DATA!AN$13</f>
        <v>222.42</v>
      </c>
      <c r="J160" s="6"/>
      <c r="K160" s="1"/>
    </row>
    <row r="161" spans="1:11" ht="12.75">
      <c r="A161" s="3">
        <f>DATA!I$3</f>
        <v>2003</v>
      </c>
      <c r="B161" s="1"/>
      <c r="C161" s="5">
        <f>1-DATA!Q$13/DATA!I$13</f>
        <v>0.5663956639566395</v>
      </c>
      <c r="D161" s="4">
        <f>DATA!Y$13</f>
        <v>0.098</v>
      </c>
      <c r="E161" s="6">
        <f>C161*D161</f>
        <v>0.055506775067750674</v>
      </c>
      <c r="F161" s="3"/>
      <c r="G161" s="3">
        <f>DATA!AG$13</f>
        <v>38.02</v>
      </c>
      <c r="H161" s="1"/>
      <c r="I161" s="25">
        <f>DATA!AO$13</f>
        <v>228.9</v>
      </c>
      <c r="J161" s="6"/>
      <c r="K161" s="1"/>
    </row>
    <row r="162" spans="1:11" ht="12.75">
      <c r="A162" s="3">
        <f>DATA!J$3</f>
        <v>2004</v>
      </c>
      <c r="B162" s="1"/>
      <c r="C162" s="5">
        <f>1-DATA!R$13/DATA!J$13</f>
        <v>0.5190839694656488</v>
      </c>
      <c r="D162" s="4">
        <f>DATA!Z$13</f>
        <v>0.11</v>
      </c>
      <c r="E162" s="16">
        <f>C162*D162</f>
        <v>0.05709923664122137</v>
      </c>
      <c r="F162" s="17"/>
      <c r="G162" s="17">
        <f>DATA!AH$13</f>
        <v>38.26</v>
      </c>
      <c r="H162" s="18"/>
      <c r="I162" s="26">
        <f>DATA!AP$13</f>
        <v>216.83</v>
      </c>
      <c r="J162" s="6"/>
      <c r="K162" s="1"/>
    </row>
    <row r="163" spans="1:11" ht="12.75">
      <c r="A163" s="19" t="s">
        <v>56</v>
      </c>
      <c r="B163" s="1"/>
      <c r="C163" s="5"/>
      <c r="D163" s="4"/>
      <c r="E163" s="6">
        <f>AVERAGE(E158:E162)</f>
        <v>0.05868426516463985</v>
      </c>
      <c r="F163" s="6"/>
      <c r="G163" s="6">
        <f>DATA!AX$13</f>
        <v>0.055</v>
      </c>
      <c r="H163" s="1"/>
      <c r="I163" s="25"/>
      <c r="J163" s="6">
        <f>(I162/I158)^0.25-1</f>
        <v>-0.0031684880282075722</v>
      </c>
      <c r="K163" s="1"/>
    </row>
    <row r="164" spans="1:11" ht="12.75">
      <c r="A164" s="3">
        <f>DATA!K$3</f>
        <v>2005</v>
      </c>
      <c r="B164" s="1"/>
      <c r="C164" s="5">
        <f>1-DATA!S$13/DATA!K$13</f>
        <v>0.5195652173913043</v>
      </c>
      <c r="D164" s="4">
        <f>DATA!AA$13</f>
        <v>0.115</v>
      </c>
      <c r="E164" s="6">
        <f>C164*D164</f>
        <v>0.059750000000000004</v>
      </c>
      <c r="F164" s="6"/>
      <c r="G164" s="6"/>
      <c r="H164" s="1"/>
      <c r="I164" s="25">
        <f>DATA!AQ$13</f>
        <v>212</v>
      </c>
      <c r="J164" s="6">
        <f>(I164/I162)-1</f>
        <v>-0.02227551538071304</v>
      </c>
      <c r="K164" s="1"/>
    </row>
    <row r="165" spans="1:11" ht="12.75">
      <c r="A165" s="3">
        <f>DATA!L$3</f>
        <v>2006</v>
      </c>
      <c r="B165" s="3"/>
      <c r="C165" s="5">
        <f>1-DATA!T$13/DATA!L$13</f>
        <v>0.5081632653061224</v>
      </c>
      <c r="D165" s="4">
        <f>DATA!AB$13</f>
        <v>0.12</v>
      </c>
      <c r="E165" s="6">
        <f>C165*D165</f>
        <v>0.06097959183673469</v>
      </c>
      <c r="F165" s="3"/>
      <c r="G165" s="6"/>
      <c r="H165" s="3"/>
      <c r="I165" s="25">
        <f>DATA!AR$13</f>
        <v>207</v>
      </c>
      <c r="J165" s="6">
        <f>(I165/I162)^0.5-1</f>
        <v>-0.02293042986300098</v>
      </c>
      <c r="K165" s="3"/>
    </row>
    <row r="166" spans="1:11" ht="12.75">
      <c r="A166" s="3" t="str">
        <f>DATA!M$3</f>
        <v>2008-2010</v>
      </c>
      <c r="B166" s="1"/>
      <c r="C166" s="5">
        <f>1-DATA!U$13/DATA!M$13</f>
        <v>0.45272727272727276</v>
      </c>
      <c r="D166" s="4">
        <f>DATA!AC$13</f>
        <v>0.11</v>
      </c>
      <c r="E166" s="6">
        <f>C166*D166</f>
        <v>0.049800000000000004</v>
      </c>
      <c r="F166" s="6"/>
      <c r="G166" s="6">
        <f>DATA!AY$13</f>
        <v>0.05</v>
      </c>
      <c r="H166" s="1"/>
      <c r="I166" s="25">
        <f>DATA!AS$13</f>
        <v>207</v>
      </c>
      <c r="J166" s="6">
        <f>(I166/I162)^0.2-1</f>
        <v>-0.009236051836553183</v>
      </c>
      <c r="K166" s="1"/>
    </row>
    <row r="167" spans="1:11" ht="12.75">
      <c r="A167" s="3"/>
      <c r="B167" s="1"/>
      <c r="C167" s="5"/>
      <c r="D167" s="4"/>
      <c r="E167" s="6"/>
      <c r="F167" s="3"/>
      <c r="G167" s="3"/>
      <c r="H167" s="1"/>
      <c r="I167" s="25"/>
      <c r="J167" s="86" t="s">
        <v>215</v>
      </c>
      <c r="K167" s="1"/>
    </row>
    <row r="168" spans="1:11" ht="12.75">
      <c r="A168" s="3"/>
      <c r="B168" s="1"/>
      <c r="C168" s="5"/>
      <c r="D168" s="4"/>
      <c r="E168" s="6"/>
      <c r="F168" s="3"/>
      <c r="G168" s="3"/>
      <c r="H168" s="1"/>
      <c r="I168" s="25"/>
      <c r="J168" s="33" t="s">
        <v>221</v>
      </c>
      <c r="K168" s="1"/>
    </row>
    <row r="169" spans="1:11" ht="12.75">
      <c r="A169" s="3"/>
      <c r="B169" s="1"/>
      <c r="C169" s="5"/>
      <c r="D169" s="4"/>
      <c r="E169" s="6"/>
      <c r="F169" s="3"/>
      <c r="G169" s="3"/>
      <c r="H169" s="1"/>
      <c r="I169" s="25"/>
      <c r="J169" s="6" t="s">
        <v>141</v>
      </c>
      <c r="K169" s="1"/>
    </row>
    <row r="170" spans="1:11" ht="12.75">
      <c r="A170" s="3"/>
      <c r="B170" s="1"/>
      <c r="C170" s="5"/>
      <c r="D170" s="4"/>
      <c r="E170" s="6"/>
      <c r="F170" s="3"/>
      <c r="G170" s="3"/>
      <c r="H170" s="1"/>
      <c r="I170" s="25"/>
      <c r="J170" s="6"/>
      <c r="K170" s="1"/>
    </row>
    <row r="171" spans="1:11" ht="12.75">
      <c r="A171" s="3"/>
      <c r="B171" s="1"/>
      <c r="C171" s="5"/>
      <c r="D171" s="4"/>
      <c r="E171" s="6"/>
      <c r="F171" s="3"/>
      <c r="G171" s="3"/>
      <c r="H171" s="1"/>
      <c r="I171" s="25"/>
      <c r="J171" s="6"/>
      <c r="K171" s="1"/>
    </row>
    <row r="172" spans="1:11" ht="12.75">
      <c r="A172" s="3"/>
      <c r="B172" s="1"/>
      <c r="C172" s="5"/>
      <c r="D172" s="4"/>
      <c r="E172" s="8"/>
      <c r="F172" s="9" t="str">
        <f>F$6</f>
        <v>AVISTA UTILITIES</v>
      </c>
      <c r="G172" s="1"/>
      <c r="H172" s="1"/>
      <c r="I172" s="25"/>
      <c r="J172" s="6"/>
      <c r="K172" s="1"/>
    </row>
    <row r="173" spans="1:11" ht="12.75">
      <c r="A173" s="3"/>
      <c r="B173" s="1"/>
      <c r="C173" s="5"/>
      <c r="D173" s="4"/>
      <c r="E173" s="8"/>
      <c r="F173" s="3" t="s">
        <v>12</v>
      </c>
      <c r="G173" s="1"/>
      <c r="H173" s="1"/>
      <c r="I173" s="25"/>
      <c r="J173" s="6"/>
      <c r="K173" s="1"/>
    </row>
    <row r="174" spans="1:11" ht="12.75">
      <c r="A174" s="3"/>
      <c r="B174" s="1"/>
      <c r="C174" s="5"/>
      <c r="D174" s="4"/>
      <c r="E174" s="6"/>
      <c r="F174" s="3"/>
      <c r="G174" s="3"/>
      <c r="H174" s="1"/>
      <c r="I174" s="25"/>
      <c r="J174" s="6"/>
      <c r="K174" s="1"/>
    </row>
    <row r="175" spans="1:11" ht="12.75">
      <c r="A175" s="3"/>
      <c r="B175" s="1"/>
      <c r="C175" s="5"/>
      <c r="D175" s="4"/>
      <c r="E175" s="6"/>
      <c r="F175" s="3"/>
      <c r="G175" s="3"/>
      <c r="H175" s="1"/>
      <c r="I175" s="25"/>
      <c r="J175" s="6"/>
      <c r="K175" s="1"/>
    </row>
    <row r="176" spans="1:11" ht="12.75">
      <c r="A176" s="3"/>
      <c r="B176" s="1"/>
      <c r="C176" s="5"/>
      <c r="D176" s="4"/>
      <c r="E176" s="6"/>
      <c r="F176" s="3"/>
      <c r="G176" s="3"/>
      <c r="H176" s="1"/>
      <c r="I176" s="25"/>
      <c r="J176" s="6"/>
      <c r="K176" s="1"/>
    </row>
    <row r="177" spans="1:11" ht="12.75">
      <c r="A177" s="10" t="s">
        <v>13</v>
      </c>
      <c r="B177" s="1"/>
      <c r="C177" s="11"/>
      <c r="D177" s="12" t="s">
        <v>14</v>
      </c>
      <c r="E177" s="13" t="s">
        <v>15</v>
      </c>
      <c r="F177" s="10"/>
      <c r="G177" s="10"/>
      <c r="H177" s="1"/>
      <c r="I177" s="27" t="s">
        <v>145</v>
      </c>
      <c r="J177" s="14" t="s">
        <v>15</v>
      </c>
      <c r="K177" s="1"/>
    </row>
    <row r="178" spans="1:11" ht="12.75">
      <c r="A178" s="3"/>
      <c r="B178" s="1"/>
      <c r="C178" s="5"/>
      <c r="D178" s="4"/>
      <c r="E178" s="6"/>
      <c r="F178" s="3"/>
      <c r="G178" s="3"/>
      <c r="H178" s="1"/>
      <c r="I178" s="25"/>
      <c r="J178" s="6"/>
      <c r="K178" s="1"/>
    </row>
    <row r="179" spans="1:11" ht="12.75">
      <c r="A179" s="3"/>
      <c r="B179" s="1"/>
      <c r="C179" s="5" t="s">
        <v>146</v>
      </c>
      <c r="D179" s="4" t="s">
        <v>123</v>
      </c>
      <c r="E179" s="6"/>
      <c r="F179" s="3"/>
      <c r="G179" s="3" t="s">
        <v>124</v>
      </c>
      <c r="H179" s="1"/>
      <c r="I179" s="25" t="s">
        <v>125</v>
      </c>
      <c r="J179" s="6" t="s">
        <v>126</v>
      </c>
      <c r="K179" s="1"/>
    </row>
    <row r="180" spans="1:11" ht="12.75">
      <c r="A180" s="15" t="str">
        <f>DATA!A$14</f>
        <v>AVA</v>
      </c>
      <c r="B180" s="1"/>
      <c r="C180" s="11" t="s">
        <v>127</v>
      </c>
      <c r="D180" s="12" t="s">
        <v>128</v>
      </c>
      <c r="E180" s="13" t="s">
        <v>154</v>
      </c>
      <c r="F180" s="10"/>
      <c r="G180" s="10" t="s">
        <v>54</v>
      </c>
      <c r="H180" s="1"/>
      <c r="I180" s="28" t="s">
        <v>55</v>
      </c>
      <c r="J180" s="13" t="s">
        <v>15</v>
      </c>
      <c r="K180" s="1"/>
    </row>
    <row r="181" spans="1:11" ht="12.75">
      <c r="A181" s="3">
        <f>DATA!F$3</f>
        <v>2000</v>
      </c>
      <c r="B181" s="1"/>
      <c r="C181" s="5">
        <f>1-DATA!N$14/DATA!F$14</f>
        <v>0.7272727272727273</v>
      </c>
      <c r="D181" s="4">
        <f>DATA!V$14</f>
        <v>0.111</v>
      </c>
      <c r="E181" s="6">
        <f>C181*D181</f>
        <v>0.08072727272727273</v>
      </c>
      <c r="F181" s="3"/>
      <c r="G181" s="25">
        <f>DATA!AD$14</f>
        <v>15.34</v>
      </c>
      <c r="H181" s="1"/>
      <c r="I181" s="25">
        <f>DATA!AL$14</f>
        <v>47.21</v>
      </c>
      <c r="J181" s="6"/>
      <c r="K181" s="1"/>
    </row>
    <row r="182" spans="1:11" ht="12.75">
      <c r="A182" s="3">
        <f>DATA!G$3</f>
        <v>2001</v>
      </c>
      <c r="B182" s="1"/>
      <c r="C182" s="5">
        <f>1-DATA!O$14/DATA!G$14</f>
        <v>0.6</v>
      </c>
      <c r="D182" s="4">
        <f>DATA!W$14</f>
        <v>0.079</v>
      </c>
      <c r="E182" s="6">
        <f>C182*D182</f>
        <v>0.0474</v>
      </c>
      <c r="F182" s="3"/>
      <c r="G182" s="25">
        <f>DATA!AE$14</f>
        <v>15.12</v>
      </c>
      <c r="H182" s="1"/>
      <c r="I182" s="25">
        <f>DATA!AM$14</f>
        <v>47.63</v>
      </c>
      <c r="J182" s="6"/>
      <c r="K182" s="1"/>
    </row>
    <row r="183" spans="1:11" ht="12.75">
      <c r="A183" s="3">
        <f>DATA!H$3</f>
        <v>2002</v>
      </c>
      <c r="B183" s="1"/>
      <c r="C183" s="5">
        <f>1-DATA!P$14/DATA!H$14</f>
        <v>0.28358208955223885</v>
      </c>
      <c r="D183" s="4">
        <f>DATA!X$14</f>
        <v>0.045</v>
      </c>
      <c r="E183" s="6">
        <f>C183*D183</f>
        <v>0.012761194029850747</v>
      </c>
      <c r="F183" s="3"/>
      <c r="G183" s="25">
        <f>DATA!AF$14</f>
        <v>14.84</v>
      </c>
      <c r="H183" s="1"/>
      <c r="I183" s="25">
        <f>DATA!AN$14</f>
        <v>48.04</v>
      </c>
      <c r="J183" s="6"/>
      <c r="K183" s="1"/>
    </row>
    <row r="184" spans="1:11" ht="12.75">
      <c r="A184" s="3">
        <f>DATA!I$3</f>
        <v>2003</v>
      </c>
      <c r="B184" s="1"/>
      <c r="C184" s="5">
        <f>1-DATA!Q$14/DATA!I$14</f>
        <v>0.5196078431372549</v>
      </c>
      <c r="D184" s="4">
        <f>DATA!Y$14</f>
        <v>0.066</v>
      </c>
      <c r="E184" s="6">
        <f>C184*D184</f>
        <v>0.03429411764705883</v>
      </c>
      <c r="F184" s="3"/>
      <c r="G184" s="25">
        <f>DATA!AG$14</f>
        <v>15.54</v>
      </c>
      <c r="H184" s="1"/>
      <c r="I184" s="25">
        <f>DATA!AO$14</f>
        <v>48.34</v>
      </c>
      <c r="J184" s="6"/>
      <c r="K184" s="1"/>
    </row>
    <row r="185" spans="1:11" ht="12.75">
      <c r="A185" s="3">
        <f>DATA!J$3</f>
        <v>2004</v>
      </c>
      <c r="B185" s="1"/>
      <c r="C185" s="5">
        <f>1-DATA!R$14/DATA!J$14</f>
        <v>0.28767123287671226</v>
      </c>
      <c r="D185" s="4">
        <f>DATA!Z$14</f>
        <v>0.047</v>
      </c>
      <c r="E185" s="16">
        <f>C185*D185</f>
        <v>0.013520547945205475</v>
      </c>
      <c r="F185" s="17"/>
      <c r="G185" s="26">
        <f>DATA!AH$14</f>
        <v>15.54</v>
      </c>
      <c r="H185" s="18"/>
      <c r="I185" s="26">
        <f>DATA!AP$14</f>
        <v>48.47</v>
      </c>
      <c r="J185" s="6"/>
      <c r="K185" s="1"/>
    </row>
    <row r="186" spans="1:11" ht="12.75">
      <c r="A186" s="19" t="s">
        <v>56</v>
      </c>
      <c r="B186" s="1"/>
      <c r="C186" s="5"/>
      <c r="D186" s="4"/>
      <c r="E186" s="6">
        <f>AVERAGE(E181:E185)</f>
        <v>0.03774062646987755</v>
      </c>
      <c r="F186" s="6"/>
      <c r="G186" s="6">
        <f>DATA!AX$14</f>
        <v>0.05</v>
      </c>
      <c r="H186" s="1"/>
      <c r="I186" s="25"/>
      <c r="J186" s="6">
        <f>(I185/I181)^0.25-1</f>
        <v>0.006606556474868963</v>
      </c>
      <c r="K186" s="1"/>
    </row>
    <row r="187" spans="1:11" ht="12.75">
      <c r="A187" s="3">
        <f>DATA!K$3</f>
        <v>2005</v>
      </c>
      <c r="B187" s="1"/>
      <c r="C187" s="5">
        <f>1-DATA!S$14/DATA!K$14</f>
        <v>0.44999999999999996</v>
      </c>
      <c r="D187" s="4">
        <f>DATA!AA$14</f>
        <v>0.06</v>
      </c>
      <c r="E187" s="6">
        <f>C187*D187</f>
        <v>0.026999999999999996</v>
      </c>
      <c r="F187" s="6"/>
      <c r="G187" s="6"/>
      <c r="H187" s="1"/>
      <c r="I187" s="25">
        <f>DATA!AQ$14</f>
        <v>48.75</v>
      </c>
      <c r="J187" s="6">
        <f>(I187/I185)-1</f>
        <v>0.005776769135547699</v>
      </c>
      <c r="K187" s="1"/>
    </row>
    <row r="188" spans="1:11" ht="12.75">
      <c r="A188" s="3">
        <f>DATA!L$3</f>
        <v>2006</v>
      </c>
      <c r="B188" s="3"/>
      <c r="C188" s="5">
        <f>1-DATA!T$14/DATA!L$14</f>
        <v>0.5777777777777778</v>
      </c>
      <c r="D188" s="4">
        <f>DATA!AB$14</f>
        <v>0.08</v>
      </c>
      <c r="E188" s="6">
        <f>C188*D188</f>
        <v>0.04622222222222223</v>
      </c>
      <c r="F188" s="3"/>
      <c r="G188" s="6"/>
      <c r="H188" s="3"/>
      <c r="I188" s="25">
        <f>DATA!AR$14</f>
        <v>49</v>
      </c>
      <c r="J188" s="6">
        <f>(I188/I185)^0.5-1</f>
        <v>0.00545243483759994</v>
      </c>
      <c r="K188" s="3"/>
    </row>
    <row r="189" spans="1:11" ht="12.75">
      <c r="A189" s="3" t="str">
        <f>DATA!M$3</f>
        <v>2008-2010</v>
      </c>
      <c r="B189" s="1"/>
      <c r="C189" s="5">
        <f>1-DATA!U$14/DATA!M$14</f>
        <v>0.5333333333333334</v>
      </c>
      <c r="D189" s="4">
        <f>DATA!AC$14</f>
        <v>0.08</v>
      </c>
      <c r="E189" s="6">
        <f>C189*D189</f>
        <v>0.04266666666666668</v>
      </c>
      <c r="F189" s="6"/>
      <c r="G189" s="6">
        <f>DATA!AY$14</f>
        <v>0.04</v>
      </c>
      <c r="H189" s="1"/>
      <c r="I189" s="25">
        <f>DATA!AS$14</f>
        <v>49.75</v>
      </c>
      <c r="J189" s="6">
        <f>(I189/I185)^0.2-1</f>
        <v>0.005226694508135621</v>
      </c>
      <c r="K189" s="1"/>
    </row>
    <row r="190" spans="1:11" ht="12.75">
      <c r="A190" s="3"/>
      <c r="B190" s="1"/>
      <c r="C190" s="5"/>
      <c r="D190" s="4"/>
      <c r="E190" s="6"/>
      <c r="F190" s="3"/>
      <c r="G190" s="3"/>
      <c r="H190" s="1"/>
      <c r="I190" s="25"/>
      <c r="J190" s="6"/>
      <c r="K190" s="1"/>
    </row>
    <row r="191" spans="1:11" ht="12.75">
      <c r="A191" s="3"/>
      <c r="B191" s="1"/>
      <c r="C191" s="5"/>
      <c r="D191" s="4"/>
      <c r="E191" s="6"/>
      <c r="F191" s="3"/>
      <c r="G191" s="3"/>
      <c r="H191" s="1"/>
      <c r="I191" s="25"/>
      <c r="J191" s="6"/>
      <c r="K191" s="1"/>
    </row>
    <row r="192" spans="1:11" ht="12.75">
      <c r="A192" s="3"/>
      <c r="B192" s="1"/>
      <c r="C192" s="5"/>
      <c r="D192" s="4"/>
      <c r="E192" s="6"/>
      <c r="F192" s="3"/>
      <c r="G192" s="3"/>
      <c r="H192" s="1"/>
      <c r="I192" s="25"/>
      <c r="J192" s="6"/>
      <c r="K192" s="1"/>
    </row>
    <row r="193" spans="1:11" ht="12.75">
      <c r="A193" s="10" t="s">
        <v>13</v>
      </c>
      <c r="B193" s="1"/>
      <c r="C193" s="11"/>
      <c r="D193" s="12" t="s">
        <v>14</v>
      </c>
      <c r="E193" s="13" t="s">
        <v>15</v>
      </c>
      <c r="F193" s="10"/>
      <c r="G193" s="10"/>
      <c r="H193" s="1"/>
      <c r="I193" s="27" t="s">
        <v>145</v>
      </c>
      <c r="J193" s="14" t="s">
        <v>15</v>
      </c>
      <c r="K193" s="1"/>
    </row>
    <row r="194" spans="1:11" ht="12.75">
      <c r="A194" s="3"/>
      <c r="B194" s="1"/>
      <c r="C194" s="5"/>
      <c r="D194" s="4"/>
      <c r="E194" s="6"/>
      <c r="F194" s="3"/>
      <c r="G194" s="3"/>
      <c r="H194" s="1"/>
      <c r="I194" s="25"/>
      <c r="J194" s="6"/>
      <c r="K194" s="1"/>
    </row>
    <row r="195" spans="1:11" ht="12.75">
      <c r="A195" s="3"/>
      <c r="B195" s="1"/>
      <c r="C195" s="5" t="s">
        <v>146</v>
      </c>
      <c r="D195" s="4" t="s">
        <v>123</v>
      </c>
      <c r="E195" s="6"/>
      <c r="F195" s="3"/>
      <c r="G195" s="3" t="s">
        <v>124</v>
      </c>
      <c r="H195" s="1"/>
      <c r="I195" s="25" t="s">
        <v>125</v>
      </c>
      <c r="J195" s="6" t="s">
        <v>126</v>
      </c>
      <c r="K195" s="1"/>
    </row>
    <row r="196" spans="1:11" ht="12.75">
      <c r="A196" s="15" t="str">
        <f>DATA!A$15</f>
        <v>HE</v>
      </c>
      <c r="B196" s="1"/>
      <c r="C196" s="11" t="s">
        <v>127</v>
      </c>
      <c r="D196" s="12" t="s">
        <v>128</v>
      </c>
      <c r="E196" s="13" t="s">
        <v>154</v>
      </c>
      <c r="F196" s="10"/>
      <c r="G196" s="10" t="s">
        <v>54</v>
      </c>
      <c r="H196" s="1"/>
      <c r="I196" s="28" t="s">
        <v>55</v>
      </c>
      <c r="J196" s="13" t="s">
        <v>15</v>
      </c>
      <c r="K196" s="1"/>
    </row>
    <row r="197" spans="1:11" ht="12.75">
      <c r="A197" s="3">
        <f>DATA!F$3</f>
        <v>2000</v>
      </c>
      <c r="B197" s="1"/>
      <c r="C197" s="5">
        <f>1-DATA!N$15/DATA!F$15</f>
        <v>0.023622047244094557</v>
      </c>
      <c r="D197" s="4">
        <f>DATA!V$15</f>
        <v>0.098</v>
      </c>
      <c r="E197" s="6">
        <f>C197*D197</f>
        <v>0.0023149606299212666</v>
      </c>
      <c r="F197" s="3"/>
      <c r="G197" s="25">
        <f>DATA!AD$15</f>
        <v>12.72</v>
      </c>
      <c r="H197" s="1"/>
      <c r="I197" s="25">
        <f>DATA!AL$15</f>
        <v>65.98</v>
      </c>
      <c r="J197" s="6"/>
      <c r="K197" s="1"/>
    </row>
    <row r="198" spans="1:11" ht="12.75">
      <c r="A198" s="3">
        <f>DATA!G$3</f>
        <v>2001</v>
      </c>
      <c r="B198" s="1"/>
      <c r="C198" s="5">
        <f>1-DATA!O$15/DATA!G$15</f>
        <v>0.2250000000000001</v>
      </c>
      <c r="D198" s="4">
        <f>DATA!W$15</f>
        <v>0.118</v>
      </c>
      <c r="E198" s="6">
        <f>C198*D198</f>
        <v>0.026550000000000008</v>
      </c>
      <c r="F198" s="3"/>
      <c r="G198" s="25">
        <f>DATA!AE$15</f>
        <v>13.06</v>
      </c>
      <c r="H198" s="1"/>
      <c r="I198" s="25">
        <f>DATA!AM$15</f>
        <v>71.2</v>
      </c>
      <c r="J198" s="6"/>
      <c r="K198" s="1"/>
    </row>
    <row r="199" spans="1:11" ht="12.75">
      <c r="A199" s="3">
        <f>DATA!H$3</f>
        <v>2002</v>
      </c>
      <c r="B199" s="1"/>
      <c r="C199" s="5">
        <f>1-DATA!P$15/DATA!H$15</f>
        <v>0.23456790123456794</v>
      </c>
      <c r="D199" s="4">
        <f>DATA!X$15</f>
        <v>0.113</v>
      </c>
      <c r="E199" s="6">
        <f>C199*D199</f>
        <v>0.026506172839506178</v>
      </c>
      <c r="F199" s="3"/>
      <c r="G199" s="25">
        <f>DATA!AF$15</f>
        <v>14.21</v>
      </c>
      <c r="H199" s="1"/>
      <c r="I199" s="25">
        <f>DATA!AN$15</f>
        <v>73.62</v>
      </c>
      <c r="J199" s="6"/>
      <c r="K199" s="1"/>
    </row>
    <row r="200" spans="1:11" ht="12.75">
      <c r="A200" s="3">
        <f>DATA!I$3</f>
        <v>2003</v>
      </c>
      <c r="B200" s="1"/>
      <c r="C200" s="5">
        <f>1-DATA!Q$15/DATA!I$15</f>
        <v>0.21518987341772156</v>
      </c>
      <c r="D200" s="4">
        <f>DATA!Y$15</f>
        <v>0.108</v>
      </c>
      <c r="E200" s="6">
        <f>C200*D200</f>
        <v>0.023240506329113928</v>
      </c>
      <c r="F200" s="3"/>
      <c r="G200" s="25">
        <f>DATA!AG$15</f>
        <v>14.36</v>
      </c>
      <c r="H200" s="1"/>
      <c r="I200" s="25">
        <f>DATA!AO$15</f>
        <v>75.84</v>
      </c>
      <c r="J200" s="6"/>
      <c r="K200" s="1"/>
    </row>
    <row r="201" spans="1:11" ht="12.75">
      <c r="A201" s="3">
        <f>DATA!J$3</f>
        <v>2004</v>
      </c>
      <c r="B201" s="1"/>
      <c r="C201" s="5">
        <f>1-DATA!R$15/DATA!J$15</f>
        <v>0.08823529411764708</v>
      </c>
      <c r="D201" s="4">
        <f>DATA!Z$15</f>
        <v>0.089</v>
      </c>
      <c r="E201" s="16">
        <f>C201*D201</f>
        <v>0.00785294117647059</v>
      </c>
      <c r="F201" s="17"/>
      <c r="G201" s="26">
        <f>DATA!AH$15</f>
        <v>15.01</v>
      </c>
      <c r="H201" s="18"/>
      <c r="I201" s="26">
        <f>DATA!AP$15</f>
        <v>80.69</v>
      </c>
      <c r="J201" s="6"/>
      <c r="K201" s="1"/>
    </row>
    <row r="202" spans="1:11" ht="12.75">
      <c r="A202" s="19" t="s">
        <v>56</v>
      </c>
      <c r="B202" s="1"/>
      <c r="C202" s="5"/>
      <c r="D202" s="4"/>
      <c r="E202" s="6">
        <f>AVERAGE(E197:E201)</f>
        <v>0.017292916195002395</v>
      </c>
      <c r="F202" s="6"/>
      <c r="G202" s="6">
        <f>DATA!AX$15</f>
        <v>0.025</v>
      </c>
      <c r="H202" s="1"/>
      <c r="I202" s="25"/>
      <c r="J202" s="6">
        <f>(I201/I197)^0.25-1</f>
        <v>0.051603083970224395</v>
      </c>
      <c r="K202" s="1"/>
    </row>
    <row r="203" spans="1:11" ht="12.75">
      <c r="A203" s="3">
        <f>DATA!K$3</f>
        <v>2005</v>
      </c>
      <c r="B203" s="1"/>
      <c r="C203" s="5">
        <f>1-DATA!S$15/DATA!K$15</f>
        <v>0.20000000000000007</v>
      </c>
      <c r="D203" s="4">
        <f>DATA!AA$15</f>
        <v>0.1</v>
      </c>
      <c r="E203" s="6">
        <f>C203*D203</f>
        <v>0.020000000000000007</v>
      </c>
      <c r="F203" s="6"/>
      <c r="G203" s="6"/>
      <c r="H203" s="1"/>
      <c r="I203" s="25">
        <f>DATA!AQ$15</f>
        <v>80.75</v>
      </c>
      <c r="J203" s="6">
        <f>(I203/I201)-1</f>
        <v>0.0007435865658693697</v>
      </c>
      <c r="K203" s="1"/>
    </row>
    <row r="204" spans="1:11" ht="12.75">
      <c r="A204" s="3">
        <f>DATA!L$3</f>
        <v>2006</v>
      </c>
      <c r="B204" s="3"/>
      <c r="C204" s="5">
        <f>1-DATA!T$15/DATA!L$15</f>
        <v>0.24848484848484842</v>
      </c>
      <c r="D204" s="4">
        <f>DATA!AB$15</f>
        <v>0.105</v>
      </c>
      <c r="E204" s="6">
        <f>C204*D204</f>
        <v>0.026090909090909085</v>
      </c>
      <c r="F204" s="3"/>
      <c r="G204" s="6"/>
      <c r="H204" s="3"/>
      <c r="I204" s="25">
        <f>DATA!AR$15</f>
        <v>80.8</v>
      </c>
      <c r="J204" s="6">
        <f>(I204/I201)^0.5-1</f>
        <v>0.0006813888733152584</v>
      </c>
      <c r="K204" s="3"/>
    </row>
    <row r="205" spans="1:11" ht="12.75">
      <c r="A205" s="3" t="str">
        <f>DATA!M$3</f>
        <v>2008-2010</v>
      </c>
      <c r="B205" s="1"/>
      <c r="C205" s="5">
        <f>1-DATA!U$15/DATA!M$15</f>
        <v>0.2914285714285715</v>
      </c>
      <c r="D205" s="4">
        <f>DATA!AC$15</f>
        <v>0.105</v>
      </c>
      <c r="E205" s="6">
        <f>C205*D205</f>
        <v>0.030600000000000006</v>
      </c>
      <c r="F205" s="6"/>
      <c r="G205" s="6">
        <f>DATA!AY$15</f>
        <v>0.03</v>
      </c>
      <c r="H205" s="1"/>
      <c r="I205" s="25">
        <f>DATA!AS$15</f>
        <v>81</v>
      </c>
      <c r="J205" s="6">
        <f>(I205/I201)^0.2-1</f>
        <v>0.0007671947058291995</v>
      </c>
      <c r="K205" s="1"/>
    </row>
    <row r="206" spans="1:11" ht="12.75">
      <c r="A206" s="3"/>
      <c r="B206" s="1"/>
      <c r="C206" s="5"/>
      <c r="D206" s="4"/>
      <c r="E206" s="6"/>
      <c r="F206" s="3"/>
      <c r="G206" s="3"/>
      <c r="H206" s="1"/>
      <c r="I206" s="25"/>
      <c r="J206" s="6"/>
      <c r="K206" s="1"/>
    </row>
    <row r="207" spans="2:11" ht="12.75">
      <c r="B207" s="1"/>
      <c r="C207" s="5"/>
      <c r="D207" s="4"/>
      <c r="E207" s="6"/>
      <c r="F207" s="3"/>
      <c r="G207" s="3"/>
      <c r="H207" s="1"/>
      <c r="I207" s="25"/>
      <c r="J207" s="6"/>
      <c r="K207" s="1"/>
    </row>
    <row r="208" spans="1:11" ht="12.75">
      <c r="A208" s="3"/>
      <c r="B208" s="1"/>
      <c r="C208" s="5"/>
      <c r="D208" s="4"/>
      <c r="E208" s="6"/>
      <c r="F208" s="3"/>
      <c r="G208" s="3"/>
      <c r="H208" s="1"/>
      <c r="I208" s="25"/>
      <c r="J208" s="6"/>
      <c r="K208" s="1"/>
    </row>
    <row r="209" spans="1:11" ht="12.75">
      <c r="A209" s="10" t="s">
        <v>13</v>
      </c>
      <c r="B209" s="1"/>
      <c r="C209" s="11"/>
      <c r="D209" s="12" t="s">
        <v>14</v>
      </c>
      <c r="E209" s="13" t="s">
        <v>15</v>
      </c>
      <c r="F209" s="10"/>
      <c r="G209" s="10"/>
      <c r="H209" s="1"/>
      <c r="I209" s="27" t="s">
        <v>145</v>
      </c>
      <c r="J209" s="14" t="s">
        <v>15</v>
      </c>
      <c r="K209" s="1"/>
    </row>
    <row r="210" spans="1:11" ht="12.75">
      <c r="A210" s="3"/>
      <c r="B210" s="1"/>
      <c r="C210" s="5"/>
      <c r="D210" s="4"/>
      <c r="E210" s="6"/>
      <c r="F210" s="3"/>
      <c r="G210" s="3"/>
      <c r="H210" s="1"/>
      <c r="I210" s="25"/>
      <c r="J210" s="6"/>
      <c r="K210" s="1"/>
    </row>
    <row r="211" spans="1:11" ht="12.75">
      <c r="A211" s="3"/>
      <c r="B211" s="1"/>
      <c r="C211" s="5" t="s">
        <v>146</v>
      </c>
      <c r="D211" s="4" t="s">
        <v>123</v>
      </c>
      <c r="E211" s="6"/>
      <c r="F211" s="3"/>
      <c r="G211" s="3" t="s">
        <v>124</v>
      </c>
      <c r="H211" s="1"/>
      <c r="I211" s="25" t="s">
        <v>125</v>
      </c>
      <c r="J211" s="6" t="s">
        <v>126</v>
      </c>
      <c r="K211" s="1"/>
    </row>
    <row r="212" spans="1:11" ht="12.75">
      <c r="A212" s="15" t="str">
        <f>DATA!A$16</f>
        <v>PNM</v>
      </c>
      <c r="B212" s="1"/>
      <c r="C212" s="11" t="s">
        <v>127</v>
      </c>
      <c r="D212" s="12" t="s">
        <v>128</v>
      </c>
      <c r="E212" s="13" t="s">
        <v>154</v>
      </c>
      <c r="F212" s="10"/>
      <c r="G212" s="10" t="s">
        <v>54</v>
      </c>
      <c r="H212" s="1"/>
      <c r="I212" s="28" t="s">
        <v>55</v>
      </c>
      <c r="J212" s="13" t="s">
        <v>15</v>
      </c>
      <c r="K212" s="1"/>
    </row>
    <row r="213" spans="1:11" ht="12.75">
      <c r="A213" s="3">
        <f>DATA!F$3</f>
        <v>2000</v>
      </c>
      <c r="B213" s="1"/>
      <c r="C213" s="5">
        <f>1-DATA!N$16/DATA!F$16</f>
        <v>0.6580645161290323</v>
      </c>
      <c r="D213" s="4">
        <f>DATA!V$16</f>
        <v>0.1</v>
      </c>
      <c r="E213" s="6">
        <f>C213*D213</f>
        <v>0.06580645161290323</v>
      </c>
      <c r="F213" s="3"/>
      <c r="G213" s="25">
        <f>DATA!AD$16</f>
        <v>14.74</v>
      </c>
      <c r="H213" s="1"/>
      <c r="I213" s="25">
        <f>DATA!AL$16</f>
        <v>58.68</v>
      </c>
      <c r="J213" s="6"/>
      <c r="K213" s="1"/>
    </row>
    <row r="214" spans="1:11" ht="12.75">
      <c r="A214" s="3">
        <f>DATA!G$3</f>
        <v>2001</v>
      </c>
      <c r="B214" s="1"/>
      <c r="C214" s="5">
        <f>1-DATA!O$16/DATA!G$16</f>
        <v>0.7969348659003831</v>
      </c>
      <c r="D214" s="4">
        <f>DATA!W$16</f>
        <v>0.154</v>
      </c>
      <c r="E214" s="6">
        <f>C214*D214</f>
        <v>0.122727969348659</v>
      </c>
      <c r="F214" s="3"/>
      <c r="G214" s="25">
        <f>DATA!AE$16</f>
        <v>17.25</v>
      </c>
      <c r="H214" s="1"/>
      <c r="I214" s="25">
        <f>DATA!AM$16</f>
        <v>58.68</v>
      </c>
      <c r="J214" s="6"/>
      <c r="K214" s="1"/>
    </row>
    <row r="215" spans="1:11" ht="12.75">
      <c r="A215" s="3">
        <f>DATA!H$3</f>
        <v>2002</v>
      </c>
      <c r="B215" s="1"/>
      <c r="C215" s="5">
        <f>1-DATA!P$16/DATA!H$16</f>
        <v>0.4672897196261683</v>
      </c>
      <c r="D215" s="4">
        <f>DATA!X$16</f>
        <v>0.065</v>
      </c>
      <c r="E215" s="6">
        <f>C215*D215</f>
        <v>0.030373831775700938</v>
      </c>
      <c r="F215" s="3"/>
      <c r="G215" s="25">
        <f>DATA!AF$16</f>
        <v>16.6</v>
      </c>
      <c r="H215" s="1"/>
      <c r="I215" s="25">
        <f>DATA!AN$16</f>
        <v>58.68</v>
      </c>
      <c r="J215" s="6"/>
      <c r="K215" s="1"/>
    </row>
    <row r="216" spans="1:11" ht="12.75">
      <c r="A216" s="3">
        <f>DATA!I$3</f>
        <v>2003</v>
      </c>
      <c r="B216" s="1"/>
      <c r="C216" s="5">
        <f>1-DATA!Q$16/DATA!I$16</f>
        <v>0.4695652173913043</v>
      </c>
      <c r="D216" s="4">
        <f>DATA!Y$16</f>
        <v>0.063</v>
      </c>
      <c r="E216" s="6">
        <f>C216*D216</f>
        <v>0.02958260869565217</v>
      </c>
      <c r="F216" s="3"/>
      <c r="G216" s="25">
        <f>DATA!AG$16</f>
        <v>17.84</v>
      </c>
      <c r="H216" s="1"/>
      <c r="I216" s="25">
        <f>DATA!AO$16</f>
        <v>60.39</v>
      </c>
      <c r="J216" s="6"/>
      <c r="K216" s="1"/>
    </row>
    <row r="217" spans="1:11" ht="12.75">
      <c r="A217" s="3">
        <f>DATA!J$3</f>
        <v>2004</v>
      </c>
      <c r="B217" s="1"/>
      <c r="C217" s="5">
        <f>1-DATA!R$16/DATA!J$16</f>
        <v>0.5594405594405594</v>
      </c>
      <c r="D217" s="4">
        <f>DATA!Z$16</f>
        <v>0.08</v>
      </c>
      <c r="E217" s="16">
        <f>C217*D217</f>
        <v>0.04475524475524475</v>
      </c>
      <c r="F217" s="17"/>
      <c r="G217" s="26">
        <f>DATA!AH$16</f>
        <v>18.19</v>
      </c>
      <c r="H217" s="18"/>
      <c r="I217" s="26">
        <f>DATA!AP$16</f>
        <v>60.46</v>
      </c>
      <c r="J217" s="6"/>
      <c r="K217" s="1"/>
    </row>
    <row r="218" spans="1:11" ht="12.75">
      <c r="A218" s="19" t="s">
        <v>56</v>
      </c>
      <c r="B218" s="1"/>
      <c r="C218" s="5"/>
      <c r="D218" s="4"/>
      <c r="E218" s="6">
        <f>AVERAGE(E213:E217)</f>
        <v>0.05864922123763201</v>
      </c>
      <c r="F218" s="6"/>
      <c r="G218" s="6">
        <f>DATA!AX$16</f>
        <v>0.05</v>
      </c>
      <c r="H218" s="1"/>
      <c r="I218" s="25"/>
      <c r="J218" s="6">
        <f>(I217/I213)^0.25-1</f>
        <v>0.007498734762579451</v>
      </c>
      <c r="K218" s="1"/>
    </row>
    <row r="219" spans="1:11" ht="12.75">
      <c r="A219" s="3">
        <f>DATA!K$3</f>
        <v>2005</v>
      </c>
      <c r="B219" s="1"/>
      <c r="C219" s="5">
        <f>1-DATA!S$16/DATA!K$16</f>
        <v>0.5066666666666666</v>
      </c>
      <c r="D219" s="4">
        <f>DATA!AA$16</f>
        <v>0.08</v>
      </c>
      <c r="E219" s="6">
        <f>C219*D219</f>
        <v>0.04053333333333333</v>
      </c>
      <c r="F219" s="6"/>
      <c r="G219" s="6"/>
      <c r="H219" s="1"/>
      <c r="I219" s="25">
        <f>DATA!AQ$16</f>
        <v>64.4</v>
      </c>
      <c r="J219" s="6">
        <f>(I219/I217)-1</f>
        <v>0.06516705259675826</v>
      </c>
      <c r="K219" s="1"/>
    </row>
    <row r="220" spans="1:11" ht="12.75">
      <c r="A220" s="3">
        <f>DATA!L$3</f>
        <v>2006</v>
      </c>
      <c r="B220" s="3"/>
      <c r="C220" s="5">
        <f>1-DATA!T$16/DATA!L$16</f>
        <v>0.49677419354838714</v>
      </c>
      <c r="D220" s="4">
        <f>DATA!AB$16</f>
        <v>0.085</v>
      </c>
      <c r="E220" s="6">
        <f>C220*D220</f>
        <v>0.04222580645161291</v>
      </c>
      <c r="F220" s="3"/>
      <c r="G220" s="6"/>
      <c r="H220" s="3"/>
      <c r="I220" s="25">
        <f>DATA!AR$16</f>
        <v>64.4</v>
      </c>
      <c r="J220" s="6">
        <f>(I220/I217)^0.5-1</f>
        <v>0.03206930610146452</v>
      </c>
      <c r="K220" s="3"/>
    </row>
    <row r="221" spans="1:11" ht="12.75">
      <c r="A221" s="3" t="str">
        <f>DATA!M$3</f>
        <v>2008-2010</v>
      </c>
      <c r="B221" s="1"/>
      <c r="C221" s="5">
        <f>1-DATA!U$16/DATA!M$16</f>
        <v>0.4375</v>
      </c>
      <c r="D221" s="4">
        <f>DATA!AC$16</f>
        <v>0.075</v>
      </c>
      <c r="E221" s="6">
        <f>C221*D221</f>
        <v>0.0328125</v>
      </c>
      <c r="F221" s="6"/>
      <c r="G221" s="6">
        <f>DATA!AY$16</f>
        <v>0.04</v>
      </c>
      <c r="H221" s="1"/>
      <c r="I221" s="25">
        <f>DATA!AS$16</f>
        <v>72.4</v>
      </c>
      <c r="J221" s="6">
        <f>(I221/I217)^0.2-1</f>
        <v>0.036702353997078996</v>
      </c>
      <c r="K221" s="1"/>
    </row>
    <row r="222" spans="2:11" ht="12.75">
      <c r="B222" s="1"/>
      <c r="C222" s="5"/>
      <c r="D222" s="4"/>
      <c r="E222" s="6"/>
      <c r="F222" s="3"/>
      <c r="G222" s="3"/>
      <c r="H222" s="1"/>
      <c r="I222" s="25"/>
      <c r="J222" s="86" t="s">
        <v>215</v>
      </c>
      <c r="K222" s="1"/>
    </row>
    <row r="223" spans="1:11" ht="12.75">
      <c r="A223" s="3"/>
      <c r="B223" s="1"/>
      <c r="C223" s="5"/>
      <c r="D223" s="4"/>
      <c r="E223" s="6"/>
      <c r="F223" s="3"/>
      <c r="G223" s="3"/>
      <c r="H223" s="1"/>
      <c r="I223" s="25"/>
      <c r="J223" s="33" t="s">
        <v>220</v>
      </c>
      <c r="K223" s="1"/>
    </row>
    <row r="224" spans="1:11" ht="12.75">
      <c r="A224" s="3"/>
      <c r="B224" s="1"/>
      <c r="C224" s="5"/>
      <c r="D224" s="4"/>
      <c r="E224" s="6"/>
      <c r="F224" s="3"/>
      <c r="G224" s="3"/>
      <c r="H224" s="1"/>
      <c r="I224" s="25"/>
      <c r="J224" s="6" t="s">
        <v>49</v>
      </c>
      <c r="K224" s="1"/>
    </row>
    <row r="225" spans="1:11" ht="12.75">
      <c r="A225" s="3"/>
      <c r="B225" s="1"/>
      <c r="C225" s="5"/>
      <c r="D225" s="4"/>
      <c r="E225" s="6"/>
      <c r="F225" s="3"/>
      <c r="G225" s="3"/>
      <c r="H225" s="1"/>
      <c r="I225" s="25"/>
      <c r="J225" s="6"/>
      <c r="K225" s="1"/>
    </row>
    <row r="226" spans="1:11" ht="12.75">
      <c r="A226" s="3"/>
      <c r="B226" s="1"/>
      <c r="C226" s="5"/>
      <c r="D226" s="4"/>
      <c r="E226" s="6"/>
      <c r="F226" s="3"/>
      <c r="G226" s="3"/>
      <c r="H226" s="1"/>
      <c r="I226" s="25"/>
      <c r="J226" s="6"/>
      <c r="K226" s="1"/>
    </row>
    <row r="227" spans="1:11" ht="12.75">
      <c r="A227" s="3"/>
      <c r="B227" s="1"/>
      <c r="C227" s="5"/>
      <c r="D227" s="4"/>
      <c r="E227" s="8"/>
      <c r="F227" s="9" t="str">
        <f>F$6</f>
        <v>AVISTA UTILITIES</v>
      </c>
      <c r="G227" s="1"/>
      <c r="H227" s="1"/>
      <c r="I227" s="25"/>
      <c r="J227" s="6"/>
      <c r="K227" s="1"/>
    </row>
    <row r="228" spans="1:11" ht="12.75">
      <c r="A228" s="3"/>
      <c r="B228" s="1"/>
      <c r="C228" s="5"/>
      <c r="D228" s="4"/>
      <c r="E228" s="8"/>
      <c r="F228" s="3" t="s">
        <v>12</v>
      </c>
      <c r="G228" s="1"/>
      <c r="H228" s="1"/>
      <c r="I228" s="25"/>
      <c r="J228" s="6"/>
      <c r="K228" s="1"/>
    </row>
    <row r="229" spans="1:11" ht="12.75">
      <c r="A229" s="3"/>
      <c r="B229" s="1"/>
      <c r="C229" s="5"/>
      <c r="D229" s="4"/>
      <c r="E229" s="6"/>
      <c r="F229" s="3"/>
      <c r="G229" s="3"/>
      <c r="H229" s="1"/>
      <c r="I229" s="25"/>
      <c r="J229" s="6"/>
      <c r="K229" s="1"/>
    </row>
    <row r="230" spans="1:11" ht="12.75">
      <c r="A230" s="3"/>
      <c r="B230" s="1"/>
      <c r="C230" s="5"/>
      <c r="D230" s="4"/>
      <c r="E230" s="6"/>
      <c r="F230" s="3"/>
      <c r="G230" s="3"/>
      <c r="H230" s="1"/>
      <c r="I230" s="25"/>
      <c r="J230" s="6"/>
      <c r="K230" s="1"/>
    </row>
    <row r="231" spans="1:11" ht="12.75">
      <c r="A231" s="3"/>
      <c r="B231" s="1"/>
      <c r="C231" s="5"/>
      <c r="D231" s="4"/>
      <c r="E231" s="6"/>
      <c r="F231" s="3"/>
      <c r="G231" s="3"/>
      <c r="H231" s="1"/>
      <c r="I231" s="25"/>
      <c r="J231" s="6"/>
      <c r="K231" s="1"/>
    </row>
    <row r="232" spans="1:11" ht="12.75">
      <c r="A232" s="10" t="s">
        <v>13</v>
      </c>
      <c r="B232" s="1"/>
      <c r="C232" s="11"/>
      <c r="D232" s="12" t="s">
        <v>14</v>
      </c>
      <c r="E232" s="13" t="s">
        <v>15</v>
      </c>
      <c r="F232" s="10"/>
      <c r="G232" s="10"/>
      <c r="H232" s="1"/>
      <c r="I232" s="27" t="s">
        <v>145</v>
      </c>
      <c r="J232" s="14" t="s">
        <v>15</v>
      </c>
      <c r="K232" s="1"/>
    </row>
    <row r="233" spans="1:11" ht="12.75">
      <c r="A233" s="3"/>
      <c r="B233" s="1"/>
      <c r="C233" s="5"/>
      <c r="D233" s="4"/>
      <c r="E233" s="6"/>
      <c r="F233" s="3"/>
      <c r="G233" s="3"/>
      <c r="H233" s="1"/>
      <c r="I233" s="25"/>
      <c r="J233" s="6"/>
      <c r="K233" s="1"/>
    </row>
    <row r="234" spans="1:11" ht="12.75">
      <c r="A234" s="3"/>
      <c r="B234" s="1"/>
      <c r="C234" s="5" t="s">
        <v>146</v>
      </c>
      <c r="D234" s="4" t="s">
        <v>123</v>
      </c>
      <c r="E234" s="6"/>
      <c r="F234" s="3"/>
      <c r="G234" s="3" t="s">
        <v>124</v>
      </c>
      <c r="H234" s="1"/>
      <c r="I234" s="25" t="s">
        <v>125</v>
      </c>
      <c r="J234" s="6" t="s">
        <v>126</v>
      </c>
      <c r="K234" s="1"/>
    </row>
    <row r="235" spans="1:11" ht="12.75">
      <c r="A235" s="15" t="str">
        <f>DATA!A$17</f>
        <v>PNW</v>
      </c>
      <c r="B235" s="1"/>
      <c r="C235" s="11" t="s">
        <v>127</v>
      </c>
      <c r="D235" s="12" t="s">
        <v>128</v>
      </c>
      <c r="E235" s="13" t="s">
        <v>154</v>
      </c>
      <c r="F235" s="10"/>
      <c r="G235" s="10" t="s">
        <v>54</v>
      </c>
      <c r="H235" s="1"/>
      <c r="I235" s="28" t="s">
        <v>55</v>
      </c>
      <c r="J235" s="13" t="s">
        <v>15</v>
      </c>
      <c r="K235" s="1"/>
    </row>
    <row r="236" spans="1:11" ht="12.75">
      <c r="A236" s="3">
        <f>DATA!F$3</f>
        <v>2000</v>
      </c>
      <c r="B236" s="1"/>
      <c r="C236" s="5">
        <f>1-DATA!N$17/DATA!F$17</f>
        <v>0.573134328358209</v>
      </c>
      <c r="D236" s="4">
        <f>DATA!V$17</f>
        <v>0.119</v>
      </c>
      <c r="E236" s="6">
        <f>C236*D236</f>
        <v>0.06820298507462687</v>
      </c>
      <c r="F236" s="3"/>
      <c r="G236" s="25">
        <f>DATA!AD$17</f>
        <v>28.09</v>
      </c>
      <c r="H236" s="1"/>
      <c r="I236" s="25">
        <f>DATA!AL$17</f>
        <v>84.83</v>
      </c>
      <c r="J236" s="6"/>
      <c r="K236" s="1"/>
    </row>
    <row r="237" spans="1:11" ht="12.75">
      <c r="A237" s="3">
        <f>DATA!G$3</f>
        <v>2001</v>
      </c>
      <c r="B237" s="1"/>
      <c r="C237" s="5">
        <f>1-DATA!O$17/DATA!G$17</f>
        <v>0.5842391304347826</v>
      </c>
      <c r="D237" s="4">
        <f>DATA!W$17</f>
        <v>0.125</v>
      </c>
      <c r="E237" s="6">
        <f>C237*D237</f>
        <v>0.07302989130434782</v>
      </c>
      <c r="F237" s="3"/>
      <c r="G237" s="25">
        <f>DATA!AE$17</f>
        <v>29.46</v>
      </c>
      <c r="H237" s="1"/>
      <c r="I237" s="25">
        <f>DATA!AM$17</f>
        <v>84.83</v>
      </c>
      <c r="J237" s="6"/>
      <c r="K237" s="1"/>
    </row>
    <row r="238" spans="1:11" ht="12.75">
      <c r="A238" s="3">
        <f>DATA!H$3</f>
        <v>2002</v>
      </c>
      <c r="B238" s="1"/>
      <c r="C238" s="5">
        <f>1-DATA!P$17/DATA!H$17</f>
        <v>0.35573122529644263</v>
      </c>
      <c r="D238" s="4">
        <f>DATA!X$17</f>
        <v>0.08</v>
      </c>
      <c r="E238" s="6">
        <f>C238*D238</f>
        <v>0.02845849802371541</v>
      </c>
      <c r="F238" s="3"/>
      <c r="G238" s="25">
        <f>DATA!AF$17</f>
        <v>29.44</v>
      </c>
      <c r="H238" s="1"/>
      <c r="I238" s="25">
        <f>DATA!AN$17</f>
        <v>91.26</v>
      </c>
      <c r="J238" s="6"/>
      <c r="K238" s="1"/>
    </row>
    <row r="239" spans="1:11" ht="12.75">
      <c r="A239" s="3">
        <f>DATA!I$3</f>
        <v>2003</v>
      </c>
      <c r="B239" s="1"/>
      <c r="C239" s="5">
        <f>1-DATA!Q$17/DATA!I$17</f>
        <v>0.3134920634920635</v>
      </c>
      <c r="D239" s="4">
        <f>DATA!Y$17</f>
        <v>0.081</v>
      </c>
      <c r="E239" s="6">
        <f>C239*D239</f>
        <v>0.025392857142857144</v>
      </c>
      <c r="F239" s="3"/>
      <c r="G239" s="25">
        <f>DATA!AG$17</f>
        <v>31</v>
      </c>
      <c r="H239" s="1"/>
      <c r="I239" s="25">
        <f>DATA!AO$17</f>
        <v>91.29</v>
      </c>
      <c r="J239" s="6"/>
      <c r="K239" s="1"/>
    </row>
    <row r="240" spans="1:11" ht="12.75">
      <c r="A240" s="3">
        <f>DATA!J$3</f>
        <v>2004</v>
      </c>
      <c r="B240" s="1"/>
      <c r="C240" s="5">
        <f>1-DATA!R$17/DATA!J$17</f>
        <v>0.2906976744186046</v>
      </c>
      <c r="D240" s="4">
        <f>DATA!Z$17</f>
        <v>0.08</v>
      </c>
      <c r="E240" s="16">
        <f>C240*D240</f>
        <v>0.02325581395348837</v>
      </c>
      <c r="F240" s="17"/>
      <c r="G240" s="26">
        <f>DATA!AH$17</f>
        <v>32.14</v>
      </c>
      <c r="H240" s="18"/>
      <c r="I240" s="26">
        <f>DATA!AP$17</f>
        <v>91.79</v>
      </c>
      <c r="J240" s="6"/>
      <c r="K240" s="1"/>
    </row>
    <row r="241" spans="1:11" ht="12.75">
      <c r="A241" s="19" t="s">
        <v>56</v>
      </c>
      <c r="B241" s="1"/>
      <c r="C241" s="5"/>
      <c r="D241" s="4"/>
      <c r="E241" s="6">
        <f>AVERAGE(E236:E240)</f>
        <v>0.04366800909980712</v>
      </c>
      <c r="F241" s="6"/>
      <c r="G241" s="6">
        <f>DATA!AX$17</f>
        <v>0.04</v>
      </c>
      <c r="H241" s="1"/>
      <c r="I241" s="25"/>
      <c r="J241" s="6">
        <f>(I240/I236)^0.25-1</f>
        <v>0.019909121086551185</v>
      </c>
      <c r="K241" s="1"/>
    </row>
    <row r="242" spans="1:11" ht="12.75">
      <c r="A242" s="3">
        <f>DATA!K$3</f>
        <v>2005</v>
      </c>
      <c r="B242" s="1"/>
      <c r="C242" s="5">
        <f>1-DATA!S$17/DATA!K$17</f>
        <v>0.3566666666666667</v>
      </c>
      <c r="D242" s="4">
        <f>DATA!AA$17</f>
        <v>0.085</v>
      </c>
      <c r="E242" s="6">
        <f>C242*D242</f>
        <v>0.030316666666666672</v>
      </c>
      <c r="F242" s="6"/>
      <c r="G242" s="6"/>
      <c r="H242" s="1"/>
      <c r="I242" s="25">
        <f>DATA!AQ$17</f>
        <v>97.8</v>
      </c>
      <c r="J242" s="6">
        <f>(I242/I240)-1</f>
        <v>0.06547554199803884</v>
      </c>
      <c r="K242" s="1"/>
    </row>
    <row r="243" spans="1:11" ht="12.75">
      <c r="A243" s="3">
        <f>DATA!L$3</f>
        <v>2006</v>
      </c>
      <c r="B243" s="3"/>
      <c r="C243" s="5">
        <f>1-DATA!T$17/DATA!L$17</f>
        <v>0.3344262295081968</v>
      </c>
      <c r="D243" s="4">
        <f>DATA!AB$17</f>
        <v>0.085</v>
      </c>
      <c r="E243" s="6">
        <f>C243*D243</f>
        <v>0.02842622950819673</v>
      </c>
      <c r="F243" s="3"/>
      <c r="G243" s="6"/>
      <c r="H243" s="3"/>
      <c r="I243" s="25">
        <f>DATA!AR$17</f>
        <v>97.8</v>
      </c>
      <c r="J243" s="6">
        <f>(I243/I240)^0.5-1</f>
        <v>0.03221874716459139</v>
      </c>
      <c r="K243" s="3"/>
    </row>
    <row r="244" spans="1:11" ht="12.75">
      <c r="A244" s="3" t="str">
        <f>DATA!M$3</f>
        <v>2008-2010</v>
      </c>
      <c r="B244" s="1"/>
      <c r="C244" s="5">
        <f>1-DATA!U$17/DATA!M$17</f>
        <v>0.2603174603174603</v>
      </c>
      <c r="D244" s="4">
        <f>DATA!AC$17</f>
        <v>0.085</v>
      </c>
      <c r="E244" s="6">
        <f>C244*D244</f>
        <v>0.022126984126984127</v>
      </c>
      <c r="F244" s="6"/>
      <c r="G244" s="6">
        <f>DATA!AY$17</f>
        <v>0.035</v>
      </c>
      <c r="H244" s="1"/>
      <c r="I244" s="25">
        <f>DATA!AS$17</f>
        <v>97.8</v>
      </c>
      <c r="J244" s="6">
        <f>(I244/I240)^0.2-1</f>
        <v>0.012765029788697202</v>
      </c>
      <c r="K244" s="1"/>
    </row>
    <row r="245" spans="1:11" ht="12.75">
      <c r="A245" s="3"/>
      <c r="B245" s="1"/>
      <c r="C245" s="5"/>
      <c r="D245" s="4"/>
      <c r="E245" s="6"/>
      <c r="F245" s="3"/>
      <c r="G245" s="3"/>
      <c r="H245" s="1"/>
      <c r="I245" s="25"/>
      <c r="J245" s="6"/>
      <c r="K245" s="1"/>
    </row>
    <row r="246" spans="1:11" ht="12.75">
      <c r="A246" s="19" t="s">
        <v>24</v>
      </c>
      <c r="B246" s="1"/>
      <c r="C246" s="5"/>
      <c r="D246" s="4"/>
      <c r="E246" s="6"/>
      <c r="F246" s="3"/>
      <c r="G246" s="3"/>
      <c r="H246" s="1"/>
      <c r="I246" s="25"/>
      <c r="J246" s="6"/>
      <c r="K246" s="1"/>
    </row>
    <row r="247" spans="1:11" ht="12.75">
      <c r="A247" s="3"/>
      <c r="B247" s="1"/>
      <c r="C247" s="5"/>
      <c r="D247" s="4"/>
      <c r="E247" s="6"/>
      <c r="F247" s="3"/>
      <c r="G247" s="3"/>
      <c r="H247" s="1"/>
      <c r="I247" s="25"/>
      <c r="J247" s="6"/>
      <c r="K247" s="1"/>
    </row>
    <row r="248" spans="1:11" ht="12.75">
      <c r="A248" s="10" t="s">
        <v>13</v>
      </c>
      <c r="B248" s="1"/>
      <c r="C248" s="11"/>
      <c r="D248" s="12" t="s">
        <v>14</v>
      </c>
      <c r="E248" s="13" t="s">
        <v>15</v>
      </c>
      <c r="F248" s="10"/>
      <c r="G248" s="10"/>
      <c r="H248" s="1"/>
      <c r="I248" s="27" t="s">
        <v>145</v>
      </c>
      <c r="J248" s="14" t="s">
        <v>15</v>
      </c>
      <c r="K248" s="1"/>
    </row>
    <row r="249" spans="1:11" ht="12.75">
      <c r="A249" s="3"/>
      <c r="B249" s="1"/>
      <c r="C249" s="5"/>
      <c r="D249" s="4"/>
      <c r="E249" s="6"/>
      <c r="F249" s="3"/>
      <c r="G249" s="3"/>
      <c r="H249" s="1"/>
      <c r="I249" s="25"/>
      <c r="J249" s="6"/>
      <c r="K249" s="1"/>
    </row>
    <row r="250" spans="1:11" ht="12.75">
      <c r="A250" s="3"/>
      <c r="B250" s="1"/>
      <c r="C250" s="5" t="s">
        <v>146</v>
      </c>
      <c r="D250" s="4" t="s">
        <v>123</v>
      </c>
      <c r="E250" s="6"/>
      <c r="F250" s="3"/>
      <c r="G250" s="3" t="s">
        <v>124</v>
      </c>
      <c r="H250" s="1"/>
      <c r="I250" s="25" t="s">
        <v>125</v>
      </c>
      <c r="J250" s="6" t="s">
        <v>126</v>
      </c>
      <c r="K250" s="1"/>
    </row>
    <row r="251" spans="1:11" ht="12.75">
      <c r="A251" s="15" t="str">
        <f>DATA!A$18</f>
        <v>PSD</v>
      </c>
      <c r="B251" s="1"/>
      <c r="C251" s="11" t="s">
        <v>127</v>
      </c>
      <c r="D251" s="12" t="s">
        <v>128</v>
      </c>
      <c r="E251" s="13" t="s">
        <v>154</v>
      </c>
      <c r="F251" s="10"/>
      <c r="G251" s="10" t="s">
        <v>54</v>
      </c>
      <c r="H251" s="1"/>
      <c r="I251" s="28" t="s">
        <v>55</v>
      </c>
      <c r="J251" s="13" t="s">
        <v>15</v>
      </c>
      <c r="K251" s="1"/>
    </row>
    <row r="252" spans="1:11" ht="12.75">
      <c r="A252" s="3">
        <f>DATA!F$3</f>
        <v>2000</v>
      </c>
      <c r="B252" s="1"/>
      <c r="C252" s="5">
        <f>1-DATA!N$18/DATA!F$18</f>
        <v>0.14814814814814814</v>
      </c>
      <c r="D252" s="4">
        <f>DATA!V$18</f>
        <v>0.13</v>
      </c>
      <c r="E252" s="6">
        <f>C252*D252</f>
        <v>0.019259259259259257</v>
      </c>
      <c r="F252" s="3"/>
      <c r="G252" s="25">
        <f>DATA!AD$18</f>
        <v>16.61</v>
      </c>
      <c r="H252" s="1"/>
      <c r="I252" s="25">
        <f>DATA!AL$18</f>
        <v>85.9</v>
      </c>
      <c r="J252" s="6"/>
      <c r="K252" s="1"/>
    </row>
    <row r="253" spans="1:11" ht="12.75">
      <c r="A253" s="3">
        <f>DATA!G$3</f>
        <v>2001</v>
      </c>
      <c r="B253" s="1"/>
      <c r="C253" s="5">
        <f>1-DATA!O$18/DATA!G$18</f>
        <v>-0.5081967213114755</v>
      </c>
      <c r="D253" s="4">
        <f>DATA!W$18</f>
        <v>0.077</v>
      </c>
      <c r="E253" s="6">
        <f>C253*D253</f>
        <v>-0.03913114754098362</v>
      </c>
      <c r="F253" s="3"/>
      <c r="G253" s="25">
        <f>DATA!AE$18</f>
        <v>15.66</v>
      </c>
      <c r="H253" s="1"/>
      <c r="I253" s="25">
        <f>DATA!AM$18</f>
        <v>87.02</v>
      </c>
      <c r="J253" s="6"/>
      <c r="K253" s="1"/>
    </row>
    <row r="254" spans="1:11" ht="12.75">
      <c r="A254" s="3">
        <f>DATA!H$3</f>
        <v>2002</v>
      </c>
      <c r="B254" s="1"/>
      <c r="C254" s="5">
        <f>1-DATA!P$18/DATA!H$18</f>
        <v>0.024193548387096753</v>
      </c>
      <c r="D254" s="4">
        <f>DATA!X$18</f>
        <v>0.072</v>
      </c>
      <c r="E254" s="6">
        <f>C254*D254</f>
        <v>0.001741935483870966</v>
      </c>
      <c r="F254" s="3"/>
      <c r="G254" s="25">
        <f>DATA!AF$18</f>
        <v>16.27</v>
      </c>
      <c r="H254" s="1"/>
      <c r="I254" s="25">
        <f>DATA!AN$18</f>
        <v>93.64</v>
      </c>
      <c r="J254" s="6"/>
      <c r="K254" s="1"/>
    </row>
    <row r="255" spans="1:11" ht="12.75">
      <c r="A255" s="3">
        <f>DATA!I$3</f>
        <v>2003</v>
      </c>
      <c r="B255" s="1"/>
      <c r="C255" s="5">
        <f>1-DATA!Q$18/DATA!I$18</f>
        <v>0.180327868852459</v>
      </c>
      <c r="D255" s="4">
        <f>DATA!Y$18</f>
        <v>0.07</v>
      </c>
      <c r="E255" s="6">
        <f>C255*D255</f>
        <v>0.012622950819672131</v>
      </c>
      <c r="F255" s="3"/>
      <c r="G255" s="25">
        <f>DATA!AG$18</f>
        <v>16.71</v>
      </c>
      <c r="H255" s="1"/>
      <c r="I255" s="25">
        <f>DATA!AO$18</f>
        <v>99.07</v>
      </c>
      <c r="J255" s="6"/>
      <c r="K255" s="1"/>
    </row>
    <row r="256" spans="1:11" ht="12.75">
      <c r="A256" s="3">
        <f>DATA!J$3</f>
        <v>2004</v>
      </c>
      <c r="B256" s="1"/>
      <c r="C256" s="5">
        <f>1-DATA!R$18/DATA!J$18</f>
        <v>0.24242424242424243</v>
      </c>
      <c r="D256" s="4">
        <f>DATA!Z$18</f>
        <v>0.081</v>
      </c>
      <c r="E256" s="16">
        <f>C256*D256</f>
        <v>0.019636363636363636</v>
      </c>
      <c r="F256" s="17"/>
      <c r="G256" s="26">
        <f>DATA!AH$18</f>
        <v>16.24</v>
      </c>
      <c r="H256" s="18"/>
      <c r="I256" s="26">
        <f>DATA!AP$18</f>
        <v>99.87</v>
      </c>
      <c r="J256" s="6"/>
      <c r="K256" s="1"/>
    </row>
    <row r="257" spans="1:11" ht="12.75">
      <c r="A257" s="19" t="s">
        <v>56</v>
      </c>
      <c r="B257" s="1"/>
      <c r="C257" s="5"/>
      <c r="D257" s="4"/>
      <c r="E257" s="6">
        <f>AVERAGE(E252:E256)</f>
        <v>0.002825872331636475</v>
      </c>
      <c r="F257" s="6"/>
      <c r="G257" s="6">
        <f>DATA!AX$18</f>
        <v>0.005</v>
      </c>
      <c r="H257" s="1"/>
      <c r="I257" s="25"/>
      <c r="J257" s="6">
        <f>(I256/I252)^0.25-1</f>
        <v>0.038389938833845116</v>
      </c>
      <c r="K257" s="1"/>
    </row>
    <row r="258" spans="1:11" ht="12.75">
      <c r="A258" s="3">
        <f>DATA!K$3</f>
        <v>2005</v>
      </c>
      <c r="B258" s="1"/>
      <c r="C258" s="5">
        <f>1-DATA!S$18/DATA!K$18</f>
        <v>0.2857142857142857</v>
      </c>
      <c r="D258" s="4">
        <f>DATA!AA$18</f>
        <v>0.085</v>
      </c>
      <c r="E258" s="6">
        <f>C258*D258</f>
        <v>0.024285714285714285</v>
      </c>
      <c r="F258" s="6"/>
      <c r="G258" s="6"/>
      <c r="H258" s="1"/>
      <c r="I258" s="25">
        <f>DATA!AQ$18</f>
        <v>100.5</v>
      </c>
      <c r="J258" s="6">
        <f>(I258/I256)-1</f>
        <v>0.00630820066085902</v>
      </c>
      <c r="K258" s="1"/>
    </row>
    <row r="259" spans="1:11" ht="12.75">
      <c r="A259" s="3">
        <f>DATA!L$3</f>
        <v>2006</v>
      </c>
      <c r="B259" s="3"/>
      <c r="C259" s="5">
        <f>1-DATA!T$18/DATA!L$18</f>
        <v>0.3548387096774194</v>
      </c>
      <c r="D259" s="4">
        <f>DATA!AB$18</f>
        <v>0.085</v>
      </c>
      <c r="E259" s="6">
        <f>C259*D259</f>
        <v>0.03016129032258065</v>
      </c>
      <c r="F259" s="3"/>
      <c r="G259" s="6"/>
      <c r="H259" s="3"/>
      <c r="I259" s="25">
        <f>DATA!AR$18</f>
        <v>105</v>
      </c>
      <c r="J259" s="6">
        <f>(I259/I256)^0.5-1</f>
        <v>0.02536177850057042</v>
      </c>
      <c r="K259" s="3"/>
    </row>
    <row r="260" spans="1:11" ht="12.75">
      <c r="A260" s="3" t="str">
        <f>DATA!M$3</f>
        <v>2008-2010</v>
      </c>
      <c r="B260" s="1"/>
      <c r="C260" s="5">
        <f>1-DATA!U$18/DATA!M$18</f>
        <v>0.36</v>
      </c>
      <c r="D260" s="4">
        <f>DATA!AC$18</f>
        <v>0.095</v>
      </c>
      <c r="E260" s="6">
        <f>C260*D260</f>
        <v>0.0342</v>
      </c>
      <c r="F260" s="6"/>
      <c r="G260" s="6">
        <f>DATA!AY$18</f>
        <v>0.025</v>
      </c>
      <c r="H260" s="1"/>
      <c r="I260" s="25">
        <f>DATA!AS$18</f>
        <v>106.5</v>
      </c>
      <c r="J260" s="6">
        <f>(I260/I256)^0.2-1</f>
        <v>0.01293811135120393</v>
      </c>
      <c r="K260" s="1"/>
    </row>
    <row r="261" spans="1:11" ht="12.75">
      <c r="A261" s="3"/>
      <c r="B261" s="1"/>
      <c r="C261" s="5"/>
      <c r="D261" s="4"/>
      <c r="E261" s="6"/>
      <c r="F261" s="3"/>
      <c r="G261" s="3"/>
      <c r="H261" s="1"/>
      <c r="I261" s="25"/>
      <c r="J261" s="6"/>
      <c r="K261" s="1"/>
    </row>
    <row r="262" spans="1:11" ht="12.75">
      <c r="A262" s="3"/>
      <c r="B262" s="1"/>
      <c r="C262" s="5"/>
      <c r="D262" s="4"/>
      <c r="E262" s="6"/>
      <c r="F262" s="3"/>
      <c r="G262" s="3"/>
      <c r="H262" s="1"/>
      <c r="I262" s="25"/>
      <c r="J262" s="6"/>
      <c r="K262" s="1"/>
    </row>
    <row r="263" spans="1:11" ht="12.75">
      <c r="A263" s="3"/>
      <c r="B263" s="1"/>
      <c r="C263" s="5"/>
      <c r="D263" s="4"/>
      <c r="E263" s="6"/>
      <c r="F263" s="3"/>
      <c r="G263" s="3"/>
      <c r="H263" s="1"/>
      <c r="I263" s="25"/>
      <c r="J263" s="6"/>
      <c r="K263" s="1"/>
    </row>
    <row r="264" spans="1:11" ht="12.75">
      <c r="A264" s="10" t="s">
        <v>13</v>
      </c>
      <c r="B264" s="1"/>
      <c r="C264" s="11"/>
      <c r="D264" s="12" t="s">
        <v>14</v>
      </c>
      <c r="E264" s="13" t="s">
        <v>15</v>
      </c>
      <c r="F264" s="10"/>
      <c r="G264" s="10"/>
      <c r="H264" s="1"/>
      <c r="I264" s="27" t="s">
        <v>145</v>
      </c>
      <c r="J264" s="14" t="s">
        <v>15</v>
      </c>
      <c r="K264" s="1"/>
    </row>
    <row r="265" spans="1:11" ht="12.75">
      <c r="A265" s="3"/>
      <c r="B265" s="1"/>
      <c r="C265" s="5"/>
      <c r="D265" s="4"/>
      <c r="E265" s="6"/>
      <c r="F265" s="3"/>
      <c r="G265" s="3"/>
      <c r="H265" s="1"/>
      <c r="I265" s="25"/>
      <c r="J265" s="6"/>
      <c r="K265" s="1"/>
    </row>
    <row r="266" spans="1:11" ht="12.75">
      <c r="A266" s="3"/>
      <c r="B266" s="1"/>
      <c r="C266" s="5" t="s">
        <v>146</v>
      </c>
      <c r="D266" s="4" t="s">
        <v>123</v>
      </c>
      <c r="E266" s="6"/>
      <c r="F266" s="3"/>
      <c r="G266" s="3" t="s">
        <v>124</v>
      </c>
      <c r="H266" s="1"/>
      <c r="I266" s="25" t="s">
        <v>125</v>
      </c>
      <c r="J266" s="6" t="s">
        <v>126</v>
      </c>
      <c r="K266" s="1"/>
    </row>
    <row r="267" spans="1:11" ht="12.75">
      <c r="A267" s="15" t="str">
        <f>DATA!A$19</f>
        <v>UNS</v>
      </c>
      <c r="B267" s="1"/>
      <c r="C267" s="11" t="s">
        <v>127</v>
      </c>
      <c r="D267" s="12" t="s">
        <v>128</v>
      </c>
      <c r="E267" s="13" t="s">
        <v>154</v>
      </c>
      <c r="F267" s="10"/>
      <c r="G267" s="10" t="s">
        <v>54</v>
      </c>
      <c r="H267" s="1"/>
      <c r="I267" s="28" t="s">
        <v>55</v>
      </c>
      <c r="J267" s="13" t="s">
        <v>15</v>
      </c>
      <c r="K267" s="1"/>
    </row>
    <row r="268" spans="1:11" ht="12.75">
      <c r="A268" s="3">
        <f>DATA!F$3</f>
        <v>2000</v>
      </c>
      <c r="B268" s="1"/>
      <c r="C268" s="5">
        <f>1-DATA!N$19/DATA!F$19</f>
        <v>0.7480314960629921</v>
      </c>
      <c r="D268" s="4">
        <f>DATA!V$19</f>
        <v>0.071</v>
      </c>
      <c r="E268" s="6">
        <f>C268*D268</f>
        <v>0.05311023622047244</v>
      </c>
      <c r="F268" s="3"/>
      <c r="G268" s="25">
        <f>DATA!AD$19</f>
        <v>11.2</v>
      </c>
      <c r="H268" s="1"/>
      <c r="I268" s="25">
        <f>DATA!AL$19</f>
        <v>33.22</v>
      </c>
      <c r="J268" s="6"/>
      <c r="K268" s="1"/>
    </row>
    <row r="269" spans="1:11" ht="12.75">
      <c r="A269" s="3">
        <f>DATA!G$3</f>
        <v>2001</v>
      </c>
      <c r="B269" s="1"/>
      <c r="C269" s="5">
        <f>1-DATA!O$19/DATA!G$19</f>
        <v>0.776536312849162</v>
      </c>
      <c r="D269" s="4">
        <f>DATA!W$19</f>
        <v>0.143</v>
      </c>
      <c r="E269" s="6">
        <f>C269*D269</f>
        <v>0.11104469273743016</v>
      </c>
      <c r="F269" s="3"/>
      <c r="G269" s="25">
        <f>DATA!AE$19</f>
        <v>12.68</v>
      </c>
      <c r="H269" s="1"/>
      <c r="I269" s="25">
        <f>DATA!AM$19</f>
        <v>33.5</v>
      </c>
      <c r="J269" s="6"/>
      <c r="K269" s="1"/>
    </row>
    <row r="270" spans="1:11" ht="12.75">
      <c r="A270" s="3">
        <f>DATA!H$3</f>
        <v>2002</v>
      </c>
      <c r="B270" s="1"/>
      <c r="C270" s="5">
        <f>1-DATA!P$19/DATA!H$19</f>
        <v>0.48453608247422675</v>
      </c>
      <c r="D270" s="4">
        <f>DATA!X$19</f>
        <v>0.076</v>
      </c>
      <c r="E270" s="6">
        <f>C270*D270</f>
        <v>0.03682474226804123</v>
      </c>
      <c r="F270" s="3"/>
      <c r="G270" s="25">
        <f>DATA!AF$19</f>
        <v>13.05</v>
      </c>
      <c r="H270" s="1"/>
      <c r="I270" s="25">
        <f>DATA!AN$19</f>
        <v>33.58</v>
      </c>
      <c r="J270" s="6"/>
      <c r="K270" s="1"/>
    </row>
    <row r="271" spans="1:11" ht="12.75">
      <c r="A271" s="3">
        <f>DATA!I$3</f>
        <v>2003</v>
      </c>
      <c r="B271" s="1"/>
      <c r="C271" s="5">
        <f>1-DATA!Q$19/DATA!I$19</f>
        <v>0.5384615384615385</v>
      </c>
      <c r="D271" s="4">
        <f>DATA!Y$19</f>
        <v>0.084</v>
      </c>
      <c r="E271" s="6">
        <f>C271*D271</f>
        <v>0.04523076923076924</v>
      </c>
      <c r="F271" s="3"/>
      <c r="G271" s="25">
        <f>DATA!AG$19</f>
        <v>15.97</v>
      </c>
      <c r="H271" s="1"/>
      <c r="I271" s="25">
        <f>DATA!AO$19</f>
        <v>33.79</v>
      </c>
      <c r="J271" s="6"/>
      <c r="K271" s="1"/>
    </row>
    <row r="272" spans="1:11" ht="12.75">
      <c r="A272" s="3">
        <f>DATA!J$3</f>
        <v>2004</v>
      </c>
      <c r="B272" s="1"/>
      <c r="C272" s="5">
        <f>1-DATA!R$19/DATA!J$19</f>
        <v>0.5114503816793894</v>
      </c>
      <c r="D272" s="4">
        <f>DATA!Z$19</f>
        <v>0.079</v>
      </c>
      <c r="E272" s="16">
        <f>C272*D272</f>
        <v>0.04040458015267176</v>
      </c>
      <c r="F272" s="17"/>
      <c r="G272" s="26">
        <f>DATA!AH$19</f>
        <v>16.95</v>
      </c>
      <c r="H272" s="18"/>
      <c r="I272" s="26">
        <f>DATA!AP$19</f>
        <v>34.26</v>
      </c>
      <c r="J272" s="6"/>
      <c r="K272" s="1"/>
    </row>
    <row r="273" spans="1:11" ht="12.75">
      <c r="A273" s="19" t="s">
        <v>56</v>
      </c>
      <c r="B273" s="1"/>
      <c r="C273" s="5"/>
      <c r="D273" s="4"/>
      <c r="E273" s="6">
        <f>AVERAGE(E268:E272)</f>
        <v>0.057323004121876964</v>
      </c>
      <c r="F273" s="6"/>
      <c r="G273" s="6">
        <f>DATA!AX$19</f>
        <v>0.135</v>
      </c>
      <c r="H273" s="1"/>
      <c r="I273" s="25"/>
      <c r="J273" s="6">
        <f>(I272/I268)^0.25-1</f>
        <v>0.0077363694295107255</v>
      </c>
      <c r="K273" s="1"/>
    </row>
    <row r="274" spans="1:12" ht="12.75">
      <c r="A274" s="3">
        <f>DATA!K$3</f>
        <v>2005</v>
      </c>
      <c r="B274" s="1"/>
      <c r="C274" s="5">
        <f>1-DATA!S$19/DATA!K$19</f>
        <v>0.525</v>
      </c>
      <c r="D274" s="4">
        <f>DATA!AA$19</f>
        <v>0.09</v>
      </c>
      <c r="E274" s="6">
        <f>C274*D274</f>
        <v>0.04725</v>
      </c>
      <c r="F274" s="6"/>
      <c r="G274" s="6"/>
      <c r="H274" s="1"/>
      <c r="I274" s="25">
        <f>DATA!AQ$19</f>
        <v>34.7</v>
      </c>
      <c r="J274" s="6">
        <f>(I274/I272)-1</f>
        <v>0.012842965557501529</v>
      </c>
      <c r="K274" s="1"/>
      <c r="L274">
        <f>(I276/I274)^0.25</f>
        <v>1.0113332537629112</v>
      </c>
    </row>
    <row r="275" spans="1:11" ht="12.75">
      <c r="A275" s="3">
        <f>DATA!L$3</f>
        <v>2006</v>
      </c>
      <c r="B275" s="3"/>
      <c r="C275" s="5">
        <f>1-DATA!T$19/DATA!L$19</f>
        <v>0.5176470588235293</v>
      </c>
      <c r="D275" s="4">
        <f>DATA!AB$19</f>
        <v>0.09</v>
      </c>
      <c r="E275" s="6">
        <f>C275*D275</f>
        <v>0.04658823529411764</v>
      </c>
      <c r="F275" s="3"/>
      <c r="G275" s="6"/>
      <c r="H275" s="3"/>
      <c r="I275" s="25">
        <f>DATA!AR$19</f>
        <v>35.1</v>
      </c>
      <c r="J275" s="6">
        <f>(I275/I272)^0.5-1</f>
        <v>0.012184957797533036</v>
      </c>
      <c r="K275" s="3"/>
    </row>
    <row r="276" spans="1:11" ht="12.75">
      <c r="A276" s="3" t="str">
        <f>DATA!M$3</f>
        <v>2008-2010</v>
      </c>
      <c r="B276" s="1"/>
      <c r="C276" s="5">
        <f>1-DATA!U$19/DATA!M$19</f>
        <v>0.4736842105263158</v>
      </c>
      <c r="D276" s="4">
        <f>DATA!AC$19</f>
        <v>0.085</v>
      </c>
      <c r="E276" s="6">
        <f>C276*D276</f>
        <v>0.04026315789473685</v>
      </c>
      <c r="F276" s="6"/>
      <c r="G276" s="6">
        <f>DATA!AY$19</f>
        <v>0.06</v>
      </c>
      <c r="H276" s="1"/>
      <c r="I276" s="25">
        <f>DATA!AS$19</f>
        <v>36.3</v>
      </c>
      <c r="J276" s="6">
        <f>(I276/I272)^0.2-1</f>
        <v>0.011635015988100017</v>
      </c>
      <c r="K276" s="1"/>
    </row>
    <row r="277" spans="1:11" ht="12.75">
      <c r="A277" s="19" t="s">
        <v>191</v>
      </c>
      <c r="B277" s="1"/>
      <c r="C277" s="5"/>
      <c r="D277" s="4"/>
      <c r="E277" s="6"/>
      <c r="F277" s="3"/>
      <c r="G277" s="3"/>
      <c r="H277" s="1"/>
      <c r="I277" s="25"/>
      <c r="J277" s="6"/>
      <c r="K277" s="1"/>
    </row>
    <row r="278" spans="1:11" ht="12.75">
      <c r="A278" s="3"/>
      <c r="B278" s="1"/>
      <c r="C278" s="5"/>
      <c r="D278" s="4"/>
      <c r="E278" s="6"/>
      <c r="F278" s="3"/>
      <c r="G278" s="3"/>
      <c r="H278" s="1"/>
      <c r="I278" s="25"/>
      <c r="J278" s="6" t="s">
        <v>131</v>
      </c>
      <c r="K278" s="1"/>
    </row>
    <row r="279" spans="1:11" ht="12.75">
      <c r="A279" s="3"/>
      <c r="B279" s="1"/>
      <c r="C279" s="5"/>
      <c r="D279" s="4"/>
      <c r="E279" s="6"/>
      <c r="F279" s="3"/>
      <c r="G279" s="3"/>
      <c r="H279" s="1"/>
      <c r="I279" s="25"/>
      <c r="J279" s="6" t="s">
        <v>18</v>
      </c>
      <c r="K279" s="1"/>
    </row>
    <row r="280" spans="1:11" ht="12.75">
      <c r="A280" s="3"/>
      <c r="B280" s="1"/>
      <c r="C280" s="5"/>
      <c r="D280" s="4"/>
      <c r="E280" s="6"/>
      <c r="F280" s="3"/>
      <c r="G280" s="3"/>
      <c r="H280" s="1"/>
      <c r="I280" s="25"/>
      <c r="J280" s="6"/>
      <c r="K280" s="1"/>
    </row>
    <row r="281" spans="1:11" ht="12.75">
      <c r="A281" s="3"/>
      <c r="B281" s="1"/>
      <c r="C281" s="5"/>
      <c r="D281" s="4"/>
      <c r="E281" s="6"/>
      <c r="F281" s="3"/>
      <c r="G281" s="3"/>
      <c r="H281" s="1"/>
      <c r="I281" s="25"/>
      <c r="J281" s="6"/>
      <c r="K281" s="1"/>
    </row>
    <row r="282" spans="1:11" ht="12.75">
      <c r="A282" s="3"/>
      <c r="B282" s="1"/>
      <c r="C282" s="5"/>
      <c r="D282" s="4"/>
      <c r="E282" s="8"/>
      <c r="F282" s="9" t="str">
        <f>F$6</f>
        <v>AVISTA UTILITIES</v>
      </c>
      <c r="G282" s="1"/>
      <c r="H282" s="1"/>
      <c r="I282" s="25"/>
      <c r="J282" s="6"/>
      <c r="K282" s="1"/>
    </row>
    <row r="283" spans="1:11" ht="12.75">
      <c r="A283" s="3"/>
      <c r="B283" s="1"/>
      <c r="C283" s="5"/>
      <c r="D283" s="4"/>
      <c r="E283" s="8"/>
      <c r="F283" s="9" t="s">
        <v>12</v>
      </c>
      <c r="G283" s="1"/>
      <c r="H283" s="1"/>
      <c r="I283" s="25"/>
      <c r="J283" s="6"/>
      <c r="K283" s="1"/>
    </row>
    <row r="284" spans="1:11" ht="12.75">
      <c r="A284" s="3"/>
      <c r="B284" s="1"/>
      <c r="C284" s="5"/>
      <c r="D284" s="4"/>
      <c r="E284" s="6"/>
      <c r="F284" s="3"/>
      <c r="G284" s="3"/>
      <c r="H284" s="1"/>
      <c r="I284" s="25"/>
      <c r="J284" s="6"/>
      <c r="K284" s="1"/>
    </row>
    <row r="285" spans="1:11" ht="12.75">
      <c r="A285" s="3"/>
      <c r="B285" s="1"/>
      <c r="C285" s="5"/>
      <c r="D285" s="4"/>
      <c r="E285" s="6"/>
      <c r="F285" s="3"/>
      <c r="G285" s="3"/>
      <c r="H285" s="1"/>
      <c r="I285" s="25"/>
      <c r="J285" s="6"/>
      <c r="K285" s="1"/>
    </row>
    <row r="286" spans="1:11" ht="12.75">
      <c r="A286" s="3"/>
      <c r="B286" s="1"/>
      <c r="C286" s="5"/>
      <c r="D286" s="4"/>
      <c r="E286" s="6"/>
      <c r="F286" s="3"/>
      <c r="G286" s="3"/>
      <c r="H286" s="1"/>
      <c r="I286" s="25"/>
      <c r="J286" s="6"/>
      <c r="K286" s="1"/>
    </row>
    <row r="287" spans="1:11" ht="12.75">
      <c r="A287" s="10" t="s">
        <v>13</v>
      </c>
      <c r="B287" s="1"/>
      <c r="C287" s="11"/>
      <c r="D287" s="12" t="s">
        <v>14</v>
      </c>
      <c r="E287" s="13" t="s">
        <v>15</v>
      </c>
      <c r="F287" s="10"/>
      <c r="G287" s="10"/>
      <c r="H287" s="1"/>
      <c r="I287" s="27" t="s">
        <v>145</v>
      </c>
      <c r="J287" s="14" t="s">
        <v>15</v>
      </c>
      <c r="K287" s="1"/>
    </row>
    <row r="288" spans="1:11" ht="12.75">
      <c r="A288" s="3"/>
      <c r="B288" s="1"/>
      <c r="C288" s="5"/>
      <c r="D288" s="4"/>
      <c r="E288" s="6"/>
      <c r="F288" s="3"/>
      <c r="G288" s="3"/>
      <c r="H288" s="1"/>
      <c r="I288" s="25"/>
      <c r="J288" s="6"/>
      <c r="K288" s="1"/>
    </row>
    <row r="289" spans="1:11" ht="12.75">
      <c r="A289" s="3"/>
      <c r="B289" s="1"/>
      <c r="C289" s="5" t="s">
        <v>146</v>
      </c>
      <c r="D289" s="4" t="s">
        <v>123</v>
      </c>
      <c r="E289" s="6"/>
      <c r="F289" s="3"/>
      <c r="G289" s="3" t="s">
        <v>124</v>
      </c>
      <c r="H289" s="1"/>
      <c r="I289" s="25" t="s">
        <v>125</v>
      </c>
      <c r="J289" s="6" t="s">
        <v>126</v>
      </c>
      <c r="K289" s="1"/>
    </row>
    <row r="290" spans="1:11" ht="12.75">
      <c r="A290" s="15">
        <f>DATA!A$20</f>
        <v>0</v>
      </c>
      <c r="B290" s="1"/>
      <c r="C290" s="11" t="s">
        <v>127</v>
      </c>
      <c r="D290" s="12" t="s">
        <v>128</v>
      </c>
      <c r="E290" s="13" t="s">
        <v>154</v>
      </c>
      <c r="F290" s="10"/>
      <c r="G290" s="10" t="s">
        <v>54</v>
      </c>
      <c r="H290" s="1"/>
      <c r="I290" s="28" t="s">
        <v>55</v>
      </c>
      <c r="J290" s="13" t="s">
        <v>15</v>
      </c>
      <c r="K290" s="1"/>
    </row>
    <row r="291" spans="1:11" ht="12.75">
      <c r="A291" s="3">
        <v>1996</v>
      </c>
      <c r="B291" s="1"/>
      <c r="C291" s="5" t="e">
        <f>1-DATA!N$20/DATA!F$20</f>
        <v>#DIV/0!</v>
      </c>
      <c r="D291" s="4">
        <f>DATA!V$20</f>
        <v>0</v>
      </c>
      <c r="E291" s="6" t="e">
        <f>C291*D291</f>
        <v>#DIV/0!</v>
      </c>
      <c r="F291" s="3"/>
      <c r="G291" s="3">
        <f>DATA!AD$20</f>
        <v>0</v>
      </c>
      <c r="H291" s="1"/>
      <c r="I291" s="25">
        <f>DATA!AL$20</f>
        <v>0</v>
      </c>
      <c r="J291" s="6"/>
      <c r="K291" s="1"/>
    </row>
    <row r="292" spans="1:11" ht="12.75">
      <c r="A292" s="3">
        <v>1997</v>
      </c>
      <c r="B292" s="1"/>
      <c r="C292" s="5" t="e">
        <f>1-DATA!O$20/DATA!G$20</f>
        <v>#DIV/0!</v>
      </c>
      <c r="D292" s="4">
        <f>DATA!W$20</f>
        <v>0</v>
      </c>
      <c r="E292" s="6" t="e">
        <f>C292*D292</f>
        <v>#DIV/0!</v>
      </c>
      <c r="F292" s="3"/>
      <c r="G292" s="3">
        <f>DATA!AE$20</f>
        <v>0</v>
      </c>
      <c r="H292" s="1"/>
      <c r="I292" s="25">
        <f>DATA!AM$20</f>
        <v>0</v>
      </c>
      <c r="J292" s="6"/>
      <c r="K292" s="1"/>
    </row>
    <row r="293" spans="1:11" ht="12.75">
      <c r="A293" s="3">
        <v>1998</v>
      </c>
      <c r="B293" s="1"/>
      <c r="C293" s="5" t="e">
        <f>1-DATA!P$20/DATA!H$20</f>
        <v>#DIV/0!</v>
      </c>
      <c r="D293" s="4">
        <f>DATA!X$20</f>
        <v>0</v>
      </c>
      <c r="E293" s="6" t="e">
        <f>C293*D293</f>
        <v>#DIV/0!</v>
      </c>
      <c r="F293" s="3"/>
      <c r="G293" s="3">
        <f>DATA!AF$20</f>
        <v>0</v>
      </c>
      <c r="H293" s="1"/>
      <c r="I293" s="25">
        <f>DATA!AN$20</f>
        <v>0</v>
      </c>
      <c r="J293" s="6"/>
      <c r="K293" s="1"/>
    </row>
    <row r="294" spans="1:11" ht="12.75">
      <c r="A294" s="3">
        <v>1999</v>
      </c>
      <c r="B294" s="1"/>
      <c r="C294" s="5" t="e">
        <f>1-DATA!Q$20/DATA!I$20</f>
        <v>#DIV/0!</v>
      </c>
      <c r="D294" s="4">
        <f>DATA!Y$20</f>
        <v>0</v>
      </c>
      <c r="E294" s="6" t="e">
        <f>C294*D294</f>
        <v>#DIV/0!</v>
      </c>
      <c r="F294" s="3"/>
      <c r="G294" s="3">
        <f>DATA!AG$20</f>
        <v>0</v>
      </c>
      <c r="H294" s="1"/>
      <c r="I294" s="25">
        <f>DATA!AO$20</f>
        <v>0</v>
      </c>
      <c r="J294" s="6"/>
      <c r="K294" s="1"/>
    </row>
    <row r="295" spans="1:11" ht="12.75">
      <c r="A295" s="3">
        <v>2000</v>
      </c>
      <c r="B295" s="1"/>
      <c r="C295" s="5" t="e">
        <f>1-DATA!R$20/DATA!J$20</f>
        <v>#DIV/0!</v>
      </c>
      <c r="D295" s="4">
        <f>DATA!Z$20</f>
        <v>0</v>
      </c>
      <c r="E295" s="16" t="e">
        <f>C295*D295</f>
        <v>#DIV/0!</v>
      </c>
      <c r="F295" s="17"/>
      <c r="G295" s="17">
        <f>DATA!AH$20</f>
        <v>0</v>
      </c>
      <c r="H295" s="18"/>
      <c r="I295" s="26">
        <f>DATA!AP$20</f>
        <v>0</v>
      </c>
      <c r="J295" s="6"/>
      <c r="K295" s="1"/>
    </row>
    <row r="296" spans="1:11" ht="12.75">
      <c r="A296" s="19" t="s">
        <v>56</v>
      </c>
      <c r="B296" s="1"/>
      <c r="C296" s="5"/>
      <c r="D296" s="4"/>
      <c r="E296" s="6" t="e">
        <f>AVERAGE(E291:E295)</f>
        <v>#DIV/0!</v>
      </c>
      <c r="F296" s="6"/>
      <c r="G296" s="6">
        <f>DATA!AX$20</f>
        <v>0</v>
      </c>
      <c r="H296" s="1"/>
      <c r="I296" s="25"/>
      <c r="J296" s="6" t="e">
        <f>(I295/I291)^0.25-1</f>
        <v>#DIV/0!</v>
      </c>
      <c r="K296" s="1"/>
    </row>
    <row r="297" spans="1:11" ht="12.75">
      <c r="A297" s="3">
        <v>2001</v>
      </c>
      <c r="B297" s="1"/>
      <c r="C297" s="5" t="e">
        <f>1-DATA!S$20/DATA!K$20</f>
        <v>#DIV/0!</v>
      </c>
      <c r="D297" s="4">
        <f>DATA!AA$20</f>
        <v>0</v>
      </c>
      <c r="E297" s="6" t="e">
        <f>C297*D297</f>
        <v>#DIV/0!</v>
      </c>
      <c r="F297" s="6"/>
      <c r="G297" s="6"/>
      <c r="H297" s="1"/>
      <c r="I297" s="25">
        <f>DATA!AQ$20</f>
        <v>0</v>
      </c>
      <c r="J297" s="6" t="e">
        <f>(I297/I295)-1</f>
        <v>#DIV/0!</v>
      </c>
      <c r="K297" s="1"/>
    </row>
    <row r="298" spans="1:11" ht="12.75">
      <c r="A298" s="3">
        <v>2002</v>
      </c>
      <c r="B298" s="3"/>
      <c r="C298" s="5" t="e">
        <f>1-DATA!T$20/DATA!L$20</f>
        <v>#DIV/0!</v>
      </c>
      <c r="D298" s="4">
        <f>DATA!AB$20</f>
        <v>0</v>
      </c>
      <c r="E298" s="6" t="e">
        <f>C298*D298</f>
        <v>#DIV/0!</v>
      </c>
      <c r="F298" s="3"/>
      <c r="G298" s="6"/>
      <c r="H298" s="3"/>
      <c r="I298" s="25">
        <f>DATA!AR$20</f>
        <v>0</v>
      </c>
      <c r="J298" s="6" t="e">
        <f>(I298/I295)^0.5-1</f>
        <v>#DIV/0!</v>
      </c>
      <c r="K298" s="3"/>
    </row>
    <row r="299" spans="1:11" ht="12.75">
      <c r="A299" s="3" t="s">
        <v>167</v>
      </c>
      <c r="B299" s="1"/>
      <c r="C299" s="5" t="e">
        <f>1-DATA!U$20/DATA!M$20</f>
        <v>#DIV/0!</v>
      </c>
      <c r="D299" s="4">
        <f>DATA!AC$20</f>
        <v>0</v>
      </c>
      <c r="E299" s="6" t="e">
        <f>C299*D299</f>
        <v>#DIV/0!</v>
      </c>
      <c r="F299" s="6"/>
      <c r="G299" s="6">
        <f>DATA!AY$20</f>
        <v>0</v>
      </c>
      <c r="H299" s="1"/>
      <c r="I299" s="25">
        <f>DATA!AS$20</f>
        <v>0</v>
      </c>
      <c r="J299" s="6" t="e">
        <f>(I299/I295)^0.2-1</f>
        <v>#DIV/0!</v>
      </c>
      <c r="K299" s="1"/>
    </row>
    <row r="300" spans="1:11" ht="12.75">
      <c r="A300" s="3"/>
      <c r="B300" s="1"/>
      <c r="C300" s="5"/>
      <c r="D300" s="4"/>
      <c r="E300" s="6"/>
      <c r="F300" s="3"/>
      <c r="G300" s="3"/>
      <c r="H300" s="1"/>
      <c r="I300" s="25"/>
      <c r="J300" s="6"/>
      <c r="K300" s="1"/>
    </row>
    <row r="301" spans="2:11" ht="12.75">
      <c r="B301" s="1"/>
      <c r="C301" s="5"/>
      <c r="D301" s="4"/>
      <c r="E301" s="6"/>
      <c r="F301" s="3"/>
      <c r="G301" s="3"/>
      <c r="H301" s="1"/>
      <c r="I301" s="25"/>
      <c r="J301" s="6"/>
      <c r="K301" s="1"/>
    </row>
    <row r="302" spans="1:11" ht="12.75">
      <c r="A302" s="3"/>
      <c r="B302" s="1"/>
      <c r="C302" s="5"/>
      <c r="D302" s="4"/>
      <c r="E302" s="6"/>
      <c r="F302" s="3"/>
      <c r="G302" s="3"/>
      <c r="H302" s="1"/>
      <c r="I302" s="25"/>
      <c r="J302" s="6"/>
      <c r="K302" s="1"/>
    </row>
    <row r="303" spans="1:11" ht="12.75">
      <c r="A303" s="10" t="s">
        <v>13</v>
      </c>
      <c r="B303" s="1"/>
      <c r="C303" s="11"/>
      <c r="D303" s="12" t="s">
        <v>14</v>
      </c>
      <c r="E303" s="13" t="s">
        <v>15</v>
      </c>
      <c r="F303" s="10"/>
      <c r="G303" s="10"/>
      <c r="H303" s="1"/>
      <c r="I303" s="27" t="s">
        <v>145</v>
      </c>
      <c r="J303" s="14" t="s">
        <v>15</v>
      </c>
      <c r="K303" s="1"/>
    </row>
    <row r="304" spans="1:11" ht="12.75">
      <c r="A304" s="3"/>
      <c r="B304" s="1"/>
      <c r="C304" s="5"/>
      <c r="D304" s="4"/>
      <c r="E304" s="6"/>
      <c r="F304" s="3"/>
      <c r="G304" s="3"/>
      <c r="H304" s="1"/>
      <c r="I304" s="25"/>
      <c r="J304" s="6"/>
      <c r="K304" s="1"/>
    </row>
    <row r="305" spans="1:11" ht="12.75">
      <c r="A305" s="3"/>
      <c r="B305" s="1"/>
      <c r="C305" s="5" t="s">
        <v>146</v>
      </c>
      <c r="D305" s="4" t="s">
        <v>123</v>
      </c>
      <c r="E305" s="6"/>
      <c r="F305" s="3"/>
      <c r="G305" s="3" t="s">
        <v>124</v>
      </c>
      <c r="H305" s="1"/>
      <c r="I305" s="25" t="s">
        <v>125</v>
      </c>
      <c r="J305" s="6" t="s">
        <v>126</v>
      </c>
      <c r="K305" s="1"/>
    </row>
    <row r="306" spans="1:11" ht="12.75">
      <c r="A306" s="15">
        <f>DATA!A$21</f>
        <v>0</v>
      </c>
      <c r="B306" s="1"/>
      <c r="C306" s="11" t="s">
        <v>127</v>
      </c>
      <c r="D306" s="12" t="s">
        <v>128</v>
      </c>
      <c r="E306" s="13" t="s">
        <v>154</v>
      </c>
      <c r="F306" s="10"/>
      <c r="G306" s="10" t="s">
        <v>54</v>
      </c>
      <c r="H306" s="1"/>
      <c r="I306" s="28" t="s">
        <v>55</v>
      </c>
      <c r="J306" s="13" t="s">
        <v>15</v>
      </c>
      <c r="K306" s="1"/>
    </row>
    <row r="307" spans="1:11" ht="12.75">
      <c r="A307" s="3">
        <v>1996</v>
      </c>
      <c r="B307" s="1"/>
      <c r="C307" s="5" t="e">
        <f>1-DATA!N$21/DATA!F$21</f>
        <v>#DIV/0!</v>
      </c>
      <c r="D307" s="4">
        <f>DATA!V$21</f>
        <v>0</v>
      </c>
      <c r="E307" s="6" t="e">
        <f>C307*D307</f>
        <v>#DIV/0!</v>
      </c>
      <c r="F307" s="3"/>
      <c r="G307" s="25">
        <f>DATA!AD$21</f>
        <v>0</v>
      </c>
      <c r="H307" s="1"/>
      <c r="I307" s="25">
        <f>DATA!AL$21</f>
        <v>0</v>
      </c>
      <c r="J307" s="6"/>
      <c r="K307" s="1"/>
    </row>
    <row r="308" spans="1:11" ht="12.75">
      <c r="A308" s="3">
        <v>1997</v>
      </c>
      <c r="B308" s="1"/>
      <c r="C308" s="5" t="e">
        <f>1-DATA!O$21/DATA!G$21</f>
        <v>#DIV/0!</v>
      </c>
      <c r="D308" s="4">
        <f>DATA!W$21</f>
        <v>0</v>
      </c>
      <c r="E308" s="6" t="e">
        <f>C308*D308</f>
        <v>#DIV/0!</v>
      </c>
      <c r="F308" s="3"/>
      <c r="G308" s="25">
        <f>DATA!AE$21</f>
        <v>0</v>
      </c>
      <c r="H308" s="1"/>
      <c r="I308" s="25">
        <f>DATA!AM$21</f>
        <v>0</v>
      </c>
      <c r="J308" s="6"/>
      <c r="K308" s="1"/>
    </row>
    <row r="309" spans="1:11" ht="12.75">
      <c r="A309" s="3">
        <v>1998</v>
      </c>
      <c r="B309" s="1"/>
      <c r="C309" s="5" t="e">
        <f>1-DATA!P$21/DATA!H$21</f>
        <v>#DIV/0!</v>
      </c>
      <c r="D309" s="4">
        <f>DATA!X$21</f>
        <v>0</v>
      </c>
      <c r="E309" s="6" t="e">
        <f>C309*D309</f>
        <v>#DIV/0!</v>
      </c>
      <c r="F309" s="3"/>
      <c r="G309" s="25">
        <f>DATA!AF$21</f>
        <v>0</v>
      </c>
      <c r="H309" s="1"/>
      <c r="I309" s="25">
        <f>DATA!AN$21</f>
        <v>0</v>
      </c>
      <c r="J309" s="6"/>
      <c r="K309" s="1"/>
    </row>
    <row r="310" spans="1:11" ht="12.75">
      <c r="A310" s="3">
        <v>1999</v>
      </c>
      <c r="B310" s="1"/>
      <c r="C310" s="5" t="e">
        <f>1-DATA!Q$21/DATA!I$21</f>
        <v>#DIV/0!</v>
      </c>
      <c r="D310" s="4">
        <f>DATA!Y$21</f>
        <v>0</v>
      </c>
      <c r="E310" s="6" t="e">
        <f>C310*D310</f>
        <v>#DIV/0!</v>
      </c>
      <c r="F310" s="3"/>
      <c r="G310" s="25">
        <f>DATA!AG$21</f>
        <v>0</v>
      </c>
      <c r="H310" s="1"/>
      <c r="I310" s="25">
        <f>DATA!AO$21</f>
        <v>0</v>
      </c>
      <c r="J310" s="6"/>
      <c r="K310" s="1"/>
    </row>
    <row r="311" spans="1:11" ht="12.75">
      <c r="A311" s="3">
        <v>2000</v>
      </c>
      <c r="B311" s="1"/>
      <c r="C311" s="5" t="e">
        <f>1-DATA!R$21/DATA!J$21</f>
        <v>#DIV/0!</v>
      </c>
      <c r="D311" s="4">
        <f>DATA!Z$21</f>
        <v>0</v>
      </c>
      <c r="E311" s="16" t="e">
        <f>C311*D311</f>
        <v>#DIV/0!</v>
      </c>
      <c r="F311" s="17"/>
      <c r="G311" s="26">
        <f>DATA!AH$21</f>
        <v>0</v>
      </c>
      <c r="H311" s="18"/>
      <c r="I311" s="26">
        <f>DATA!AP$21</f>
        <v>0</v>
      </c>
      <c r="J311" s="6"/>
      <c r="K311" s="1"/>
    </row>
    <row r="312" spans="1:11" ht="12.75">
      <c r="A312" s="19" t="s">
        <v>56</v>
      </c>
      <c r="B312" s="1"/>
      <c r="C312" s="5"/>
      <c r="D312" s="4"/>
      <c r="E312" s="6" t="e">
        <f>AVERAGE(E307:E311)</f>
        <v>#DIV/0!</v>
      </c>
      <c r="F312" s="6"/>
      <c r="G312" s="6">
        <f>DATA!AX$21</f>
        <v>0</v>
      </c>
      <c r="H312" s="1"/>
      <c r="I312" s="25"/>
      <c r="J312" s="6" t="e">
        <f>(I311/I307)^0.25-1</f>
        <v>#DIV/0!</v>
      </c>
      <c r="K312" s="1"/>
    </row>
    <row r="313" spans="1:11" ht="12.75">
      <c r="A313" s="3">
        <v>2001</v>
      </c>
      <c r="B313" s="1"/>
      <c r="C313" s="5" t="e">
        <f>1-DATA!S$21/DATA!K$21</f>
        <v>#DIV/0!</v>
      </c>
      <c r="D313" s="4">
        <f>DATA!AA$21</f>
        <v>0</v>
      </c>
      <c r="E313" s="6" t="e">
        <f>C313*D313</f>
        <v>#DIV/0!</v>
      </c>
      <c r="F313" s="6"/>
      <c r="G313" s="6"/>
      <c r="H313" s="1"/>
      <c r="I313" s="25">
        <f>DATA!AQ$21</f>
        <v>0</v>
      </c>
      <c r="J313" s="6" t="e">
        <f>(I313/I311)-1</f>
        <v>#DIV/0!</v>
      </c>
      <c r="K313" s="1"/>
    </row>
    <row r="314" spans="1:11" ht="12.75">
      <c r="A314" s="3">
        <v>2002</v>
      </c>
      <c r="B314" s="3"/>
      <c r="C314" s="5" t="e">
        <f>1-DATA!T$21/DATA!L$21</f>
        <v>#DIV/0!</v>
      </c>
      <c r="D314" s="4">
        <f>DATA!AB$21</f>
        <v>0</v>
      </c>
      <c r="E314" s="6" t="e">
        <f>C314*D314</f>
        <v>#DIV/0!</v>
      </c>
      <c r="F314" s="3"/>
      <c r="G314" s="6"/>
      <c r="H314" s="3"/>
      <c r="I314" s="25">
        <f>DATA!AR$21</f>
        <v>0</v>
      </c>
      <c r="J314" s="6" t="e">
        <f>(I314/I311)^0.5-1</f>
        <v>#DIV/0!</v>
      </c>
      <c r="K314" s="3"/>
    </row>
    <row r="315" spans="1:11" ht="12.75">
      <c r="A315" s="3" t="s">
        <v>167</v>
      </c>
      <c r="B315" s="1"/>
      <c r="C315" s="5" t="e">
        <f>1-DATA!U$21/DATA!M$21</f>
        <v>#DIV/0!</v>
      </c>
      <c r="D315" s="4">
        <f>DATA!AC$21</f>
        <v>0</v>
      </c>
      <c r="E315" s="6" t="e">
        <f>C315*D315</f>
        <v>#DIV/0!</v>
      </c>
      <c r="F315" s="6"/>
      <c r="G315" s="6">
        <f>DATA!AY$21</f>
        <v>0</v>
      </c>
      <c r="H315" s="1"/>
      <c r="I315" s="25">
        <f>DATA!AS$21</f>
        <v>0</v>
      </c>
      <c r="J315" s="6" t="e">
        <f>(I315/I311)^0.2-1</f>
        <v>#DIV/0!</v>
      </c>
      <c r="K315" s="1"/>
    </row>
    <row r="316" spans="1:11" ht="12.75">
      <c r="A316" s="3"/>
      <c r="B316" s="1"/>
      <c r="C316" s="5"/>
      <c r="D316" s="4"/>
      <c r="E316" s="6"/>
      <c r="F316" s="3"/>
      <c r="G316" s="3"/>
      <c r="H316" s="1"/>
      <c r="I316" s="25"/>
      <c r="J316" s="6"/>
      <c r="K316" s="1"/>
    </row>
    <row r="317" spans="1:11" ht="12.75">
      <c r="A317" s="19" t="s">
        <v>166</v>
      </c>
      <c r="B317" s="1"/>
      <c r="C317" s="5"/>
      <c r="D317" s="4"/>
      <c r="E317" s="6"/>
      <c r="F317" s="3"/>
      <c r="G317" s="3"/>
      <c r="H317" s="1"/>
      <c r="I317" s="25"/>
      <c r="J317" s="6"/>
      <c r="K317" s="1"/>
    </row>
    <row r="318" spans="1:11" ht="12.75">
      <c r="A318" s="3"/>
      <c r="B318" s="1"/>
      <c r="C318" s="5"/>
      <c r="D318" s="4"/>
      <c r="E318" s="6"/>
      <c r="F318" s="3"/>
      <c r="G318" s="3"/>
      <c r="H318" s="1"/>
      <c r="I318" s="25"/>
      <c r="J318" s="6"/>
      <c r="K318" s="1"/>
    </row>
    <row r="319" spans="1:11" ht="12.75">
      <c r="A319" s="10" t="s">
        <v>13</v>
      </c>
      <c r="B319" s="1"/>
      <c r="C319" s="11"/>
      <c r="D319" s="12" t="s">
        <v>14</v>
      </c>
      <c r="E319" s="13" t="s">
        <v>15</v>
      </c>
      <c r="F319" s="10"/>
      <c r="G319" s="10"/>
      <c r="H319" s="1"/>
      <c r="I319" s="27" t="s">
        <v>145</v>
      </c>
      <c r="J319" s="14" t="s">
        <v>15</v>
      </c>
      <c r="K319" s="1"/>
    </row>
    <row r="320" spans="1:11" ht="12.75">
      <c r="A320" s="3"/>
      <c r="B320" s="1"/>
      <c r="C320" s="5"/>
      <c r="D320" s="4"/>
      <c r="E320" s="6"/>
      <c r="F320" s="3"/>
      <c r="G320" s="3"/>
      <c r="H320" s="1"/>
      <c r="I320" s="25"/>
      <c r="J320" s="6"/>
      <c r="K320" s="1"/>
    </row>
    <row r="321" spans="1:11" ht="12.75">
      <c r="A321" s="3"/>
      <c r="B321" s="1"/>
      <c r="C321" s="5" t="s">
        <v>146</v>
      </c>
      <c r="D321" s="4" t="s">
        <v>123</v>
      </c>
      <c r="E321" s="6"/>
      <c r="F321" s="3"/>
      <c r="G321" s="3" t="s">
        <v>124</v>
      </c>
      <c r="H321" s="1"/>
      <c r="I321" s="25" t="s">
        <v>125</v>
      </c>
      <c r="J321" s="6" t="s">
        <v>126</v>
      </c>
      <c r="K321" s="1"/>
    </row>
    <row r="322" spans="1:11" ht="12.75">
      <c r="A322" s="15">
        <f>DATA!A$22</f>
        <v>0</v>
      </c>
      <c r="B322" s="1"/>
      <c r="C322" s="11" t="s">
        <v>127</v>
      </c>
      <c r="D322" s="12" t="s">
        <v>128</v>
      </c>
      <c r="E322" s="13" t="s">
        <v>154</v>
      </c>
      <c r="F322" s="10"/>
      <c r="G322" s="10" t="s">
        <v>54</v>
      </c>
      <c r="H322" s="1"/>
      <c r="I322" s="28" t="s">
        <v>55</v>
      </c>
      <c r="J322" s="13" t="s">
        <v>15</v>
      </c>
      <c r="K322" s="1"/>
    </row>
    <row r="323" spans="1:11" ht="12.75">
      <c r="A323" s="3">
        <f>DATA!F$3</f>
        <v>2000</v>
      </c>
      <c r="B323" s="1"/>
      <c r="C323" s="5" t="e">
        <f>1-DATA!N$22/DATA!F$22</f>
        <v>#DIV/0!</v>
      </c>
      <c r="D323" s="4">
        <f>DATA!V$22</f>
        <v>0</v>
      </c>
      <c r="E323" s="6" t="e">
        <f>C323*D323</f>
        <v>#DIV/0!</v>
      </c>
      <c r="F323" s="3"/>
      <c r="G323" s="25">
        <f>DATA!AD$22</f>
        <v>0</v>
      </c>
      <c r="H323" s="1"/>
      <c r="I323" s="25">
        <f>DATA!AL$22</f>
        <v>0</v>
      </c>
      <c r="J323" s="6"/>
      <c r="K323" s="1"/>
    </row>
    <row r="324" spans="1:11" ht="12.75">
      <c r="A324" s="3">
        <f>DATA!G$3</f>
        <v>2001</v>
      </c>
      <c r="B324" s="1"/>
      <c r="C324" s="5" t="e">
        <f>1-DATA!O$22/DATA!G$22</f>
        <v>#DIV/0!</v>
      </c>
      <c r="D324" s="4">
        <f>DATA!W$22</f>
        <v>0</v>
      </c>
      <c r="E324" s="6" t="e">
        <f>C324*D324</f>
        <v>#DIV/0!</v>
      </c>
      <c r="F324" s="3"/>
      <c r="G324" s="25">
        <f>DATA!AE$22</f>
        <v>0</v>
      </c>
      <c r="H324" s="1"/>
      <c r="I324" s="25">
        <f>DATA!AM$22</f>
        <v>0</v>
      </c>
      <c r="J324" s="6"/>
      <c r="K324" s="1"/>
    </row>
    <row r="325" spans="1:11" ht="12.75">
      <c r="A325" s="3">
        <f>DATA!H$3</f>
        <v>2002</v>
      </c>
      <c r="B325" s="1"/>
      <c r="C325" s="5" t="e">
        <f>1-DATA!P$22/DATA!H$22</f>
        <v>#DIV/0!</v>
      </c>
      <c r="D325" s="4">
        <f>DATA!X$22</f>
        <v>0</v>
      </c>
      <c r="E325" s="6" t="e">
        <f>C325*D325</f>
        <v>#DIV/0!</v>
      </c>
      <c r="F325" s="3"/>
      <c r="G325" s="25">
        <f>DATA!AF$22</f>
        <v>0</v>
      </c>
      <c r="H325" s="1"/>
      <c r="I325" s="25">
        <f>DATA!AN$22</f>
        <v>0</v>
      </c>
      <c r="J325" s="6"/>
      <c r="K325" s="1"/>
    </row>
    <row r="326" spans="1:11" ht="12.75">
      <c r="A326" s="3">
        <f>DATA!I$3</f>
        <v>2003</v>
      </c>
      <c r="B326" s="1"/>
      <c r="C326" s="5" t="e">
        <f>1-DATA!Q$22/DATA!I$22</f>
        <v>#DIV/0!</v>
      </c>
      <c r="D326" s="4">
        <f>DATA!Y$22</f>
        <v>0</v>
      </c>
      <c r="E326" s="6" t="e">
        <f>C326*D326</f>
        <v>#DIV/0!</v>
      </c>
      <c r="F326" s="3"/>
      <c r="G326" s="25">
        <f>DATA!AG$22</f>
        <v>0</v>
      </c>
      <c r="H326" s="1"/>
      <c r="I326" s="25">
        <f>DATA!AO$22</f>
        <v>0</v>
      </c>
      <c r="J326" s="6"/>
      <c r="K326" s="1"/>
    </row>
    <row r="327" spans="1:11" ht="12.75">
      <c r="A327" s="3">
        <f>DATA!J$3</f>
        <v>2004</v>
      </c>
      <c r="B327" s="1"/>
      <c r="C327" s="5" t="e">
        <f>1-DATA!R$22/DATA!J$22</f>
        <v>#DIV/0!</v>
      </c>
      <c r="D327" s="4">
        <f>DATA!Z$22</f>
        <v>0</v>
      </c>
      <c r="E327" s="16" t="e">
        <f>C327*D327</f>
        <v>#DIV/0!</v>
      </c>
      <c r="F327" s="17"/>
      <c r="G327" s="26">
        <f>DATA!AH$22</f>
        <v>0</v>
      </c>
      <c r="H327" s="18"/>
      <c r="I327" s="26">
        <f>DATA!AP$22</f>
        <v>0</v>
      </c>
      <c r="J327" s="6"/>
      <c r="K327" s="1"/>
    </row>
    <row r="328" spans="1:11" ht="12.75">
      <c r="A328" s="19" t="s">
        <v>56</v>
      </c>
      <c r="B328" s="1"/>
      <c r="C328" s="5"/>
      <c r="D328" s="4"/>
      <c r="E328" s="6" t="e">
        <f>AVERAGE(E323:E327)</f>
        <v>#DIV/0!</v>
      </c>
      <c r="F328" s="6"/>
      <c r="G328" s="6">
        <f>DATA!AX$22</f>
        <v>0</v>
      </c>
      <c r="H328" s="1"/>
      <c r="I328" s="25"/>
      <c r="J328" s="6" t="e">
        <f>(I327/I323)^0.25-1</f>
        <v>#DIV/0!</v>
      </c>
      <c r="K328" s="1"/>
    </row>
    <row r="329" spans="1:11" ht="12.75">
      <c r="A329" s="3">
        <f>DATA!K$3</f>
        <v>2005</v>
      </c>
      <c r="B329" s="1"/>
      <c r="C329" s="5" t="e">
        <f>1-DATA!S$22/DATA!K$22</f>
        <v>#DIV/0!</v>
      </c>
      <c r="D329" s="4">
        <f>DATA!AA$22</f>
        <v>0</v>
      </c>
      <c r="E329" s="6" t="e">
        <f>C329*D329</f>
        <v>#DIV/0!</v>
      </c>
      <c r="F329" s="6"/>
      <c r="G329" s="6"/>
      <c r="H329" s="1"/>
      <c r="I329" s="25">
        <f>DATA!AQ$22</f>
        <v>0</v>
      </c>
      <c r="J329" s="6" t="e">
        <f>(I329/I327)-1</f>
        <v>#DIV/0!</v>
      </c>
      <c r="K329" s="1"/>
    </row>
    <row r="330" spans="1:11" ht="12.75">
      <c r="A330" s="3">
        <f>DATA!L$3</f>
        <v>2006</v>
      </c>
      <c r="B330" s="3"/>
      <c r="C330" s="5" t="e">
        <f>1-DATA!T$22/DATA!L$22</f>
        <v>#DIV/0!</v>
      </c>
      <c r="D330" s="4">
        <f>DATA!AB$22</f>
        <v>0</v>
      </c>
      <c r="E330" s="6" t="e">
        <f>C330*D330</f>
        <v>#DIV/0!</v>
      </c>
      <c r="F330" s="3"/>
      <c r="G330" s="6"/>
      <c r="H330" s="3"/>
      <c r="I330" s="25">
        <f>DATA!AR$22</f>
        <v>0</v>
      </c>
      <c r="J330" s="6" t="e">
        <f>(I330/I327)^0.5-1</f>
        <v>#DIV/0!</v>
      </c>
      <c r="K330" s="3"/>
    </row>
    <row r="331" spans="1:11" ht="12.75">
      <c r="A331" s="3" t="str">
        <f>DATA!M$3</f>
        <v>2008-2010</v>
      </c>
      <c r="B331" s="1"/>
      <c r="C331" s="5" t="e">
        <f>1-DATA!U$22/DATA!M$22</f>
        <v>#DIV/0!</v>
      </c>
      <c r="D331" s="4">
        <f>DATA!AC$22</f>
        <v>0</v>
      </c>
      <c r="E331" s="6" t="e">
        <f>C331*D331</f>
        <v>#DIV/0!</v>
      </c>
      <c r="F331" s="6"/>
      <c r="G331" s="6">
        <f>DATA!AY$22</f>
        <v>0</v>
      </c>
      <c r="H331" s="1"/>
      <c r="I331" s="25">
        <f>DATA!AS$22</f>
        <v>0</v>
      </c>
      <c r="J331" s="6" t="e">
        <f>(I331/I327)^0.2-1</f>
        <v>#DIV/0!</v>
      </c>
      <c r="K331" s="1"/>
    </row>
  </sheetData>
  <printOptions/>
  <pageMargins left="1.1" right="0.75" top="0.5" bottom="0.73" header="0.5" footer="0.5"/>
  <pageSetup orientation="portrait" scale="95" r:id="rId1"/>
  <rowBreaks count="4" manualBreakCount="4">
    <brk id="56" max="255" man="1"/>
    <brk id="111" max="255" man="1"/>
    <brk id="166" max="255" man="1"/>
    <brk id="22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workbookViewId="0" topLeftCell="C1">
      <selection activeCell="J3" sqref="J3"/>
    </sheetView>
  </sheetViews>
  <sheetFormatPr defaultColWidth="9.00390625" defaultRowHeight="12"/>
  <cols>
    <col min="1" max="1" width="18.875" style="0" customWidth="1"/>
    <col min="2" max="2" width="15.375" style="0" customWidth="1"/>
    <col min="3" max="3" width="11.375" style="0" customWidth="1"/>
    <col min="4" max="4" width="11.125" style="0" customWidth="1"/>
    <col min="5" max="5" width="2.00390625" style="0" customWidth="1"/>
    <col min="6" max="6" width="8.75390625" style="0" customWidth="1"/>
    <col min="7" max="7" width="2.25390625" style="0" customWidth="1"/>
    <col min="8" max="8" width="10.75390625" style="0" customWidth="1"/>
    <col min="9" max="9" width="15.25390625" style="0" customWidth="1"/>
    <col min="10" max="10" width="28.375" style="0" customWidth="1"/>
    <col min="11" max="11" width="2.75390625" style="0" customWidth="1"/>
    <col min="12" max="12" width="13.00390625" style="0" customWidth="1"/>
    <col min="13" max="16384" width="11.375" style="0" customWidth="1"/>
  </cols>
  <sheetData>
    <row r="1" spans="1:10" ht="15">
      <c r="A1" s="3"/>
      <c r="B1" s="6"/>
      <c r="C1" s="3"/>
      <c r="D1" s="6"/>
      <c r="E1" s="6"/>
      <c r="F1" s="3"/>
      <c r="G1" s="3"/>
      <c r="H1" s="3"/>
      <c r="I1" s="3"/>
      <c r="J1" s="102" t="s">
        <v>216</v>
      </c>
    </row>
    <row r="2" spans="1:10" ht="15">
      <c r="A2" s="3"/>
      <c r="B2" s="6"/>
      <c r="C2" s="3"/>
      <c r="D2" s="7"/>
      <c r="E2" s="7"/>
      <c r="F2" s="19"/>
      <c r="G2" s="19"/>
      <c r="H2" s="19"/>
      <c r="I2" s="3"/>
      <c r="J2" s="103" t="s">
        <v>222</v>
      </c>
    </row>
    <row r="3" spans="1:10" ht="15">
      <c r="A3" s="3"/>
      <c r="B3" s="6"/>
      <c r="C3" s="3"/>
      <c r="D3" s="7"/>
      <c r="E3" s="7"/>
      <c r="F3" s="19"/>
      <c r="G3" s="19"/>
      <c r="H3" s="19"/>
      <c r="I3" s="3"/>
      <c r="J3" s="103" t="s">
        <v>58</v>
      </c>
    </row>
    <row r="4" spans="1:10" ht="15.75">
      <c r="A4" s="88"/>
      <c r="B4" s="89"/>
      <c r="C4" s="88"/>
      <c r="D4" s="90"/>
      <c r="E4" s="90"/>
      <c r="F4" s="91" t="str">
        <f>DATA!A1</f>
        <v>AVISTA UTILITIES</v>
      </c>
      <c r="G4" s="92"/>
      <c r="H4" s="93"/>
      <c r="I4" s="88"/>
      <c r="J4" s="89"/>
    </row>
    <row r="5" spans="1:10" ht="15.75">
      <c r="A5" s="88"/>
      <c r="B5" s="89"/>
      <c r="C5" s="88"/>
      <c r="D5" s="90"/>
      <c r="E5" s="90"/>
      <c r="F5" s="91"/>
      <c r="G5" s="92"/>
      <c r="H5" s="93"/>
      <c r="I5" s="88"/>
      <c r="J5" s="89"/>
    </row>
    <row r="6" spans="1:10" ht="15.75">
      <c r="A6" s="88"/>
      <c r="B6" s="89"/>
      <c r="C6" s="88"/>
      <c r="D6" s="90"/>
      <c r="E6" s="90"/>
      <c r="F6" s="88" t="s">
        <v>232</v>
      </c>
      <c r="G6" s="92"/>
      <c r="H6" s="93"/>
      <c r="I6" s="88"/>
      <c r="J6" s="89"/>
    </row>
    <row r="7" spans="1:10" ht="15.75">
      <c r="A7" s="88"/>
      <c r="B7" s="89"/>
      <c r="C7" s="88"/>
      <c r="D7" s="94"/>
      <c r="E7" s="94"/>
      <c r="F7" s="95"/>
      <c r="G7" s="95"/>
      <c r="H7" s="95"/>
      <c r="I7" s="88"/>
      <c r="J7" s="89"/>
    </row>
    <row r="8" spans="1:10" ht="15.75">
      <c r="A8" s="88"/>
      <c r="B8" s="89"/>
      <c r="C8" s="88"/>
      <c r="D8" s="94"/>
      <c r="E8" s="94"/>
      <c r="F8" s="95"/>
      <c r="G8" s="95"/>
      <c r="H8" s="95"/>
      <c r="I8" s="88"/>
      <c r="J8" s="89"/>
    </row>
    <row r="9" spans="1:10" ht="15.75">
      <c r="A9" s="96" t="s">
        <v>13</v>
      </c>
      <c r="B9" s="97" t="s">
        <v>59</v>
      </c>
      <c r="C9" s="88" t="s">
        <v>60</v>
      </c>
      <c r="D9" s="98"/>
      <c r="E9" s="98"/>
      <c r="F9" s="97" t="s">
        <v>50</v>
      </c>
      <c r="G9" s="95"/>
      <c r="H9" s="95"/>
      <c r="I9" s="88" t="s">
        <v>91</v>
      </c>
      <c r="J9" s="97" t="s">
        <v>92</v>
      </c>
    </row>
    <row r="10" spans="1:10" ht="15.75">
      <c r="A10" s="88"/>
      <c r="B10" s="89"/>
      <c r="C10" s="88"/>
      <c r="D10" s="94"/>
      <c r="E10" s="94"/>
      <c r="F10" s="95"/>
      <c r="G10" s="95"/>
      <c r="H10" s="95"/>
      <c r="I10" s="88"/>
      <c r="J10" s="89"/>
    </row>
    <row r="11" spans="1:13" ht="21.75" customHeight="1">
      <c r="A11" s="88" t="str">
        <f>DATA!A5</f>
        <v>CV</v>
      </c>
      <c r="B11" s="89">
        <v>0.035</v>
      </c>
      <c r="C11" s="88" t="s">
        <v>60</v>
      </c>
      <c r="D11" s="94">
        <v>0.0175</v>
      </c>
      <c r="E11" s="94" t="s">
        <v>93</v>
      </c>
      <c r="F11" s="99">
        <f>DATA!$B5/DATA!$AI5</f>
        <v>1.1106508875739645</v>
      </c>
      <c r="G11" s="88" t="s">
        <v>57</v>
      </c>
      <c r="H11" s="95" t="s">
        <v>51</v>
      </c>
      <c r="I11" s="88" t="s">
        <v>91</v>
      </c>
      <c r="J11" s="89">
        <f>B11+D11*((F11+1)/2-1)</f>
        <v>0.03596819526627219</v>
      </c>
      <c r="M11" s="48">
        <f>B11+D11*(F11-1)</f>
        <v>0.03693639053254438</v>
      </c>
    </row>
    <row r="12" spans="1:13" ht="24" customHeight="1">
      <c r="A12" s="88" t="str">
        <f>DATA!A6</f>
        <v>EAS</v>
      </c>
      <c r="B12" s="89">
        <v>0.045</v>
      </c>
      <c r="C12" s="88" t="s">
        <v>60</v>
      </c>
      <c r="D12" s="94">
        <v>0.01</v>
      </c>
      <c r="E12" s="94" t="s">
        <v>93</v>
      </c>
      <c r="F12" s="99">
        <f>DATA!$B6/DATA!$AI6</f>
        <v>1.5286738351254479</v>
      </c>
      <c r="G12" s="88" t="s">
        <v>57</v>
      </c>
      <c r="H12" s="95" t="s">
        <v>51</v>
      </c>
      <c r="I12" s="88" t="s">
        <v>91</v>
      </c>
      <c r="J12" s="89">
        <f aca="true" t="shared" si="0" ref="J12:J21">B12+D12*((F12+1)/2-1)</f>
        <v>0.04764336917562724</v>
      </c>
      <c r="M12" s="48">
        <f aca="true" t="shared" si="1" ref="M12:M25">B12+D12*(F12-1)</f>
        <v>0.050286738351254474</v>
      </c>
    </row>
    <row r="13" spans="1:13" ht="24" customHeight="1">
      <c r="A13" s="88" t="str">
        <f>DATA!A7</f>
        <v>FE</v>
      </c>
      <c r="B13" s="89">
        <v>0.05</v>
      </c>
      <c r="C13" s="88" t="s">
        <v>60</v>
      </c>
      <c r="D13" s="94">
        <v>0.02</v>
      </c>
      <c r="E13" s="94" t="s">
        <v>93</v>
      </c>
      <c r="F13" s="99">
        <f>DATA!$B7/DATA!$AI7</f>
        <v>1.7702591922845092</v>
      </c>
      <c r="G13" s="88" t="s">
        <v>57</v>
      </c>
      <c r="H13" s="95" t="s">
        <v>51</v>
      </c>
      <c r="I13" s="88" t="s">
        <v>91</v>
      </c>
      <c r="J13" s="89">
        <f t="shared" si="0"/>
        <v>0.057702591922845096</v>
      </c>
      <c r="M13" s="48">
        <f t="shared" si="1"/>
        <v>0.06540518384569019</v>
      </c>
    </row>
    <row r="14" spans="1:13" ht="24" customHeight="1">
      <c r="A14" s="88" t="str">
        <f>DATA!A8</f>
        <v>GMP</v>
      </c>
      <c r="B14" s="89">
        <v>0.06</v>
      </c>
      <c r="C14" s="88" t="s">
        <v>60</v>
      </c>
      <c r="D14" s="94">
        <v>0</v>
      </c>
      <c r="E14" s="94" t="s">
        <v>93</v>
      </c>
      <c r="F14" s="99">
        <f>DATA!$B8/DATA!$AI8</f>
        <v>1.367546296296296</v>
      </c>
      <c r="G14" s="88" t="s">
        <v>57</v>
      </c>
      <c r="H14" s="95" t="s">
        <v>51</v>
      </c>
      <c r="I14" s="88" t="s">
        <v>91</v>
      </c>
      <c r="J14" s="89">
        <f t="shared" si="0"/>
        <v>0.06</v>
      </c>
      <c r="M14" s="48">
        <f t="shared" si="1"/>
        <v>0.06</v>
      </c>
    </row>
    <row r="15" spans="1:13" ht="24" customHeight="1">
      <c r="A15" s="88" t="str">
        <f>DATA!A9</f>
        <v>NU</v>
      </c>
      <c r="B15" s="89">
        <v>0.055</v>
      </c>
      <c r="C15" s="88" t="s">
        <v>60</v>
      </c>
      <c r="D15" s="94">
        <v>0</v>
      </c>
      <c r="E15" s="94" t="s">
        <v>93</v>
      </c>
      <c r="F15" s="99">
        <f>DATA!$B9/DATA!$AI9</f>
        <v>1.253984220907298</v>
      </c>
      <c r="G15" s="88" t="s">
        <v>57</v>
      </c>
      <c r="H15" s="95" t="s">
        <v>51</v>
      </c>
      <c r="I15" s="88" t="s">
        <v>91</v>
      </c>
      <c r="J15" s="89">
        <f t="shared" si="0"/>
        <v>0.055</v>
      </c>
      <c r="M15" s="48">
        <f t="shared" si="1"/>
        <v>0.055</v>
      </c>
    </row>
    <row r="16" spans="1:13" ht="24" customHeight="1">
      <c r="A16" s="88" t="str">
        <f>DATA!A10</f>
        <v>CIN</v>
      </c>
      <c r="B16" s="89">
        <v>0.04</v>
      </c>
      <c r="C16" s="88" t="s">
        <v>60</v>
      </c>
      <c r="D16" s="94">
        <v>0.03</v>
      </c>
      <c r="E16" s="94" t="s">
        <v>93</v>
      </c>
      <c r="F16" s="99">
        <f>DATA!$B10/DATA!$AI10</f>
        <v>1.8757372466806432</v>
      </c>
      <c r="G16" s="88" t="s">
        <v>57</v>
      </c>
      <c r="H16" s="95" t="s">
        <v>51</v>
      </c>
      <c r="I16" s="88" t="s">
        <v>91</v>
      </c>
      <c r="J16" s="89">
        <f t="shared" si="0"/>
        <v>0.05313605870020965</v>
      </c>
      <c r="M16" s="48">
        <f t="shared" si="1"/>
        <v>0.0662721174004193</v>
      </c>
    </row>
    <row r="17" spans="1:13" ht="24" customHeight="1">
      <c r="A17" s="88" t="str">
        <f>DATA!A11</f>
        <v>CNL</v>
      </c>
      <c r="B17" s="89">
        <v>0.0425</v>
      </c>
      <c r="C17" s="88" t="s">
        <v>60</v>
      </c>
      <c r="D17" s="94">
        <v>0.01</v>
      </c>
      <c r="E17" s="94" t="s">
        <v>93</v>
      </c>
      <c r="F17" s="99">
        <f>DATA!$B11/DATA!$AI11</f>
        <v>1.9650297619047616</v>
      </c>
      <c r="G17" s="88" t="s">
        <v>57</v>
      </c>
      <c r="H17" s="95" t="s">
        <v>51</v>
      </c>
      <c r="I17" s="88" t="s">
        <v>91</v>
      </c>
      <c r="J17" s="89">
        <f t="shared" si="0"/>
        <v>0.047325148809523813</v>
      </c>
      <c r="M17" s="48">
        <f t="shared" si="1"/>
        <v>0.05215029761904762</v>
      </c>
    </row>
    <row r="18" spans="1:13" ht="24" customHeight="1">
      <c r="A18" s="88" t="str">
        <f>DATA!A12</f>
        <v>EDE</v>
      </c>
      <c r="B18" s="89">
        <v>0.04</v>
      </c>
      <c r="C18" s="88" t="s">
        <v>60</v>
      </c>
      <c r="D18" s="94">
        <v>0.03</v>
      </c>
      <c r="E18" s="94" t="s">
        <v>93</v>
      </c>
      <c r="F18" s="99">
        <f>DATA!$B12/DATA!$AI12</f>
        <v>1.6259459459459462</v>
      </c>
      <c r="G18" s="88" t="s">
        <v>57</v>
      </c>
      <c r="H18" s="95" t="s">
        <v>51</v>
      </c>
      <c r="I18" s="88" t="s">
        <v>91</v>
      </c>
      <c r="J18" s="89">
        <f t="shared" si="0"/>
        <v>0.04938918918918919</v>
      </c>
      <c r="M18" s="48">
        <f t="shared" si="1"/>
        <v>0.05877837837837839</v>
      </c>
    </row>
    <row r="19" spans="1:13" ht="24" customHeight="1">
      <c r="A19" s="88" t="str">
        <f>DATA!A13</f>
        <v>ETR</v>
      </c>
      <c r="B19" s="89">
        <v>0.0625</v>
      </c>
      <c r="C19" s="88" t="s">
        <v>60</v>
      </c>
      <c r="D19" s="94">
        <v>-0.005</v>
      </c>
      <c r="E19" s="94" t="s">
        <v>93</v>
      </c>
      <c r="F19" s="99">
        <f>DATA!$B13/DATA!$AI13</f>
        <v>1.9138930659983286</v>
      </c>
      <c r="G19" s="88" t="s">
        <v>57</v>
      </c>
      <c r="H19" s="95" t="s">
        <v>51</v>
      </c>
      <c r="I19" s="88" t="s">
        <v>91</v>
      </c>
      <c r="J19" s="89">
        <f t="shared" si="0"/>
        <v>0.06021526733500418</v>
      </c>
      <c r="M19" s="48">
        <f t="shared" si="1"/>
        <v>0.05793053467000836</v>
      </c>
    </row>
    <row r="20" spans="1:13" ht="24" customHeight="1">
      <c r="A20" s="88" t="str">
        <f>DATA!A14</f>
        <v>AVA</v>
      </c>
      <c r="B20" s="89">
        <v>0.055</v>
      </c>
      <c r="C20" s="88" t="s">
        <v>60</v>
      </c>
      <c r="D20" s="94">
        <v>0.005</v>
      </c>
      <c r="E20" s="94" t="s">
        <v>93</v>
      </c>
      <c r="F20" s="99">
        <f>DATA!$B14/DATA!$AI14</f>
        <v>1.1410224948875254</v>
      </c>
      <c r="G20" s="88" t="s">
        <v>57</v>
      </c>
      <c r="H20" s="95" t="s">
        <v>51</v>
      </c>
      <c r="I20" s="88" t="s">
        <v>91</v>
      </c>
      <c r="J20" s="89">
        <f t="shared" si="0"/>
        <v>0.05535255623721881</v>
      </c>
      <c r="M20" s="48">
        <f t="shared" si="1"/>
        <v>0.05570511247443763</v>
      </c>
    </row>
    <row r="21" spans="1:13" ht="24" customHeight="1">
      <c r="A21" s="88" t="str">
        <f>DATA!A15</f>
        <v>HE</v>
      </c>
      <c r="B21" s="89">
        <v>0.0325</v>
      </c>
      <c r="C21" s="88" t="s">
        <v>60</v>
      </c>
      <c r="D21" s="94">
        <v>0.0175</v>
      </c>
      <c r="E21" s="94" t="s">
        <v>93</v>
      </c>
      <c r="F21" s="99">
        <f>DATA!$B15/DATA!$AJ15</f>
        <v>1.7236613756613757</v>
      </c>
      <c r="G21" s="88" t="s">
        <v>57</v>
      </c>
      <c r="H21" s="95" t="s">
        <v>51</v>
      </c>
      <c r="I21" s="88" t="s">
        <v>91</v>
      </c>
      <c r="J21" s="89">
        <f t="shared" si="0"/>
        <v>0.03883203703703704</v>
      </c>
      <c r="M21" s="48">
        <f t="shared" si="1"/>
        <v>0.04516407407407408</v>
      </c>
    </row>
    <row r="22" spans="1:13" ht="24" customHeight="1">
      <c r="A22" s="88" t="str">
        <f>DATA!A16</f>
        <v>PNM</v>
      </c>
      <c r="B22" s="89">
        <v>0.055</v>
      </c>
      <c r="C22" s="88" t="s">
        <v>60</v>
      </c>
      <c r="D22" s="94">
        <v>0.025</v>
      </c>
      <c r="E22" s="94" t="s">
        <v>93</v>
      </c>
      <c r="F22" s="99">
        <f>DATA!$B16/DATA!$AJ16</f>
        <v>1.567795698924731</v>
      </c>
      <c r="G22" s="88" t="s">
        <v>57</v>
      </c>
      <c r="H22" s="95" t="s">
        <v>51</v>
      </c>
      <c r="I22" s="88" t="s">
        <v>91</v>
      </c>
      <c r="J22" s="89">
        <f>B22+D22*((F22+1)/2-1)</f>
        <v>0.062097446236559134</v>
      </c>
      <c r="M22" s="48">
        <f t="shared" si="1"/>
        <v>0.06919489247311827</v>
      </c>
    </row>
    <row r="23" spans="1:13" ht="24" customHeight="1">
      <c r="A23" s="88" t="str">
        <f>DATA!A17</f>
        <v>PNW</v>
      </c>
      <c r="B23" s="89">
        <v>0.045</v>
      </c>
      <c r="C23" s="88" t="s">
        <v>60</v>
      </c>
      <c r="D23" s="94">
        <v>0.015</v>
      </c>
      <c r="E23" s="94" t="s">
        <v>93</v>
      </c>
      <c r="F23" s="99">
        <f>DATA!$B17/DATA!$AJ17</f>
        <v>1.2951123864179819</v>
      </c>
      <c r="G23" s="88" t="s">
        <v>57</v>
      </c>
      <c r="H23" s="95" t="s">
        <v>51</v>
      </c>
      <c r="I23" s="88" t="s">
        <v>91</v>
      </c>
      <c r="J23" s="89">
        <f>B23+D23*((F23+1)/2-1)</f>
        <v>0.047213342898134864</v>
      </c>
      <c r="M23" s="48">
        <f t="shared" si="1"/>
        <v>0.04942668579626973</v>
      </c>
    </row>
    <row r="24" spans="1:13" ht="24" customHeight="1">
      <c r="A24" s="88" t="str">
        <f>DATA!A18</f>
        <v>PSD</v>
      </c>
      <c r="B24" s="89">
        <v>0.04</v>
      </c>
      <c r="C24" s="88" t="s">
        <v>60</v>
      </c>
      <c r="D24" s="94">
        <v>0.02</v>
      </c>
      <c r="E24" s="94" t="s">
        <v>93</v>
      </c>
      <c r="F24" s="99">
        <f>DATA!$B18/DATA!$AJ18</f>
        <v>1.3586206896551725</v>
      </c>
      <c r="G24" s="88" t="s">
        <v>57</v>
      </c>
      <c r="H24" s="95" t="s">
        <v>51</v>
      </c>
      <c r="I24" s="88" t="s">
        <v>91</v>
      </c>
      <c r="J24" s="89">
        <f>B24+D24*((F24+1)/2-1)</f>
        <v>0.043586206896551724</v>
      </c>
      <c r="M24" s="48">
        <f t="shared" si="1"/>
        <v>0.04717241379310345</v>
      </c>
    </row>
    <row r="25" spans="1:13" ht="24" customHeight="1">
      <c r="A25" s="88" t="str">
        <f>DATA!A19</f>
        <v>UNS</v>
      </c>
      <c r="B25" s="89">
        <v>0.065</v>
      </c>
      <c r="C25" s="88" t="s">
        <v>60</v>
      </c>
      <c r="D25" s="94">
        <v>0.01</v>
      </c>
      <c r="E25" s="94" t="s">
        <v>93</v>
      </c>
      <c r="F25" s="99">
        <f>DATA!$B19/DATA!$AJ19</f>
        <v>1.6639858906525575</v>
      </c>
      <c r="G25" s="88" t="s">
        <v>57</v>
      </c>
      <c r="H25" s="95" t="s">
        <v>51</v>
      </c>
      <c r="I25" s="88" t="s">
        <v>91</v>
      </c>
      <c r="J25" s="89">
        <f>B25+D25*((F25+1)/2-1)</f>
        <v>0.06831992945326279</v>
      </c>
      <c r="M25" s="48">
        <f t="shared" si="1"/>
        <v>0.07163985890652558</v>
      </c>
    </row>
    <row r="26" spans="1:10" ht="19.5" customHeight="1">
      <c r="A26" s="88"/>
      <c r="B26" s="89"/>
      <c r="C26" s="88"/>
      <c r="D26" s="94"/>
      <c r="E26" s="94"/>
      <c r="F26" s="99"/>
      <c r="G26" s="88"/>
      <c r="H26" s="95"/>
      <c r="I26" s="88"/>
      <c r="J26" s="89"/>
    </row>
    <row r="27" spans="1:13" ht="15.75">
      <c r="A27" s="88"/>
      <c r="B27" s="100"/>
      <c r="C27" s="88"/>
      <c r="D27" s="101" t="s">
        <v>94</v>
      </c>
      <c r="E27" s="94" t="s">
        <v>91</v>
      </c>
      <c r="F27" s="99">
        <f>AVERAGE(F11:F21)</f>
        <v>1.570582211206009</v>
      </c>
      <c r="G27" s="95"/>
      <c r="H27" s="95"/>
      <c r="I27" s="88"/>
      <c r="J27" s="89"/>
      <c r="M27" s="48">
        <f>AVERAGE(M11:M25)</f>
        <v>0.056070845220991435</v>
      </c>
    </row>
    <row r="28" spans="1:13" ht="15.75">
      <c r="A28" s="88"/>
      <c r="B28" s="100"/>
      <c r="C28" s="88"/>
      <c r="D28" s="94"/>
      <c r="E28" s="94"/>
      <c r="F28" s="95"/>
      <c r="G28" s="95"/>
      <c r="H28" s="95"/>
      <c r="I28" s="88"/>
      <c r="J28" s="89"/>
      <c r="M28" s="48">
        <f>AVERAGE(J11:J25)</f>
        <v>0.052118755943829045</v>
      </c>
    </row>
    <row r="29" spans="1:10" ht="20.25" customHeight="1">
      <c r="A29" s="88"/>
      <c r="B29" s="100"/>
      <c r="C29" s="101" t="str">
        <f aca="true" t="shared" si="2" ref="C29:C39">A11</f>
        <v>CV</v>
      </c>
      <c r="D29" s="88" t="s">
        <v>91</v>
      </c>
      <c r="E29" s="95" t="str">
        <f>DATA!A24</f>
        <v>Central Vermont P. S.</v>
      </c>
      <c r="F29" s="95"/>
      <c r="G29" s="95"/>
      <c r="H29" s="95"/>
      <c r="I29" s="88"/>
      <c r="J29" s="89"/>
    </row>
    <row r="30" spans="1:10" ht="20.25" customHeight="1">
      <c r="A30" s="88"/>
      <c r="B30" s="100"/>
      <c r="C30" s="101" t="str">
        <f t="shared" si="2"/>
        <v>EAS</v>
      </c>
      <c r="D30" s="88" t="s">
        <v>91</v>
      </c>
      <c r="E30" s="95" t="str">
        <f>DATA!A25</f>
        <v>Energy East Corp.</v>
      </c>
      <c r="F30" s="95"/>
      <c r="G30" s="95"/>
      <c r="H30" s="95"/>
      <c r="I30" s="88"/>
      <c r="J30" s="89"/>
    </row>
    <row r="31" spans="1:10" ht="20.25" customHeight="1">
      <c r="A31" s="88"/>
      <c r="B31" s="100"/>
      <c r="C31" s="101" t="str">
        <f t="shared" si="2"/>
        <v>FE</v>
      </c>
      <c r="D31" s="88" t="s">
        <v>91</v>
      </c>
      <c r="E31" s="95" t="str">
        <f>DATA!A26</f>
        <v>FirstEnergy Corp.</v>
      </c>
      <c r="F31" s="95"/>
      <c r="G31" s="95"/>
      <c r="H31" s="95"/>
      <c r="I31" s="88"/>
      <c r="J31" s="89"/>
    </row>
    <row r="32" spans="1:10" ht="20.25" customHeight="1">
      <c r="A32" s="88"/>
      <c r="B32" s="100"/>
      <c r="C32" s="101" t="str">
        <f t="shared" si="2"/>
        <v>GMP</v>
      </c>
      <c r="D32" s="88" t="s">
        <v>91</v>
      </c>
      <c r="E32" s="95" t="str">
        <f>DATA!A27</f>
        <v>Green Mountain Power</v>
      </c>
      <c r="F32" s="95"/>
      <c r="G32" s="95"/>
      <c r="H32" s="95"/>
      <c r="I32" s="88"/>
      <c r="J32" s="89"/>
    </row>
    <row r="33" spans="1:10" ht="20.25" customHeight="1">
      <c r="A33" s="88"/>
      <c r="B33" s="100"/>
      <c r="C33" s="101" t="str">
        <f t="shared" si="2"/>
        <v>NU</v>
      </c>
      <c r="D33" s="88" t="s">
        <v>91</v>
      </c>
      <c r="E33" s="95" t="str">
        <f>DATA!A28</f>
        <v>Northeast Utilities</v>
      </c>
      <c r="F33" s="95"/>
      <c r="G33" s="95"/>
      <c r="H33" s="95"/>
      <c r="I33" s="88"/>
      <c r="J33" s="89"/>
    </row>
    <row r="34" spans="1:10" ht="20.25" customHeight="1">
      <c r="A34" s="88"/>
      <c r="B34" s="100"/>
      <c r="C34" s="101" t="str">
        <f t="shared" si="2"/>
        <v>CIN</v>
      </c>
      <c r="D34" s="88" t="s">
        <v>91</v>
      </c>
      <c r="E34" s="95" t="str">
        <f>DATA!A29</f>
        <v>Cinergy Corp.</v>
      </c>
      <c r="F34" s="95"/>
      <c r="G34" s="95"/>
      <c r="H34" s="95"/>
      <c r="I34" s="88"/>
      <c r="J34" s="89"/>
    </row>
    <row r="35" spans="1:10" ht="20.25" customHeight="1">
      <c r="A35" s="88"/>
      <c r="B35" s="100"/>
      <c r="C35" s="101" t="str">
        <f t="shared" si="2"/>
        <v>CNL</v>
      </c>
      <c r="D35" s="88" t="s">
        <v>91</v>
      </c>
      <c r="E35" s="95" t="str">
        <f>DATA!A30</f>
        <v>Cleco Corporation</v>
      </c>
      <c r="F35" s="95"/>
      <c r="G35" s="95"/>
      <c r="H35" s="95"/>
      <c r="I35" s="88"/>
      <c r="J35" s="89"/>
    </row>
    <row r="36" spans="1:10" ht="20.25" customHeight="1">
      <c r="A36" s="88"/>
      <c r="B36" s="100"/>
      <c r="C36" s="101" t="str">
        <f t="shared" si="2"/>
        <v>EDE</v>
      </c>
      <c r="D36" s="88" t="s">
        <v>91</v>
      </c>
      <c r="E36" s="95" t="str">
        <f>DATA!A31</f>
        <v>Empire District Electric</v>
      </c>
      <c r="F36" s="95"/>
      <c r="G36" s="95"/>
      <c r="H36" s="95"/>
      <c r="I36" s="88"/>
      <c r="J36" s="89"/>
    </row>
    <row r="37" spans="1:10" ht="20.25" customHeight="1">
      <c r="A37" s="88"/>
      <c r="B37" s="100"/>
      <c r="C37" s="101" t="str">
        <f t="shared" si="2"/>
        <v>ETR</v>
      </c>
      <c r="D37" s="88" t="s">
        <v>91</v>
      </c>
      <c r="E37" s="95" t="str">
        <f>DATA!A32</f>
        <v>Entergy Corp.</v>
      </c>
      <c r="F37" s="95"/>
      <c r="G37" s="95"/>
      <c r="H37" s="95"/>
      <c r="I37" s="88"/>
      <c r="J37" s="89"/>
    </row>
    <row r="38" spans="1:10" ht="20.25" customHeight="1">
      <c r="A38" s="88"/>
      <c r="B38" s="100"/>
      <c r="C38" s="101" t="str">
        <f t="shared" si="2"/>
        <v>AVA</v>
      </c>
      <c r="D38" s="88" t="s">
        <v>91</v>
      </c>
      <c r="E38" s="95" t="str">
        <f>DATA!A33</f>
        <v>Avista Corp.</v>
      </c>
      <c r="F38" s="95"/>
      <c r="G38" s="95"/>
      <c r="H38" s="95"/>
      <c r="I38" s="88"/>
      <c r="J38" s="89"/>
    </row>
    <row r="39" spans="1:10" ht="20.25" customHeight="1">
      <c r="A39" s="88"/>
      <c r="B39" s="100"/>
      <c r="C39" s="101" t="str">
        <f t="shared" si="2"/>
        <v>HE</v>
      </c>
      <c r="D39" s="88" t="s">
        <v>91</v>
      </c>
      <c r="E39" s="95" t="str">
        <f>DATA!A34</f>
        <v>Hawaiian Electric</v>
      </c>
      <c r="F39" s="95"/>
      <c r="G39" s="95"/>
      <c r="H39" s="95"/>
      <c r="I39" s="88"/>
      <c r="J39" s="89"/>
    </row>
    <row r="40" spans="1:10" ht="20.25" customHeight="1">
      <c r="A40" s="93"/>
      <c r="B40" s="100"/>
      <c r="C40" s="101" t="str">
        <f>A22</f>
        <v>PNM</v>
      </c>
      <c r="D40" s="88" t="s">
        <v>91</v>
      </c>
      <c r="E40" s="95" t="str">
        <f>DATA!A35</f>
        <v>PNM Resources</v>
      </c>
      <c r="F40" s="95"/>
      <c r="G40" s="95"/>
      <c r="H40" s="95"/>
      <c r="I40" s="89"/>
      <c r="J40" s="93"/>
    </row>
    <row r="41" spans="1:10" ht="15.75">
      <c r="A41" s="93"/>
      <c r="B41" s="100"/>
      <c r="C41" s="101"/>
      <c r="D41" s="88"/>
      <c r="E41" s="95"/>
      <c r="F41" s="95"/>
      <c r="G41" s="95"/>
      <c r="H41" s="95"/>
      <c r="I41" s="89"/>
      <c r="J41" s="93"/>
    </row>
    <row r="42" spans="1:10" ht="15.75">
      <c r="A42" s="95" t="s">
        <v>98</v>
      </c>
      <c r="B42" s="89"/>
      <c r="C42" s="101"/>
      <c r="D42" s="88"/>
      <c r="E42" s="95"/>
      <c r="F42" s="95"/>
      <c r="G42" s="95"/>
      <c r="H42" s="95"/>
      <c r="I42" s="88"/>
      <c r="J42" s="89"/>
    </row>
    <row r="43" spans="1:10" ht="12.75">
      <c r="A43" s="3"/>
      <c r="B43" s="6"/>
      <c r="C43" s="33"/>
      <c r="D43" s="3"/>
      <c r="E43" s="19"/>
      <c r="F43" s="19"/>
      <c r="G43" s="19"/>
      <c r="H43" s="19"/>
      <c r="I43" s="3"/>
      <c r="J43" s="6"/>
    </row>
    <row r="44" spans="2:10" ht="12.75">
      <c r="B44" s="6"/>
      <c r="C44" s="33"/>
      <c r="D44" s="3"/>
      <c r="E44" s="19"/>
      <c r="F44" s="19"/>
      <c r="G44" s="19"/>
      <c r="H44" s="19"/>
      <c r="I44" s="3"/>
      <c r="J44" s="6"/>
    </row>
    <row r="45" spans="1:10" ht="12.75">
      <c r="A45" s="3"/>
      <c r="B45" s="6"/>
      <c r="C45" s="3"/>
      <c r="D45" s="7"/>
      <c r="E45" s="7"/>
      <c r="F45" s="19"/>
      <c r="G45" s="19"/>
      <c r="H45" s="19"/>
      <c r="I45" s="3"/>
      <c r="J45" s="6"/>
    </row>
    <row r="46" spans="2:10" ht="12.75">
      <c r="B46" s="6"/>
      <c r="C46" s="3"/>
      <c r="D46" s="7"/>
      <c r="E46" s="7"/>
      <c r="F46" s="19"/>
      <c r="G46" s="19"/>
      <c r="H46" s="19"/>
      <c r="I46" s="3"/>
      <c r="J46" s="6"/>
    </row>
  </sheetData>
  <printOptions/>
  <pageMargins left="0.96" right="1.11" top="1" bottom="1" header="0.5" footer="0.5"/>
  <pageSetup fitToHeight="1" fitToWidth="1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workbookViewId="0" topLeftCell="A1">
      <selection activeCell="G7" sqref="G7"/>
    </sheetView>
  </sheetViews>
  <sheetFormatPr defaultColWidth="9.00390625" defaultRowHeight="12"/>
  <cols>
    <col min="1" max="1" width="10.75390625" style="0" customWidth="1"/>
    <col min="2" max="2" width="7.25390625" style="0" customWidth="1"/>
    <col min="3" max="3" width="8.625" style="0" customWidth="1"/>
    <col min="4" max="4" width="7.375" style="0" customWidth="1"/>
    <col min="5" max="5" width="7.00390625" style="0" customWidth="1"/>
    <col min="6" max="6" width="8.25390625" style="0" customWidth="1"/>
    <col min="7" max="7" width="7.75390625" style="0" customWidth="1"/>
    <col min="8" max="8" width="7.625" style="0" customWidth="1"/>
    <col min="9" max="9" width="7.25390625" style="0" customWidth="1"/>
    <col min="10" max="10" width="7.875" style="0" customWidth="1"/>
    <col min="11" max="11" width="8.25390625" style="0" customWidth="1"/>
    <col min="12" max="13" width="7.75390625" style="0" customWidth="1"/>
    <col min="14" max="16384" width="11.375" style="0" customWidth="1"/>
  </cols>
  <sheetData>
    <row r="1" spans="1:14" ht="12.75">
      <c r="A1" s="3"/>
      <c r="B1" s="6"/>
      <c r="C1" s="6"/>
      <c r="D1" s="6"/>
      <c r="E1" s="6"/>
      <c r="F1" s="6"/>
      <c r="G1" s="6"/>
      <c r="H1" s="6"/>
      <c r="I1" s="6"/>
      <c r="J1" s="6"/>
      <c r="K1" s="6"/>
      <c r="L1" s="86" t="s">
        <v>216</v>
      </c>
      <c r="M1" s="8"/>
      <c r="N1" s="8"/>
    </row>
    <row r="2" spans="1:14" ht="12.75">
      <c r="A2" s="3"/>
      <c r="B2" s="6"/>
      <c r="C2" s="6"/>
      <c r="D2" s="6"/>
      <c r="E2" s="6"/>
      <c r="F2" s="6"/>
      <c r="G2" s="6"/>
      <c r="H2" s="6"/>
      <c r="I2" s="6"/>
      <c r="J2" s="6"/>
      <c r="K2" s="6"/>
      <c r="L2" s="33" t="s">
        <v>222</v>
      </c>
      <c r="M2" s="8"/>
      <c r="N2" s="8"/>
    </row>
    <row r="3" spans="1:14" ht="12.75">
      <c r="A3" s="3"/>
      <c r="B3" s="6"/>
      <c r="C3" s="6"/>
      <c r="D3" s="6"/>
      <c r="E3" s="6"/>
      <c r="F3" s="6"/>
      <c r="G3" s="6"/>
      <c r="H3" s="6"/>
      <c r="I3" s="6"/>
      <c r="J3" s="6"/>
      <c r="K3" s="6"/>
      <c r="L3" s="33" t="s">
        <v>99</v>
      </c>
      <c r="M3" s="8"/>
      <c r="N3" s="8"/>
    </row>
    <row r="4" spans="1:14" ht="12.75">
      <c r="A4" s="3"/>
      <c r="B4" s="6"/>
      <c r="C4" s="8"/>
      <c r="D4" s="1"/>
      <c r="E4" s="6"/>
      <c r="F4" s="6"/>
      <c r="G4" s="34" t="str">
        <f>DATA!A1</f>
        <v>AVISTA UTILITIES</v>
      </c>
      <c r="I4" s="1"/>
      <c r="J4" s="6"/>
      <c r="K4" s="6"/>
      <c r="L4" s="6"/>
      <c r="M4" s="8"/>
      <c r="N4" s="8"/>
    </row>
    <row r="5" spans="1:14" ht="12.75">
      <c r="A5" s="3"/>
      <c r="B5" s="6"/>
      <c r="C5" s="8"/>
      <c r="D5" s="1"/>
      <c r="E5" s="6"/>
      <c r="F5" s="6"/>
      <c r="G5" s="34"/>
      <c r="I5" s="1"/>
      <c r="J5" s="6"/>
      <c r="K5" s="6"/>
      <c r="L5" s="6"/>
      <c r="M5" s="8"/>
      <c r="N5" s="8"/>
    </row>
    <row r="6" spans="1:14" ht="12.75">
      <c r="A6" s="3"/>
      <c r="B6" s="6"/>
      <c r="C6" s="8"/>
      <c r="D6" s="1"/>
      <c r="E6" s="6"/>
      <c r="F6" s="6"/>
      <c r="G6" s="6" t="s">
        <v>106</v>
      </c>
      <c r="I6" s="1"/>
      <c r="J6" s="6"/>
      <c r="K6" s="6"/>
      <c r="L6" s="6"/>
      <c r="M6" s="8"/>
      <c r="N6" s="8"/>
    </row>
    <row r="7" spans="1:14" ht="12.75">
      <c r="A7" s="3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8"/>
      <c r="N7" s="8"/>
    </row>
    <row r="8" spans="1:14" ht="12.75">
      <c r="A8" s="3"/>
      <c r="B8" s="6"/>
      <c r="C8" s="6"/>
      <c r="D8" s="6"/>
      <c r="E8" s="6"/>
      <c r="F8" s="6"/>
      <c r="G8" s="6"/>
      <c r="H8" s="6"/>
      <c r="I8" s="6"/>
      <c r="J8" s="6" t="s">
        <v>8</v>
      </c>
      <c r="K8" s="6"/>
      <c r="L8" s="6"/>
      <c r="M8" s="8"/>
      <c r="N8" s="8"/>
    </row>
    <row r="9" spans="1:14" ht="12.75">
      <c r="A9" s="3"/>
      <c r="B9" s="6" t="s">
        <v>164</v>
      </c>
      <c r="C9" s="13"/>
      <c r="D9" s="13" t="s">
        <v>100</v>
      </c>
      <c r="E9" s="13"/>
      <c r="F9" s="6" t="s">
        <v>8</v>
      </c>
      <c r="G9" s="13"/>
      <c r="H9" s="13" t="s">
        <v>101</v>
      </c>
      <c r="I9" s="13"/>
      <c r="J9" s="6" t="s">
        <v>104</v>
      </c>
      <c r="K9" s="13"/>
      <c r="L9" s="13" t="s">
        <v>102</v>
      </c>
      <c r="M9" s="35"/>
      <c r="N9" s="1"/>
    </row>
    <row r="10" spans="1:14" ht="12.75">
      <c r="A10" s="17" t="s">
        <v>13</v>
      </c>
      <c r="B10" s="16" t="s">
        <v>165</v>
      </c>
      <c r="C10" s="16" t="s">
        <v>63</v>
      </c>
      <c r="D10" s="16" t="s">
        <v>64</v>
      </c>
      <c r="E10" s="16" t="s">
        <v>66</v>
      </c>
      <c r="F10" s="16" t="s">
        <v>63</v>
      </c>
      <c r="G10" s="16" t="s">
        <v>63</v>
      </c>
      <c r="H10" s="16" t="s">
        <v>64</v>
      </c>
      <c r="I10" s="16" t="s">
        <v>66</v>
      </c>
      <c r="J10" s="16" t="s">
        <v>105</v>
      </c>
      <c r="K10" s="16" t="s">
        <v>63</v>
      </c>
      <c r="L10" s="16" t="s">
        <v>64</v>
      </c>
      <c r="M10" s="16" t="s">
        <v>66</v>
      </c>
      <c r="N10" s="1"/>
    </row>
    <row r="11" spans="1:17" ht="19.5" customHeight="1">
      <c r="A11" s="3" t="str">
        <f>DATA!A5</f>
        <v>CV</v>
      </c>
      <c r="B11" s="36">
        <f>'Ex10,p1'!J11</f>
        <v>0.03596819526627219</v>
      </c>
      <c r="C11" s="6">
        <f>DATA!AU5</f>
        <v>0.03</v>
      </c>
      <c r="D11" s="6">
        <f>DATA!AW5</f>
        <v>0.005</v>
      </c>
      <c r="E11" s="6">
        <f>DATA!AY5</f>
        <v>-0.005</v>
      </c>
      <c r="F11" s="36" t="str">
        <f>DATA!BA5</f>
        <v>n/a</v>
      </c>
      <c r="G11" s="6">
        <f>DATA!AT5</f>
        <v>0.085</v>
      </c>
      <c r="H11" s="6">
        <f>DATA!AV5</f>
        <v>0.005</v>
      </c>
      <c r="I11" s="6">
        <f>DATA!AX5</f>
        <v>0.02</v>
      </c>
      <c r="J11" s="36">
        <f aca="true" t="shared" si="0" ref="J11:J21">AVERAGE(C11,D11,E11,G11,H11,I11,F11)</f>
        <v>0.023333333333333334</v>
      </c>
      <c r="K11" s="6" t="s">
        <v>179</v>
      </c>
      <c r="L11" s="6">
        <f>(DATA!$S5/DATA!$N5)^0.2-1</f>
        <v>0.00892998907199627</v>
      </c>
      <c r="M11" s="6">
        <f>(DATA!$AI5/DATA!$AD5)^0.2-1</f>
        <v>0.003951745735523815</v>
      </c>
      <c r="N11" s="1"/>
      <c r="Q11" s="48"/>
    </row>
    <row r="12" spans="1:17" ht="19.5" customHeight="1">
      <c r="A12" s="3" t="str">
        <f>DATA!A6</f>
        <v>EAS</v>
      </c>
      <c r="B12" s="37">
        <f>'Ex10,p1'!J12</f>
        <v>0.04764336917562724</v>
      </c>
      <c r="C12" s="6">
        <f>DATA!AU6</f>
        <v>0.045</v>
      </c>
      <c r="D12" s="6">
        <f>DATA!AW6</f>
        <v>0.065</v>
      </c>
      <c r="E12" s="6">
        <f>DATA!AY6</f>
        <v>0.03</v>
      </c>
      <c r="F12" s="37">
        <f>DATA!BA6</f>
        <v>0.04</v>
      </c>
      <c r="G12" s="6">
        <f>DATA!AT6</f>
        <v>-0.005</v>
      </c>
      <c r="H12" s="6">
        <f>DATA!AV6</f>
        <v>0.055</v>
      </c>
      <c r="I12" s="6">
        <f>DATA!AX6</f>
        <v>0.055</v>
      </c>
      <c r="J12" s="37">
        <f t="shared" si="0"/>
        <v>0.04071428571428571</v>
      </c>
      <c r="K12" s="6">
        <f>(DATA!$K6/DATA!$F6)^0.2-1</f>
        <v>-0.02756533520359794</v>
      </c>
      <c r="L12" s="6">
        <f>(DATA!$S6/DATA!$N6)^0.2-1</f>
        <v>0.05128182028614803</v>
      </c>
      <c r="M12" s="6">
        <f>(DATA!$AI6/DATA!$AD6)^0.2-1</f>
        <v>0.04976365004544525</v>
      </c>
      <c r="N12" s="1"/>
      <c r="Q12" s="48"/>
    </row>
    <row r="13" spans="1:17" ht="19.5" customHeight="1">
      <c r="A13" s="3" t="str">
        <f>DATA!A7</f>
        <v>FE</v>
      </c>
      <c r="B13" s="37">
        <f>'Ex10,p1'!J13</f>
        <v>0.057702591922845096</v>
      </c>
      <c r="C13" s="6">
        <f>DATA!AU7</f>
        <v>0.1</v>
      </c>
      <c r="D13" s="6">
        <f>DATA!AW7</f>
        <v>0.035</v>
      </c>
      <c r="E13" s="6">
        <f>DATA!AY7</f>
        <v>0.055</v>
      </c>
      <c r="F13" s="37">
        <f>DATA!BA7</f>
        <v>0.04</v>
      </c>
      <c r="G13" s="6">
        <f>DATA!AT7</f>
        <v>0.01</v>
      </c>
      <c r="H13" s="6">
        <f>DATA!AV7</f>
        <v>0.02</v>
      </c>
      <c r="I13" s="6">
        <f>DATA!AX7</f>
        <v>0.06</v>
      </c>
      <c r="J13" s="37">
        <f t="shared" si="0"/>
        <v>0.045714285714285714</v>
      </c>
      <c r="K13" s="6">
        <f>(DATA!$K7/DATA!$F7)^0.2-1</f>
        <v>0.011622583533877684</v>
      </c>
      <c r="L13" s="6">
        <f>(DATA!$S7/DATA!$N7)^0.2-1</f>
        <v>-0.03735516449890208</v>
      </c>
      <c r="M13" s="6">
        <f>(DATA!$AI7/DATA!$AD7)^0.2-1</f>
        <v>0.059402703578607996</v>
      </c>
      <c r="N13" s="1"/>
      <c r="Q13" s="48"/>
    </row>
    <row r="14" spans="1:17" ht="19.5" customHeight="1">
      <c r="A14" s="3" t="str">
        <f>DATA!A8</f>
        <v>GMP</v>
      </c>
      <c r="B14" s="37">
        <f>'Ex10,p1'!J14</f>
        <v>0.06</v>
      </c>
      <c r="C14" s="6">
        <f>DATA!AU8</f>
        <v>0.035</v>
      </c>
      <c r="D14" s="6">
        <f>DATA!AW8</f>
        <v>0.1</v>
      </c>
      <c r="E14" s="6">
        <f>DATA!AY8</f>
        <v>0.03</v>
      </c>
      <c r="F14" s="37" t="str">
        <f>DATA!BA8</f>
        <v>n/a</v>
      </c>
      <c r="G14" s="6">
        <f>DATA!AT8</f>
        <v>0.375</v>
      </c>
      <c r="H14" s="6">
        <f>DATA!AV8</f>
        <v>-0.065</v>
      </c>
      <c r="I14" s="6">
        <f>DATA!AX8</f>
        <v>-0.005</v>
      </c>
      <c r="J14" s="37">
        <f t="shared" si="0"/>
        <v>0.07833333333333334</v>
      </c>
      <c r="K14" s="6" t="s">
        <v>179</v>
      </c>
      <c r="L14" s="6">
        <f>(DATA!$S8/DATA!$N8)^0.2-1</f>
        <v>0.12700920209792543</v>
      </c>
      <c r="M14" s="6">
        <f>(DATA!$AI8/DATA!$AD8)^0.2-1</f>
        <v>0.0549604526350429</v>
      </c>
      <c r="N14" s="1"/>
      <c r="Q14" s="48"/>
    </row>
    <row r="15" spans="1:17" ht="19.5" customHeight="1">
      <c r="A15" s="3" t="str">
        <f>DATA!A9</f>
        <v>NU</v>
      </c>
      <c r="B15" s="37">
        <f>'Ex10,p1'!J15</f>
        <v>0.055</v>
      </c>
      <c r="C15" s="6">
        <f>DATA!AU9</f>
        <v>0.11</v>
      </c>
      <c r="D15" s="6">
        <f>DATA!AW9</f>
        <v>0.09</v>
      </c>
      <c r="E15" s="6">
        <f>DATA!AY9</f>
        <v>0.025</v>
      </c>
      <c r="F15" s="37">
        <f>DATA!BA9</f>
        <v>0.05</v>
      </c>
      <c r="G15" s="6">
        <f>DATA!AT9</f>
        <v>0</v>
      </c>
      <c r="H15" s="6">
        <f>DATA!AV9</f>
        <v>0.375</v>
      </c>
      <c r="I15" s="6">
        <f>DATA!AX9</f>
        <v>0.02</v>
      </c>
      <c r="J15" s="37">
        <f t="shared" si="0"/>
        <v>0.09571428571428572</v>
      </c>
      <c r="K15" s="6" t="s">
        <v>179</v>
      </c>
      <c r="L15" s="6">
        <f>(DATA!$S9/DATA!$N9)^0.2-1</f>
        <v>0.11196158593857874</v>
      </c>
      <c r="M15" s="6">
        <f>(DATA!$AI9/DATA!$AD9)^0.2-1</f>
        <v>0.018366620297215697</v>
      </c>
      <c r="N15" s="1"/>
      <c r="Q15" s="48"/>
    </row>
    <row r="16" spans="1:17" ht="19.5" customHeight="1">
      <c r="A16" s="3" t="str">
        <f>DATA!A10</f>
        <v>CIN</v>
      </c>
      <c r="B16" s="37">
        <f>'Ex10,p1'!J16</f>
        <v>0.05313605870020965</v>
      </c>
      <c r="C16" s="6">
        <f>DATA!AU10</f>
        <v>0.055</v>
      </c>
      <c r="D16" s="6">
        <f>DATA!AW10</f>
        <v>0.02</v>
      </c>
      <c r="E16" s="6">
        <f>DATA!AY10</f>
        <v>0.055</v>
      </c>
      <c r="F16" s="37">
        <f>DATA!BA10</f>
        <v>0.05</v>
      </c>
      <c r="G16" s="6">
        <f>DATA!AT10</f>
        <v>0.015</v>
      </c>
      <c r="H16" s="6">
        <f>DATA!AV10</f>
        <v>0.005</v>
      </c>
      <c r="I16" s="6">
        <f>DATA!AX10</f>
        <v>0.05</v>
      </c>
      <c r="J16" s="37">
        <f t="shared" si="0"/>
        <v>0.03571428571428571</v>
      </c>
      <c r="K16" s="6">
        <f>(DATA!$K10/DATA!$F10)^0.2-1</f>
        <v>0.015511278397481565</v>
      </c>
      <c r="L16" s="6">
        <f>(DATA!$S10/DATA!$N10)^0.2-1</f>
        <v>0.01299136822423641</v>
      </c>
      <c r="M16" s="6">
        <f>(DATA!$AI10/DATA!$AD10)^0.2-1</f>
        <v>0.06558410223659128</v>
      </c>
      <c r="N16" s="1"/>
      <c r="Q16" s="48"/>
    </row>
    <row r="17" spans="1:17" ht="19.5" customHeight="1">
      <c r="A17" s="3" t="str">
        <f>DATA!A11</f>
        <v>CNL</v>
      </c>
      <c r="B17" s="37">
        <f>'Ex10,p1'!J17</f>
        <v>0.047325148809523813</v>
      </c>
      <c r="C17" s="6">
        <f>DATA!AU11</f>
        <v>0.015</v>
      </c>
      <c r="D17" s="6">
        <f>DATA!AW11</f>
        <v>0</v>
      </c>
      <c r="E17" s="6">
        <f>DATA!AY11</f>
        <v>0.035</v>
      </c>
      <c r="F17" s="37">
        <f>DATA!BA11</f>
        <v>0.04</v>
      </c>
      <c r="G17" s="6">
        <f>DATA!AT11</f>
        <v>0.04</v>
      </c>
      <c r="H17" s="6">
        <f>DATA!AV11</f>
        <v>0.02</v>
      </c>
      <c r="I17" s="6">
        <f>DATA!AX11</f>
        <v>0.04</v>
      </c>
      <c r="J17" s="37">
        <f t="shared" si="0"/>
        <v>0.027142857142857142</v>
      </c>
      <c r="K17" s="6">
        <f>(DATA!$K11/DATA!$F11)^0.2-1</f>
        <v>-0.022947052308363025</v>
      </c>
      <c r="L17" s="6">
        <f>(DATA!$S11/DATA!$N11)^0.2-1</f>
        <v>0.011497274155136239</v>
      </c>
      <c r="M17" s="6">
        <f>(DATA!$AI11/DATA!$AD11)^0.2-1</f>
        <v>0.022108175253140905</v>
      </c>
      <c r="N17" s="1"/>
      <c r="Q17" s="48"/>
    </row>
    <row r="18" spans="1:17" ht="19.5" customHeight="1">
      <c r="A18" s="3" t="str">
        <f>DATA!A12</f>
        <v>EDE</v>
      </c>
      <c r="B18" s="37">
        <f>'Ex10,p1'!J18</f>
        <v>0.04938918918918919</v>
      </c>
      <c r="C18" s="6">
        <f>DATA!AU12</f>
        <v>0.08</v>
      </c>
      <c r="D18" s="6">
        <f>DATA!AW12</f>
        <v>0</v>
      </c>
      <c r="E18" s="6">
        <f>DATA!AY12</f>
        <v>0.02</v>
      </c>
      <c r="F18" s="37">
        <f>DATA!BA12</f>
        <v>0.02</v>
      </c>
      <c r="G18" s="6">
        <f>DATA!AT12</f>
        <v>-0.035</v>
      </c>
      <c r="H18" s="6">
        <f>DATA!AV12</f>
        <v>0</v>
      </c>
      <c r="I18" s="6">
        <f>DATA!AX12</f>
        <v>0.02</v>
      </c>
      <c r="J18" s="37">
        <f t="shared" si="0"/>
        <v>0.015000000000000001</v>
      </c>
      <c r="K18" s="6">
        <f>(DATA!$K12/DATA!$F12)^0.2-1</f>
        <v>-0.015274353645740923</v>
      </c>
      <c r="L18" s="6">
        <f>(DATA!$S12/DATA!$N12)^0.2-1</f>
        <v>0</v>
      </c>
      <c r="M18" s="6">
        <f>(DATA!$AI12/DATA!$AD12)^0.2-1</f>
        <v>0.016309096602806328</v>
      </c>
      <c r="N18" s="1"/>
      <c r="Q18" s="48"/>
    </row>
    <row r="19" spans="1:17" ht="19.5" customHeight="1">
      <c r="A19" s="3" t="str">
        <f>DATA!A13</f>
        <v>ETR</v>
      </c>
      <c r="B19" s="37">
        <f>'Ex10,p1'!J19</f>
        <v>0.06021526733500418</v>
      </c>
      <c r="C19" s="6">
        <f>DATA!AU13</f>
        <v>0.065</v>
      </c>
      <c r="D19" s="6">
        <f>DATA!AW13</f>
        <v>0.11</v>
      </c>
      <c r="E19" s="6">
        <f>DATA!AY13</f>
        <v>0.05</v>
      </c>
      <c r="F19" s="37">
        <f>DATA!BA13</f>
        <v>0.07</v>
      </c>
      <c r="G19" s="6">
        <f>DATA!AT13</f>
        <v>0.11</v>
      </c>
      <c r="H19" s="6">
        <f>DATA!AV13</f>
        <v>0.015</v>
      </c>
      <c r="I19" s="6">
        <f>DATA!AX13</f>
        <v>0.055</v>
      </c>
      <c r="J19" s="37">
        <f t="shared" si="0"/>
        <v>0.06785714285714285</v>
      </c>
      <c r="K19" s="6">
        <f>(DATA!$K13/DATA!$F13)^0.2-1</f>
        <v>0.09144103126242187</v>
      </c>
      <c r="L19" s="6">
        <f>(DATA!$S13/DATA!$N13)^0.2-1</f>
        <v>0.12617657248903114</v>
      </c>
      <c r="M19" s="6">
        <f>(DATA!$AI13/DATA!$AD13)^0.2-1</f>
        <v>0.04583621229158519</v>
      </c>
      <c r="N19" s="1"/>
      <c r="Q19" s="48"/>
    </row>
    <row r="20" spans="1:17" ht="19.5" customHeight="1">
      <c r="A20" s="3" t="str">
        <f>DATA!A14</f>
        <v>AVA</v>
      </c>
      <c r="B20" s="37">
        <f>'Ex10,p1'!J20</f>
        <v>0.05535255623721881</v>
      </c>
      <c r="C20" s="6">
        <f>DATA!AU14</f>
        <v>0.11</v>
      </c>
      <c r="D20" s="6">
        <f>DATA!AW14</f>
        <v>0.06</v>
      </c>
      <c r="E20" s="6">
        <f>DATA!AY14</f>
        <v>0.04</v>
      </c>
      <c r="F20" s="37">
        <f>DATA!BA14</f>
        <v>0.045</v>
      </c>
      <c r="G20" s="6">
        <f>DATA!AT14</f>
        <v>-0.065</v>
      </c>
      <c r="H20" s="6">
        <f>DATA!AV14</f>
        <v>-0.115</v>
      </c>
      <c r="I20" s="6">
        <f>DATA!AX14</f>
        <v>0.05</v>
      </c>
      <c r="J20" s="37">
        <f t="shared" si="0"/>
        <v>0.017857142857142856</v>
      </c>
      <c r="K20" s="6">
        <f>(DATA!$K14/DATA!$F14)^0.2-1</f>
        <v>-0.10690539387698339</v>
      </c>
      <c r="L20" s="6">
        <f>(DATA!$S14/DATA!$N14)^0.2-1</f>
        <v>0.02760046099310043</v>
      </c>
      <c r="M20" s="6">
        <f>(DATA!$AI14/DATA!$AD14)^0.2-1</f>
        <v>0.01221425448468838</v>
      </c>
      <c r="N20" s="1"/>
      <c r="Q20" s="48"/>
    </row>
    <row r="21" spans="1:17" ht="19.5" customHeight="1">
      <c r="A21" s="3" t="str">
        <f>DATA!A15</f>
        <v>HE</v>
      </c>
      <c r="B21" s="37">
        <f>'Ex10,p1'!J21</f>
        <v>0.03883203703703704</v>
      </c>
      <c r="C21" s="6">
        <f>DATA!AU15</f>
        <v>0.025</v>
      </c>
      <c r="D21" s="6">
        <f>DATA!AW15</f>
        <v>0</v>
      </c>
      <c r="E21" s="6">
        <f>DATA!AY15</f>
        <v>0.03</v>
      </c>
      <c r="F21" s="37">
        <f>DATA!BA15</f>
        <v>0.03</v>
      </c>
      <c r="G21" s="6">
        <f>DATA!AT15</f>
        <v>0.01</v>
      </c>
      <c r="H21" s="6">
        <f>DATA!AV15</f>
        <v>0</v>
      </c>
      <c r="I21" s="6">
        <f>DATA!AX15</f>
        <v>0.025</v>
      </c>
      <c r="J21" s="37">
        <f t="shared" si="0"/>
        <v>0.017142857142857144</v>
      </c>
      <c r="K21" s="6">
        <f>(DATA!$K15/DATA!$F15)^0.2-1</f>
        <v>0.04065217305638735</v>
      </c>
      <c r="L21" s="6">
        <f>(DATA!$S15/DATA!$N15)^0.2-1</f>
        <v>0</v>
      </c>
      <c r="M21" s="6">
        <f>(DATA!$AI15/DATA!$AD15)^0.2-1</f>
        <v>0.03762604416694182</v>
      </c>
      <c r="N21" s="1"/>
      <c r="Q21" s="48"/>
    </row>
    <row r="22" spans="1:17" ht="19.5" customHeight="1">
      <c r="A22" s="3" t="str">
        <f>DATA!A16</f>
        <v>PNM</v>
      </c>
      <c r="B22" s="37">
        <f>'Ex10,p1'!J22</f>
        <v>0.062097446236559134</v>
      </c>
      <c r="C22" s="6">
        <f>DATA!AU16</f>
        <v>0.045</v>
      </c>
      <c r="D22" s="6">
        <f>DATA!AW16</f>
        <v>0.07</v>
      </c>
      <c r="E22" s="6">
        <f>DATA!AY16</f>
        <v>0.04</v>
      </c>
      <c r="F22" s="37">
        <f>DATA!BA16</f>
        <v>0.06</v>
      </c>
      <c r="G22" s="6">
        <f>DATA!AT16</f>
        <v>-0.02</v>
      </c>
      <c r="H22" s="6">
        <f>DATA!AV16</f>
        <v>0.045</v>
      </c>
      <c r="I22" s="6">
        <f>DATA!AX16</f>
        <v>0.05</v>
      </c>
      <c r="J22" s="37">
        <f>AVERAGE(C22,D22,E22,G22,H22,I22,F22)</f>
        <v>0.041428571428571426</v>
      </c>
      <c r="K22" s="6">
        <f>(DATA!$K16/DATA!$F16)^0.2-1</f>
        <v>-0.00653650804430439</v>
      </c>
      <c r="L22" s="6">
        <f>(DATA!$S16/DATA!$N16)^0.2-1</f>
        <v>0.06903314366952773</v>
      </c>
      <c r="M22" s="6">
        <f>(DATA!$AI16/DATA!$AD16)^0.2-1</f>
        <v>0.039030144087928154</v>
      </c>
      <c r="N22" s="1"/>
      <c r="Q22" s="48"/>
    </row>
    <row r="23" spans="1:17" ht="19.5" customHeight="1">
      <c r="A23" s="3" t="str">
        <f>DATA!A17</f>
        <v>PNW</v>
      </c>
      <c r="B23" s="37">
        <f>'Ex10,p1'!J23</f>
        <v>0.047213342898134864</v>
      </c>
      <c r="C23" s="6">
        <f>DATA!AU17</f>
        <v>0.035</v>
      </c>
      <c r="D23" s="6">
        <f>DATA!AW17</f>
        <v>0.05</v>
      </c>
      <c r="E23" s="6">
        <f>DATA!AY17</f>
        <v>0.035</v>
      </c>
      <c r="F23" s="37">
        <f>DATA!BA17</f>
        <v>0.045</v>
      </c>
      <c r="G23" s="6">
        <f>DATA!AT17</f>
        <v>-0.03</v>
      </c>
      <c r="H23" s="6">
        <f>DATA!AV17</f>
        <v>0.07</v>
      </c>
      <c r="I23" s="6">
        <f>DATA!AX17</f>
        <v>0.04</v>
      </c>
      <c r="J23" s="37">
        <f>AVERAGE(C23,D23,E23,G23,H23,I23,F23)</f>
        <v>0.03500000000000001</v>
      </c>
      <c r="K23" s="6">
        <f>(DATA!$K17/DATA!$F17)^0.2-1</f>
        <v>-0.02182785928402675</v>
      </c>
      <c r="L23" s="6">
        <f>(DATA!$S17/DATA!$N17)^0.2-1</f>
        <v>0.06180374875688366</v>
      </c>
      <c r="M23" s="6">
        <f>(DATA!$AI17/DATA!$AD17)^0.2-1</f>
        <v>0.038009639851871224</v>
      </c>
      <c r="N23" s="1"/>
      <c r="Q23" s="48"/>
    </row>
    <row r="24" spans="1:17" ht="19.5" customHeight="1">
      <c r="A24" s="3" t="str">
        <f>DATA!A18</f>
        <v>PSD</v>
      </c>
      <c r="B24" s="37">
        <f>'Ex10,p1'!J24</f>
        <v>0.043586206896551724</v>
      </c>
      <c r="C24" s="6">
        <f>DATA!AU18</f>
        <v>0.055</v>
      </c>
      <c r="D24" s="6">
        <f>DATA!AW18</f>
        <v>0.01</v>
      </c>
      <c r="E24" s="6">
        <f>DATA!AY18</f>
        <v>0.025</v>
      </c>
      <c r="F24" s="37">
        <f>DATA!BA18</f>
        <v>0.04</v>
      </c>
      <c r="G24" s="6">
        <f>DATA!AT18</f>
        <v>-0.055</v>
      </c>
      <c r="H24" s="6">
        <f>DATA!AV18</f>
        <v>-0.105</v>
      </c>
      <c r="I24" s="6">
        <f>DATA!AX18</f>
        <v>0.005</v>
      </c>
      <c r="J24" s="37">
        <f>AVERAGE(C24,D24,E24,G24,H24,I24,F24)</f>
        <v>-0.0035714285714285718</v>
      </c>
      <c r="K24" s="6">
        <f>(DATA!$K18/DATA!$F18)^0.2-1</f>
        <v>-0.08307279800552247</v>
      </c>
      <c r="L24" s="6">
        <f>(DATA!$S18/DATA!$N18)^0.2-1</f>
        <v>-0.11481012974500249</v>
      </c>
      <c r="M24" s="6">
        <f>(DATA!$AI18/DATA!$AD18)^0.2-1</f>
        <v>0.001081343390133549</v>
      </c>
      <c r="N24" s="1"/>
      <c r="Q24" s="48"/>
    </row>
    <row r="25" spans="1:17" ht="19.5" customHeight="1">
      <c r="A25" s="3" t="str">
        <f>DATA!A19</f>
        <v>UNS</v>
      </c>
      <c r="B25" s="38">
        <f>'Ex10,p1'!J25</f>
        <v>0.06831992945326279</v>
      </c>
      <c r="C25" s="16">
        <f>DATA!AU19</f>
        <v>0.08</v>
      </c>
      <c r="D25" s="16">
        <f>DATA!AW19</f>
        <v>0.095</v>
      </c>
      <c r="E25" s="16">
        <f>DATA!AY19</f>
        <v>0.06</v>
      </c>
      <c r="F25" s="38">
        <f>DATA!BA19</f>
        <v>0.125</v>
      </c>
      <c r="G25" s="16">
        <f>DATA!AT19</f>
        <v>-0.04</v>
      </c>
      <c r="H25" s="16">
        <f>DATA!AV19</f>
        <v>0</v>
      </c>
      <c r="I25" s="16">
        <f>DATA!AX19</f>
        <v>0.135</v>
      </c>
      <c r="J25" s="38">
        <f>AVERAGE(C25,D25,E25,G25,H25,I25,F25)</f>
        <v>0.06499999999999999</v>
      </c>
      <c r="K25" s="6">
        <f>(DATA!$K19/DATA!$F19)^0.2-1</f>
        <v>0.04728106703783741</v>
      </c>
      <c r="L25" s="16">
        <f>(DATA!$S19/DATA!$N19)^0.2-1</f>
        <v>0.1888654957871243</v>
      </c>
      <c r="M25" s="16">
        <f>(DATA!$AI19/DATA!$AD19)^0.2-1</f>
        <v>0.09892811885460473</v>
      </c>
      <c r="N25" s="1"/>
      <c r="Q25" s="48"/>
    </row>
    <row r="26" spans="1:13" ht="19.5" customHeight="1">
      <c r="A26" s="1"/>
      <c r="B26" s="39"/>
      <c r="C26" s="41">
        <f>AVERAGE(C11:C25)</f>
        <v>0.05900000000000001</v>
      </c>
      <c r="D26" s="13">
        <f>AVERAGE(D11:D25)</f>
        <v>0.04733333333333334</v>
      </c>
      <c r="E26" s="50">
        <f>AVERAGE(E11:E25)</f>
        <v>0.034999999999999996</v>
      </c>
      <c r="F26" s="39"/>
      <c r="G26" s="41">
        <f>AVERAGE(G11:G25)</f>
        <v>0.026333333333333334</v>
      </c>
      <c r="H26" s="13">
        <f>AVERAGE(H11:H25)</f>
        <v>0.02166666666666667</v>
      </c>
      <c r="I26" s="50">
        <f>AVERAGE(I11:I25)</f>
        <v>0.04133333333333333</v>
      </c>
      <c r="J26" s="37"/>
      <c r="K26" s="41">
        <f>AVERAGE(K11:K25)</f>
        <v>-0.006468430590044418</v>
      </c>
      <c r="L26" s="13">
        <f>AVERAGE(L11:L25)</f>
        <v>0.04299902448171892</v>
      </c>
      <c r="M26" s="13">
        <f>AVERAGE(M11:M25)</f>
        <v>0.03754482023414182</v>
      </c>
    </row>
    <row r="27" spans="1:17" ht="19.5" customHeight="1">
      <c r="A27" s="3" t="s">
        <v>103</v>
      </c>
      <c r="B27" s="40">
        <f>AVERAGE(B11:B21)</f>
        <v>0.050960401242993385</v>
      </c>
      <c r="C27" s="1"/>
      <c r="D27" s="6">
        <f>(C26+D26+E26)/3</f>
        <v>0.04711111111111111</v>
      </c>
      <c r="E27" s="1"/>
      <c r="F27" s="40">
        <f>AVERAGE(F11:F21)</f>
        <v>0.042777777777777776</v>
      </c>
      <c r="G27" s="1"/>
      <c r="H27" s="6">
        <f>(G26+H26+I26)/3</f>
        <v>0.029777777777777778</v>
      </c>
      <c r="I27" s="1"/>
      <c r="J27" s="40">
        <f>AVERAGE(J11:J21)</f>
        <v>0.04222943722943723</v>
      </c>
      <c r="K27" s="1"/>
      <c r="L27" s="6">
        <f>(K26+L26+M26)/3</f>
        <v>0.024691804708605436</v>
      </c>
      <c r="M27" s="1"/>
      <c r="P27" s="48">
        <f>AVERAGE(D27,F27,H27,L27)</f>
        <v>0.03608961784381802</v>
      </c>
      <c r="Q27" s="48"/>
    </row>
    <row r="28" spans="16:17" ht="12">
      <c r="P28">
        <v>0.1107</v>
      </c>
      <c r="Q28">
        <f>P27/P28</f>
        <v>0.3260128079839026</v>
      </c>
    </row>
    <row r="30" spans="1:16" ht="12.75">
      <c r="A30" s="1"/>
      <c r="C30" s="1"/>
      <c r="D30" s="8"/>
      <c r="G30" s="48"/>
      <c r="H30" s="48"/>
      <c r="I30" s="48"/>
      <c r="P30">
        <v>0.0981</v>
      </c>
    </row>
    <row r="31" spans="2:17" ht="12.75">
      <c r="B31" s="43" t="s">
        <v>32</v>
      </c>
      <c r="C31" s="1" t="s">
        <v>201</v>
      </c>
      <c r="D31" s="8"/>
      <c r="P31">
        <v>0.0959</v>
      </c>
      <c r="Q31">
        <f>P30/P31</f>
        <v>1.0229405630865485</v>
      </c>
    </row>
    <row r="32" ht="12.75">
      <c r="C32" s="1" t="s">
        <v>218</v>
      </c>
    </row>
    <row r="33" ht="12.75">
      <c r="C33" s="87" t="s">
        <v>219</v>
      </c>
    </row>
    <row r="34" s="8" customFormat="1" ht="12.75"/>
    <row r="35" spans="4:12" s="1" customFormat="1" ht="12.75">
      <c r="D35" s="8"/>
      <c r="H35" s="8"/>
      <c r="L35" s="8"/>
    </row>
    <row r="37" spans="17:18" ht="12">
      <c r="Q37" t="s">
        <v>117</v>
      </c>
      <c r="R37" t="s">
        <v>40</v>
      </c>
    </row>
    <row r="38" spans="16:18" ht="12.75">
      <c r="P38" s="46" t="s">
        <v>52</v>
      </c>
      <c r="Q38" t="s">
        <v>122</v>
      </c>
      <c r="R38" t="s">
        <v>122</v>
      </c>
    </row>
    <row r="39" spans="16:18" ht="12.75">
      <c r="P39" s="61" t="s">
        <v>186</v>
      </c>
      <c r="Q39">
        <v>1.91</v>
      </c>
      <c r="R39">
        <v>0.037</v>
      </c>
    </row>
    <row r="40" spans="16:18" ht="12.75">
      <c r="P40" s="61" t="s">
        <v>53</v>
      </c>
      <c r="Q40">
        <v>3.54</v>
      </c>
      <c r="R40">
        <v>0.043</v>
      </c>
    </row>
    <row r="41" spans="16:18" ht="12.75">
      <c r="P41" s="61" t="s">
        <v>187</v>
      </c>
      <c r="Q41" t="s">
        <v>122</v>
      </c>
      <c r="R41" t="s">
        <v>122</v>
      </c>
    </row>
    <row r="42" spans="16:18" ht="12.75">
      <c r="P42" s="61" t="s">
        <v>174</v>
      </c>
      <c r="Q42">
        <v>1.3</v>
      </c>
      <c r="R42">
        <v>0.045</v>
      </c>
    </row>
    <row r="43" spans="16:18" ht="12.75">
      <c r="P43" s="61" t="s">
        <v>175</v>
      </c>
      <c r="Q43">
        <v>3.01</v>
      </c>
      <c r="R43">
        <v>0.045</v>
      </c>
    </row>
    <row r="44" spans="16:18" ht="12.75">
      <c r="P44" s="46" t="s">
        <v>118</v>
      </c>
      <c r="Q44">
        <v>1.4</v>
      </c>
      <c r="R44">
        <v>0.04</v>
      </c>
    </row>
    <row r="45" spans="16:18" ht="12.75">
      <c r="P45" s="46" t="s">
        <v>119</v>
      </c>
      <c r="Q45">
        <v>1.53</v>
      </c>
      <c r="R45">
        <v>0.05</v>
      </c>
    </row>
    <row r="46" spans="16:18" ht="12.75">
      <c r="P46" s="46" t="s">
        <v>120</v>
      </c>
      <c r="Q46">
        <v>5.08</v>
      </c>
      <c r="R46">
        <v>0.068</v>
      </c>
    </row>
    <row r="47" spans="16:18" ht="12.75">
      <c r="P47" s="46" t="s">
        <v>188</v>
      </c>
      <c r="Q47">
        <v>1.41</v>
      </c>
      <c r="R47">
        <v>0.05</v>
      </c>
    </row>
    <row r="48" spans="16:18" ht="12.75">
      <c r="P48" s="46" t="s">
        <v>121</v>
      </c>
      <c r="Q48">
        <v>1.75</v>
      </c>
      <c r="R48">
        <v>0.035</v>
      </c>
    </row>
    <row r="49" spans="16:18" ht="12.75">
      <c r="P49" s="61" t="s">
        <v>33</v>
      </c>
      <c r="Q49">
        <v>1.9</v>
      </c>
      <c r="R49">
        <v>0.058</v>
      </c>
    </row>
    <row r="50" spans="16:18" ht="12.75">
      <c r="P50" s="61" t="s">
        <v>155</v>
      </c>
      <c r="Q50">
        <v>3.11</v>
      </c>
      <c r="R50">
        <v>0.052</v>
      </c>
    </row>
    <row r="51" spans="16:18" ht="12.75">
      <c r="P51" s="61" t="s">
        <v>189</v>
      </c>
      <c r="Q51">
        <v>1.49</v>
      </c>
      <c r="R51">
        <v>0.048</v>
      </c>
    </row>
    <row r="52" spans="16:18" ht="12.75">
      <c r="P52" s="61" t="s">
        <v>190</v>
      </c>
      <c r="Q52">
        <v>1.72</v>
      </c>
      <c r="R52" t="s">
        <v>122</v>
      </c>
    </row>
  </sheetData>
  <printOptions/>
  <pageMargins left="0.75" right="0.75" top="1" bottom="1" header="0.5" footer="0.5"/>
  <pageSetup fitToHeight="1" fitToWidth="1" orientation="portrait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3">
      <selection activeCell="C8" sqref="C8"/>
    </sheetView>
  </sheetViews>
  <sheetFormatPr defaultColWidth="9.00390625" defaultRowHeight="12"/>
  <cols>
    <col min="1" max="1" width="15.25390625" style="0" customWidth="1"/>
    <col min="2" max="2" width="17.125" style="0" customWidth="1"/>
    <col min="3" max="3" width="6.375" style="0" customWidth="1"/>
    <col min="4" max="4" width="18.00390625" style="0" customWidth="1"/>
    <col min="5" max="5" width="19.375" style="0" customWidth="1"/>
    <col min="6" max="16384" width="11.375" style="0" customWidth="1"/>
  </cols>
  <sheetData>
    <row r="1" spans="1:5" ht="12.75">
      <c r="A1" s="3"/>
      <c r="B1" s="3"/>
      <c r="C1" s="3"/>
      <c r="D1" s="3"/>
      <c r="E1" s="86" t="s">
        <v>216</v>
      </c>
    </row>
    <row r="2" spans="1:5" ht="12.75">
      <c r="A2" s="3"/>
      <c r="B2" s="3"/>
      <c r="C2" s="3"/>
      <c r="D2" s="3"/>
      <c r="E2" s="33" t="s">
        <v>223</v>
      </c>
    </row>
    <row r="3" spans="1:5" ht="12.75">
      <c r="A3" s="3"/>
      <c r="B3" s="3"/>
      <c r="C3" s="3"/>
      <c r="D3" s="3"/>
      <c r="E3" s="33" t="s">
        <v>217</v>
      </c>
    </row>
    <row r="4" spans="1:5" ht="12.75">
      <c r="A4" s="3"/>
      <c r="B4" s="3"/>
      <c r="C4" s="3"/>
      <c r="D4" s="3"/>
      <c r="E4" s="3"/>
    </row>
    <row r="5" spans="1:5" ht="12.75">
      <c r="A5" s="3"/>
      <c r="B5" s="3"/>
      <c r="C5" s="9" t="str">
        <f>DATA!A1</f>
        <v>AVISTA UTILITIES</v>
      </c>
      <c r="D5" s="3"/>
      <c r="E5" s="3"/>
    </row>
    <row r="6" spans="1:5" ht="12.75">
      <c r="A6" s="3"/>
      <c r="B6" s="3"/>
      <c r="C6" s="9"/>
      <c r="D6" s="3"/>
      <c r="E6" s="3"/>
    </row>
    <row r="7" spans="1:5" ht="12.75">
      <c r="A7" s="3"/>
      <c r="B7" s="3"/>
      <c r="C7" s="3" t="s">
        <v>230</v>
      </c>
      <c r="D7" s="3"/>
      <c r="E7" s="3"/>
    </row>
    <row r="8" spans="1:5" ht="12.75">
      <c r="A8" s="3"/>
      <c r="B8" s="3"/>
      <c r="C8" s="3"/>
      <c r="D8" s="3"/>
      <c r="E8" s="3"/>
    </row>
    <row r="9" spans="1:5" ht="12.75">
      <c r="A9" s="3"/>
      <c r="B9" s="3"/>
      <c r="C9" s="3"/>
      <c r="D9" s="3"/>
      <c r="E9" s="3"/>
    </row>
    <row r="10" spans="1:8" ht="12.75">
      <c r="A10" s="3"/>
      <c r="B10" s="3" t="s">
        <v>107</v>
      </c>
      <c r="C10" s="3"/>
      <c r="D10" s="3" t="s">
        <v>108</v>
      </c>
      <c r="E10" s="3" t="s">
        <v>62</v>
      </c>
      <c r="H10" s="55">
        <v>37100</v>
      </c>
    </row>
    <row r="11" spans="1:8" ht="12.75">
      <c r="A11" s="17" t="s">
        <v>13</v>
      </c>
      <c r="B11" s="17" t="str">
        <f>DATA!B2</f>
        <v>6/22/05-8/3/05</v>
      </c>
      <c r="C11" s="17"/>
      <c r="D11" s="17" t="s">
        <v>62</v>
      </c>
      <c r="E11" s="17" t="s">
        <v>109</v>
      </c>
      <c r="H11" t="s">
        <v>132</v>
      </c>
    </row>
    <row r="12" spans="1:8" ht="12.75">
      <c r="A12" s="3"/>
      <c r="B12" s="3" t="s">
        <v>110</v>
      </c>
      <c r="C12" s="3"/>
      <c r="D12" s="3" t="s">
        <v>110</v>
      </c>
      <c r="E12" s="3"/>
      <c r="H12" t="s">
        <v>133</v>
      </c>
    </row>
    <row r="13" spans="1:8" ht="12.75">
      <c r="A13" s="3"/>
      <c r="B13" s="3"/>
      <c r="C13" s="3"/>
      <c r="D13" s="3"/>
      <c r="E13" s="3"/>
      <c r="H13" t="s">
        <v>134</v>
      </c>
    </row>
    <row r="14" spans="1:8" ht="21.75" customHeight="1">
      <c r="A14" s="3" t="str">
        <f>DATA!A5</f>
        <v>CV</v>
      </c>
      <c r="B14" s="42">
        <f>DATA!B5</f>
        <v>18.769999999999996</v>
      </c>
      <c r="C14" s="3"/>
      <c r="D14" s="42">
        <f>DATA!$E5*4</f>
        <v>0.92</v>
      </c>
      <c r="E14" s="6">
        <f aca="true" t="shared" si="0" ref="E14:E24">D14/B14</f>
        <v>0.04901438465636655</v>
      </c>
      <c r="H14">
        <v>0.049</v>
      </c>
    </row>
    <row r="15" spans="1:8" ht="21.75" customHeight="1">
      <c r="A15" s="3" t="str">
        <f>DATA!A6</f>
        <v>EAS</v>
      </c>
      <c r="B15" s="42">
        <f>DATA!B6</f>
        <v>28.433333333333334</v>
      </c>
      <c r="C15" s="3"/>
      <c r="D15" s="42">
        <f>DATA!$E6*4</f>
        <v>1.1</v>
      </c>
      <c r="E15" s="6">
        <f t="shared" si="0"/>
        <v>0.038686987104337635</v>
      </c>
      <c r="H15">
        <v>0.042</v>
      </c>
    </row>
    <row r="16" spans="1:8" ht="21.75" customHeight="1">
      <c r="A16" s="3" t="str">
        <f>DATA!A7</f>
        <v>FE</v>
      </c>
      <c r="B16" s="42">
        <f>DATA!B7</f>
        <v>48.94766666666668</v>
      </c>
      <c r="C16" s="3"/>
      <c r="D16" s="42">
        <f>DATA!$E7*4</f>
        <v>1.652</v>
      </c>
      <c r="E16" s="6">
        <f t="shared" si="0"/>
        <v>0.03375033198722444</v>
      </c>
      <c r="H16">
        <v>0.034</v>
      </c>
    </row>
    <row r="17" spans="1:8" ht="21.75" customHeight="1">
      <c r="A17" s="3" t="str">
        <f>DATA!A8</f>
        <v>GMP</v>
      </c>
      <c r="B17" s="42">
        <f>DATA!B8</f>
        <v>29.538999999999998</v>
      </c>
      <c r="C17" s="3"/>
      <c r="D17" s="42">
        <f>DATA!$E8*4</f>
        <v>1</v>
      </c>
      <c r="E17" s="6">
        <f t="shared" si="0"/>
        <v>0.033853549544669764</v>
      </c>
      <c r="H17">
        <v>0.035</v>
      </c>
    </row>
    <row r="18" spans="1:8" ht="21.75" customHeight="1">
      <c r="A18" s="3" t="str">
        <f>DATA!A9</f>
        <v>NU</v>
      </c>
      <c r="B18" s="42">
        <f>DATA!B9</f>
        <v>21.192333333333334</v>
      </c>
      <c r="C18" s="3"/>
      <c r="D18" s="42">
        <f>DATA!$E9*4</f>
        <v>0.7</v>
      </c>
      <c r="E18" s="6">
        <f t="shared" si="0"/>
        <v>0.03303081302986929</v>
      </c>
      <c r="H18">
        <v>0.033</v>
      </c>
    </row>
    <row r="19" spans="1:8" ht="21.75" customHeight="1">
      <c r="A19" s="3" t="str">
        <f>DATA!A10</f>
        <v>CIN</v>
      </c>
      <c r="B19" s="42">
        <f>DATA!B10</f>
        <v>44.73633333333334</v>
      </c>
      <c r="C19" s="3"/>
      <c r="D19" s="42">
        <f>DATA!$E10*4</f>
        <v>1.92</v>
      </c>
      <c r="E19" s="6">
        <f t="shared" si="0"/>
        <v>0.042918135147419316</v>
      </c>
      <c r="H19">
        <v>0.043</v>
      </c>
    </row>
    <row r="20" spans="1:8" ht="21.75" customHeight="1">
      <c r="A20" s="3" t="str">
        <f>DATA!A11</f>
        <v>CNL</v>
      </c>
      <c r="B20" s="42">
        <f>DATA!B11</f>
        <v>22.00833333333333</v>
      </c>
      <c r="C20" s="3"/>
      <c r="D20" s="42">
        <f>DATA!$E11*4</f>
        <v>0.9</v>
      </c>
      <c r="E20" s="6">
        <f t="shared" si="0"/>
        <v>0.0408936009087467</v>
      </c>
      <c r="H20">
        <v>0.04</v>
      </c>
    </row>
    <row r="21" spans="1:8" ht="21.75" customHeight="1">
      <c r="A21" s="3" t="str">
        <f>DATA!A12</f>
        <v>EDE</v>
      </c>
      <c r="B21" s="42">
        <f>DATA!B12</f>
        <v>24.064000000000004</v>
      </c>
      <c r="C21" s="3"/>
      <c r="D21" s="42">
        <f>DATA!$E12*4</f>
        <v>1.28</v>
      </c>
      <c r="E21" s="6">
        <f t="shared" si="0"/>
        <v>0.05319148936170212</v>
      </c>
      <c r="H21">
        <v>0.053</v>
      </c>
    </row>
    <row r="22" spans="1:8" ht="21.75" customHeight="1">
      <c r="A22" s="3" t="str">
        <f>DATA!A13</f>
        <v>ETR</v>
      </c>
      <c r="B22" s="42">
        <f>DATA!B13</f>
        <v>76.3643333333333</v>
      </c>
      <c r="C22" s="3"/>
      <c r="D22" s="42">
        <f>DATA!$E13*4*(1+'Ex10,p1'!J19)</f>
        <v>2.2900649774436093</v>
      </c>
      <c r="E22" s="6">
        <f t="shared" si="0"/>
        <v>0.0299886724270529</v>
      </c>
      <c r="H22">
        <v>0.03</v>
      </c>
    </row>
    <row r="23" spans="1:8" ht="21.75" customHeight="1">
      <c r="A23" s="3" t="str">
        <f>DATA!A14</f>
        <v>AVA</v>
      </c>
      <c r="B23" s="42">
        <f>DATA!B14</f>
        <v>18.598666666666663</v>
      </c>
      <c r="C23" s="3"/>
      <c r="D23" s="42">
        <f>DATA!$E14*4</f>
        <v>0.54</v>
      </c>
      <c r="E23" s="6">
        <f t="shared" si="0"/>
        <v>0.029034339379166975</v>
      </c>
      <c r="H23">
        <v>0.029</v>
      </c>
    </row>
    <row r="24" spans="1:8" ht="21.75" customHeight="1">
      <c r="A24" s="3" t="str">
        <f>DATA!A15</f>
        <v>HE</v>
      </c>
      <c r="B24" s="42">
        <f>DATA!B15</f>
        <v>27.147666666666666</v>
      </c>
      <c r="C24" s="3"/>
      <c r="D24" s="42">
        <f>DATA!$E15*4</f>
        <v>1.24</v>
      </c>
      <c r="E24" s="6">
        <f t="shared" si="0"/>
        <v>0.04567611703891065</v>
      </c>
      <c r="H24">
        <v>0.045</v>
      </c>
    </row>
    <row r="25" spans="1:8" ht="21.75" customHeight="1">
      <c r="A25" s="3" t="str">
        <f>DATA!A16</f>
        <v>PNM</v>
      </c>
      <c r="B25" s="42">
        <f>DATA!B16</f>
        <v>29.160999999999998</v>
      </c>
      <c r="C25" s="3"/>
      <c r="D25" s="42">
        <f>DATA!$E16*4</f>
        <v>0.74</v>
      </c>
      <c r="E25" s="6">
        <f>D25/B25</f>
        <v>0.025376358835430886</v>
      </c>
      <c r="H25">
        <v>0.028</v>
      </c>
    </row>
    <row r="26" spans="1:8" ht="21.75" customHeight="1">
      <c r="A26" s="3" t="str">
        <f>DATA!A17</f>
        <v>PNW</v>
      </c>
      <c r="B26" s="42">
        <f>DATA!B17</f>
        <v>45.13466666666667</v>
      </c>
      <c r="C26" s="3"/>
      <c r="D26" s="42">
        <f>DATA!$E17*4</f>
        <v>1.9</v>
      </c>
      <c r="E26" s="6">
        <f>D26/B26</f>
        <v>0.042096245310330564</v>
      </c>
      <c r="H26">
        <v>0.042</v>
      </c>
    </row>
    <row r="27" spans="1:8" ht="21.75" customHeight="1">
      <c r="A27" s="3" t="str">
        <f>DATA!A18</f>
        <v>PSD</v>
      </c>
      <c r="B27" s="42">
        <f>DATA!B18</f>
        <v>23.64</v>
      </c>
      <c r="C27" s="3"/>
      <c r="D27" s="42">
        <f>DATA!$E18*4</f>
        <v>1</v>
      </c>
      <c r="E27" s="6">
        <f>D27/B27</f>
        <v>0.04230118443316413</v>
      </c>
      <c r="H27">
        <v>0.042</v>
      </c>
    </row>
    <row r="28" spans="1:8" ht="21.75" customHeight="1">
      <c r="A28" s="3" t="str">
        <f>DATA!A19</f>
        <v>UNS</v>
      </c>
      <c r="B28" s="42">
        <f>DATA!B19</f>
        <v>31.449333333333335</v>
      </c>
      <c r="C28" s="3"/>
      <c r="D28" s="42">
        <f>DATA!$E19*4</f>
        <v>0.76</v>
      </c>
      <c r="E28" s="16">
        <f>D28/B28</f>
        <v>0.02416585407215839</v>
      </c>
      <c r="H28">
        <v>0.024</v>
      </c>
    </row>
    <row r="29" spans="1:5" ht="21.75" customHeight="1">
      <c r="A29" s="3"/>
      <c r="B29" s="42"/>
      <c r="C29" s="3"/>
      <c r="D29" s="42"/>
      <c r="E29" s="16"/>
    </row>
    <row r="30" spans="1:8" ht="12.75">
      <c r="A30" s="3"/>
      <c r="B30" s="42"/>
      <c r="C30" s="3"/>
      <c r="D30" s="43" t="s">
        <v>111</v>
      </c>
      <c r="E30" s="34">
        <f>AVERAGE(E14:E28)</f>
        <v>0.03759853754910336</v>
      </c>
      <c r="H30">
        <f>AVERAGE(H14:H28)</f>
        <v>0.03793333333333334</v>
      </c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3" ht="12.75">
      <c r="A33" s="3"/>
      <c r="B33" s="3"/>
      <c r="C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59"/>
      <c r="B36" s="60"/>
      <c r="C36" s="60"/>
      <c r="D36" s="60"/>
      <c r="E36" s="60"/>
    </row>
  </sheetData>
  <printOptions/>
  <pageMargins left="1.29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C8" sqref="C8"/>
    </sheetView>
  </sheetViews>
  <sheetFormatPr defaultColWidth="9.00390625" defaultRowHeight="12"/>
  <cols>
    <col min="1" max="1" width="17.625" style="0" customWidth="1"/>
    <col min="2" max="2" width="22.375" style="0" customWidth="1"/>
    <col min="3" max="3" width="3.375" style="0" customWidth="1"/>
    <col min="4" max="4" width="22.75390625" style="0" customWidth="1"/>
    <col min="5" max="5" width="18.875" style="0" customWidth="1"/>
    <col min="6" max="16384" width="11.375" style="0" customWidth="1"/>
  </cols>
  <sheetData>
    <row r="1" spans="1:5" ht="12.75">
      <c r="A1" s="3"/>
      <c r="B1" s="6"/>
      <c r="C1" s="6"/>
      <c r="D1" s="6"/>
      <c r="E1" s="86" t="s">
        <v>216</v>
      </c>
    </row>
    <row r="2" spans="1:5" ht="12.75">
      <c r="A2" s="3"/>
      <c r="B2" s="6"/>
      <c r="C2" s="6"/>
      <c r="D2" s="6"/>
      <c r="E2" s="33" t="s">
        <v>224</v>
      </c>
    </row>
    <row r="3" spans="1:5" ht="12.75">
      <c r="A3" s="3"/>
      <c r="B3" s="6"/>
      <c r="C3" s="6"/>
      <c r="D3" s="6"/>
      <c r="E3" s="33" t="s">
        <v>217</v>
      </c>
    </row>
    <row r="4" spans="1:5" ht="12.75">
      <c r="A4" s="3"/>
      <c r="B4" s="6"/>
      <c r="C4" s="6"/>
      <c r="D4" s="6"/>
      <c r="E4" s="6"/>
    </row>
    <row r="5" spans="1:5" ht="12.75">
      <c r="A5" s="3"/>
      <c r="B5" s="6"/>
      <c r="C5" s="34" t="str">
        <f>DATA!A1</f>
        <v>AVISTA UTILITIES</v>
      </c>
      <c r="D5" s="6"/>
      <c r="E5" s="6"/>
    </row>
    <row r="6" spans="1:5" ht="12.75">
      <c r="A6" s="3"/>
      <c r="B6" s="6"/>
      <c r="C6" s="34"/>
      <c r="D6" s="6"/>
      <c r="E6" s="6"/>
    </row>
    <row r="7" spans="1:5" ht="12.75">
      <c r="A7" s="3"/>
      <c r="B7" s="6"/>
      <c r="C7" s="6" t="s">
        <v>231</v>
      </c>
      <c r="D7" s="6"/>
      <c r="E7" s="6"/>
    </row>
    <row r="8" spans="1:5" ht="12.75">
      <c r="A8" s="3"/>
      <c r="B8" s="6"/>
      <c r="C8" s="6"/>
      <c r="D8" s="6"/>
      <c r="E8" s="6"/>
    </row>
    <row r="9" spans="1:5" ht="12.75">
      <c r="A9" s="3"/>
      <c r="B9" s="6"/>
      <c r="C9" s="6"/>
      <c r="D9" s="6"/>
      <c r="E9" s="6"/>
    </row>
    <row r="10" spans="1:5" ht="12.75">
      <c r="A10" s="3"/>
      <c r="B10" s="6" t="s">
        <v>112</v>
      </c>
      <c r="C10" s="6"/>
      <c r="D10" s="6" t="s">
        <v>113</v>
      </c>
      <c r="E10" s="6" t="s">
        <v>114</v>
      </c>
    </row>
    <row r="11" spans="1:5" ht="12.75">
      <c r="A11" s="17" t="s">
        <v>13</v>
      </c>
      <c r="B11" s="16" t="s">
        <v>228</v>
      </c>
      <c r="C11" s="16"/>
      <c r="D11" s="16" t="s">
        <v>229</v>
      </c>
      <c r="E11" s="16" t="s">
        <v>115</v>
      </c>
    </row>
    <row r="12" spans="1:5" ht="12.75">
      <c r="A12" s="3"/>
      <c r="B12" s="6"/>
      <c r="C12" s="6"/>
      <c r="D12" s="6"/>
      <c r="E12" s="6"/>
    </row>
    <row r="13" spans="1:5" ht="12.75">
      <c r="A13" s="3"/>
      <c r="B13" s="6"/>
      <c r="C13" s="6"/>
      <c r="D13" s="6"/>
      <c r="E13" s="6"/>
    </row>
    <row r="14" spans="1:5" ht="21.75" customHeight="1">
      <c r="A14" s="3" t="str">
        <f>DATA!A5</f>
        <v>CV</v>
      </c>
      <c r="B14" s="6">
        <f>'Ex11'!E14</f>
        <v>0.04901438465636655</v>
      </c>
      <c r="C14" s="6"/>
      <c r="D14" s="6">
        <f>'Ex10,p1'!J11</f>
        <v>0.03596819526627219</v>
      </c>
      <c r="E14" s="6">
        <f aca="true" t="shared" si="0" ref="E14:E24">B14+D14</f>
        <v>0.08498257992263875</v>
      </c>
    </row>
    <row r="15" spans="1:5" ht="21.75" customHeight="1">
      <c r="A15" s="3" t="str">
        <f>DATA!A6</f>
        <v>EAS</v>
      </c>
      <c r="B15" s="6">
        <f>'Ex11'!E15</f>
        <v>0.038686987104337635</v>
      </c>
      <c r="C15" s="6"/>
      <c r="D15" s="6">
        <f>'Ex10,p1'!J12</f>
        <v>0.04764336917562724</v>
      </c>
      <c r="E15" s="6">
        <f t="shared" si="0"/>
        <v>0.08633035627996488</v>
      </c>
    </row>
    <row r="16" spans="1:5" ht="21.75" customHeight="1">
      <c r="A16" s="3" t="str">
        <f>DATA!A7</f>
        <v>FE</v>
      </c>
      <c r="B16" s="6">
        <f>'Ex11'!E16</f>
        <v>0.03375033198722444</v>
      </c>
      <c r="C16" s="6"/>
      <c r="D16" s="6">
        <f>'Ex10,p1'!J13</f>
        <v>0.057702591922845096</v>
      </c>
      <c r="E16" s="6">
        <f t="shared" si="0"/>
        <v>0.09145292391006954</v>
      </c>
    </row>
    <row r="17" spans="1:5" ht="21.75" customHeight="1">
      <c r="A17" s="3" t="str">
        <f>DATA!A8</f>
        <v>GMP</v>
      </c>
      <c r="B17" s="6">
        <f>'Ex11'!E17</f>
        <v>0.033853549544669764</v>
      </c>
      <c r="C17" s="6"/>
      <c r="D17" s="6">
        <f>'Ex10,p1'!J14</f>
        <v>0.06</v>
      </c>
      <c r="E17" s="6">
        <f t="shared" si="0"/>
        <v>0.09385354954466976</v>
      </c>
    </row>
    <row r="18" spans="1:5" ht="21.75" customHeight="1">
      <c r="A18" s="3" t="str">
        <f>DATA!A9</f>
        <v>NU</v>
      </c>
      <c r="B18" s="6">
        <f>'Ex11'!E18</f>
        <v>0.03303081302986929</v>
      </c>
      <c r="C18" s="6"/>
      <c r="D18" s="6">
        <f>'Ex10,p1'!J15</f>
        <v>0.055</v>
      </c>
      <c r="E18" s="6">
        <f t="shared" si="0"/>
        <v>0.08803081302986929</v>
      </c>
    </row>
    <row r="19" spans="1:5" ht="21.75" customHeight="1">
      <c r="A19" s="3" t="str">
        <f>DATA!A10</f>
        <v>CIN</v>
      </c>
      <c r="B19" s="6">
        <f>'Ex11'!E19</f>
        <v>0.042918135147419316</v>
      </c>
      <c r="C19" s="6"/>
      <c r="D19" s="6">
        <f>'Ex10,p1'!J16</f>
        <v>0.05313605870020965</v>
      </c>
      <c r="E19" s="6">
        <f t="shared" si="0"/>
        <v>0.09605419384762896</v>
      </c>
    </row>
    <row r="20" spans="1:5" ht="21.75" customHeight="1">
      <c r="A20" s="3" t="str">
        <f>DATA!A11</f>
        <v>CNL</v>
      </c>
      <c r="B20" s="6">
        <f>'Ex11'!E20</f>
        <v>0.0408936009087467</v>
      </c>
      <c r="C20" s="6"/>
      <c r="D20" s="6">
        <f>'Ex10,p1'!J17</f>
        <v>0.047325148809523813</v>
      </c>
      <c r="E20" s="6">
        <f t="shared" si="0"/>
        <v>0.08821874971827051</v>
      </c>
    </row>
    <row r="21" spans="1:5" ht="21.75" customHeight="1">
      <c r="A21" s="3" t="str">
        <f>DATA!A12</f>
        <v>EDE</v>
      </c>
      <c r="B21" s="6">
        <f>'Ex11'!E21</f>
        <v>0.05319148936170212</v>
      </c>
      <c r="C21" s="6"/>
      <c r="D21" s="6">
        <f>'Ex10,p1'!J18</f>
        <v>0.04938918918918919</v>
      </c>
      <c r="E21" s="6">
        <f t="shared" si="0"/>
        <v>0.10258067855089131</v>
      </c>
    </row>
    <row r="22" spans="1:5" ht="21.75" customHeight="1">
      <c r="A22" s="3" t="str">
        <f>DATA!A13</f>
        <v>ETR</v>
      </c>
      <c r="B22" s="6">
        <f>'Ex11'!E22</f>
        <v>0.0299886724270529</v>
      </c>
      <c r="C22" s="6"/>
      <c r="D22" s="6">
        <f>'Ex10,p1'!J19</f>
        <v>0.06021526733500418</v>
      </c>
      <c r="E22" s="6">
        <f t="shared" si="0"/>
        <v>0.09020393976205708</v>
      </c>
    </row>
    <row r="23" spans="1:5" ht="21.75" customHeight="1">
      <c r="A23" s="3" t="str">
        <f>DATA!A14</f>
        <v>AVA</v>
      </c>
      <c r="B23" s="6">
        <f>'Ex11'!E23</f>
        <v>0.029034339379166975</v>
      </c>
      <c r="C23" s="6"/>
      <c r="D23" s="6">
        <f>'Ex10,p1'!J20</f>
        <v>0.05535255623721881</v>
      </c>
      <c r="E23" s="6">
        <f t="shared" si="0"/>
        <v>0.0843868956163858</v>
      </c>
    </row>
    <row r="24" spans="1:5" ht="21.75" customHeight="1">
      <c r="A24" s="3" t="str">
        <f>DATA!A15</f>
        <v>HE</v>
      </c>
      <c r="B24" s="6">
        <f>'Ex11'!E24</f>
        <v>0.04567611703891065</v>
      </c>
      <c r="C24" s="6"/>
      <c r="D24" s="6">
        <f>'Ex10,p1'!J21</f>
        <v>0.03883203703703704</v>
      </c>
      <c r="E24" s="6">
        <f t="shared" si="0"/>
        <v>0.0845081540759477</v>
      </c>
    </row>
    <row r="25" spans="1:5" ht="21.75" customHeight="1">
      <c r="A25" s="3" t="str">
        <f>DATA!A16</f>
        <v>PNM</v>
      </c>
      <c r="B25" s="6">
        <f>'Ex11'!E25</f>
        <v>0.025376358835430886</v>
      </c>
      <c r="C25" s="6"/>
      <c r="D25" s="6">
        <f>'Ex10,p1'!J22</f>
        <v>0.062097446236559134</v>
      </c>
      <c r="E25" s="6">
        <f>B25+D25</f>
        <v>0.08747380507199001</v>
      </c>
    </row>
    <row r="26" spans="1:5" ht="21.75" customHeight="1">
      <c r="A26" s="3" t="str">
        <f>DATA!A17</f>
        <v>PNW</v>
      </c>
      <c r="B26" s="6">
        <f>'Ex11'!E26</f>
        <v>0.042096245310330564</v>
      </c>
      <c r="C26" s="6"/>
      <c r="D26" s="6">
        <f>'Ex10,p1'!J23</f>
        <v>0.047213342898134864</v>
      </c>
      <c r="E26" s="6">
        <f>B26+D26</f>
        <v>0.08930958820846543</v>
      </c>
    </row>
    <row r="27" spans="1:5" ht="21.75" customHeight="1">
      <c r="A27" s="3" t="str">
        <f>DATA!A18</f>
        <v>PSD</v>
      </c>
      <c r="B27" s="6">
        <f>'Ex11'!E27</f>
        <v>0.04230118443316413</v>
      </c>
      <c r="C27" s="6"/>
      <c r="D27" s="6">
        <f>'Ex10,p1'!J24</f>
        <v>0.043586206896551724</v>
      </c>
      <c r="E27" s="6">
        <f>B27+D27</f>
        <v>0.08588739132971585</v>
      </c>
    </row>
    <row r="28" spans="1:5" ht="21.75" customHeight="1">
      <c r="A28" s="3" t="str">
        <f>DATA!A19</f>
        <v>UNS</v>
      </c>
      <c r="B28" s="6">
        <f>'Ex11'!E28</f>
        <v>0.02416585407215839</v>
      </c>
      <c r="C28" s="6"/>
      <c r="D28" s="6">
        <f>'Ex10,p1'!J25</f>
        <v>0.06831992945326279</v>
      </c>
      <c r="E28" s="6">
        <f>B28+D28</f>
        <v>0.09248578352542118</v>
      </c>
    </row>
    <row r="29" spans="1:5" ht="21.75" customHeight="1">
      <c r="A29" s="3"/>
      <c r="B29" s="6"/>
      <c r="C29" s="6"/>
      <c r="D29" s="6"/>
      <c r="E29" s="6"/>
    </row>
    <row r="30" spans="1:5" ht="12.75">
      <c r="A30" s="3"/>
      <c r="B30" s="6"/>
      <c r="C30" s="6"/>
      <c r="D30" s="6"/>
      <c r="E30" s="6"/>
    </row>
    <row r="31" spans="1:7" ht="12.75">
      <c r="A31" s="3"/>
      <c r="B31" s="6"/>
      <c r="C31" s="6"/>
      <c r="D31" s="33" t="s">
        <v>111</v>
      </c>
      <c r="E31" s="34">
        <f>AVERAGE(E14:E24)</f>
        <v>0.09005480311439941</v>
      </c>
      <c r="G31" s="48"/>
    </row>
    <row r="32" spans="1:5" ht="12.75">
      <c r="A32" s="3"/>
      <c r="B32" s="6"/>
      <c r="C32" s="6"/>
      <c r="D32" s="6"/>
      <c r="E32" s="34"/>
    </row>
    <row r="33" spans="1:5" ht="12.75">
      <c r="A33" s="3"/>
      <c r="B33" s="6"/>
      <c r="C33" s="6"/>
      <c r="D33" s="33" t="s">
        <v>136</v>
      </c>
      <c r="E33" s="34">
        <f>STDEV(E14:E24)</f>
        <v>0.0056502634787060765</v>
      </c>
    </row>
  </sheetData>
  <printOptions/>
  <pageMargins left="0.97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31">
      <selection activeCell="A43" sqref="A43"/>
    </sheetView>
  </sheetViews>
  <sheetFormatPr defaultColWidth="9.00390625" defaultRowHeight="12"/>
  <cols>
    <col min="1" max="1" width="24.375" style="0" customWidth="1"/>
    <col min="2" max="2" width="11.375" style="0" customWidth="1"/>
    <col min="3" max="3" width="1.875" style="0" customWidth="1"/>
    <col min="4" max="4" width="24.125" style="0" customWidth="1"/>
    <col min="5" max="5" width="25.875" style="0" customWidth="1"/>
    <col min="6" max="16384" width="11.375" style="0" customWidth="1"/>
  </cols>
  <sheetData>
    <row r="1" spans="1:5" ht="12.75">
      <c r="A1" s="1"/>
      <c r="B1" s="8"/>
      <c r="C1" s="1"/>
      <c r="D1" s="1"/>
      <c r="E1" s="86" t="s">
        <v>216</v>
      </c>
    </row>
    <row r="2" spans="1:5" ht="12.75">
      <c r="A2" s="1"/>
      <c r="B2" s="8"/>
      <c r="C2" s="1"/>
      <c r="D2" s="1"/>
      <c r="E2" s="33" t="s">
        <v>225</v>
      </c>
    </row>
    <row r="3" spans="1:5" ht="12.75">
      <c r="A3" s="1"/>
      <c r="B3" s="8"/>
      <c r="C3" s="1"/>
      <c r="D3" s="1"/>
      <c r="E3" s="33" t="s">
        <v>217</v>
      </c>
    </row>
    <row r="4" spans="1:5" ht="12.75">
      <c r="A4" s="1"/>
      <c r="B4" s="1"/>
      <c r="C4" s="1"/>
      <c r="D4" s="1"/>
      <c r="E4" s="1"/>
    </row>
    <row r="5" spans="1:5" ht="12.75">
      <c r="A5" s="1"/>
      <c r="B5" s="1"/>
      <c r="D5" s="1"/>
      <c r="E5" s="1"/>
    </row>
    <row r="6" spans="1:5" ht="12.75">
      <c r="A6" s="1"/>
      <c r="B6" s="1"/>
      <c r="D6" s="1"/>
      <c r="E6" s="1"/>
    </row>
    <row r="7" spans="1:5" ht="12.75">
      <c r="A7" s="1"/>
      <c r="B7" s="1"/>
      <c r="C7" s="9" t="str">
        <f>DATA!A1</f>
        <v>AVISTA UTILITIES</v>
      </c>
      <c r="D7" s="1"/>
      <c r="E7" s="1"/>
    </row>
    <row r="8" spans="1:5" ht="12.75">
      <c r="A8" s="1"/>
      <c r="B8" s="1"/>
      <c r="C8" s="9"/>
      <c r="D8" s="1"/>
      <c r="E8" s="1"/>
    </row>
    <row r="9" spans="1:5" ht="12.75">
      <c r="A9" s="1"/>
      <c r="C9" s="3" t="s">
        <v>147</v>
      </c>
      <c r="E9" s="1"/>
    </row>
    <row r="10" spans="1:5" ht="12.75">
      <c r="A10" s="1"/>
      <c r="C10" s="3"/>
      <c r="E10" s="1"/>
    </row>
    <row r="11" spans="1:5" ht="12.75">
      <c r="A11" s="1"/>
      <c r="C11" s="3"/>
      <c r="E11" s="1"/>
    </row>
    <row r="12" spans="1:9" ht="12.75">
      <c r="A12" s="1"/>
      <c r="E12" s="1"/>
      <c r="H12" s="66" t="s">
        <v>148</v>
      </c>
      <c r="I12" s="67"/>
    </row>
    <row r="13" spans="1:9" ht="12.75">
      <c r="A13" s="1"/>
      <c r="E13" s="1"/>
      <c r="H13" s="68" t="s">
        <v>149</v>
      </c>
      <c r="I13" s="69" t="s">
        <v>150</v>
      </c>
    </row>
    <row r="14" spans="1:9" ht="12.75">
      <c r="A14" s="1"/>
      <c r="E14" s="1"/>
      <c r="G14" t="s">
        <v>151</v>
      </c>
      <c r="H14" s="68">
        <f>(10.4-5.4)/100</f>
        <v>0.05</v>
      </c>
      <c r="I14" s="70">
        <f>H14*D22+D31</f>
        <v>0.08191333333333334</v>
      </c>
    </row>
    <row r="15" spans="1:9" ht="12.75">
      <c r="A15" s="1"/>
      <c r="B15" s="1"/>
      <c r="C15" s="9" t="s">
        <v>152</v>
      </c>
      <c r="D15" s="1"/>
      <c r="E15" s="1"/>
      <c r="G15" t="s">
        <v>153</v>
      </c>
      <c r="H15" s="71">
        <f>(12.4-5.8)/100</f>
        <v>0.066</v>
      </c>
      <c r="I15" s="72">
        <f>H15*D22+D31</f>
        <v>0.09434000000000001</v>
      </c>
    </row>
    <row r="16" spans="1:11" ht="12.75">
      <c r="A16" s="1"/>
      <c r="B16" s="1"/>
      <c r="C16" s="1"/>
      <c r="D16" s="1"/>
      <c r="E16" s="1"/>
      <c r="I16">
        <f>(I14+I15)/2</f>
        <v>0.08812666666666667</v>
      </c>
      <c r="K16">
        <f>(5.92+6.17)/2</f>
        <v>6.045</v>
      </c>
    </row>
    <row r="17" spans="1:8" ht="12.75">
      <c r="A17" s="1"/>
      <c r="B17" s="73" t="s">
        <v>86</v>
      </c>
      <c r="D17" s="1"/>
      <c r="E17" s="1"/>
      <c r="H17">
        <f>H14*D22</f>
        <v>0.03883333333333334</v>
      </c>
    </row>
    <row r="18" spans="2:8" ht="12.75">
      <c r="B18" s="1"/>
      <c r="C18" s="1"/>
      <c r="D18" s="1"/>
      <c r="E18" s="1"/>
      <c r="H18">
        <f>H15*D22</f>
        <v>0.05126000000000001</v>
      </c>
    </row>
    <row r="19" spans="1:5" ht="12.75">
      <c r="A19" s="1"/>
      <c r="B19" s="43" t="s">
        <v>87</v>
      </c>
      <c r="C19" s="1" t="s">
        <v>91</v>
      </c>
      <c r="D19" s="7">
        <f>L43</f>
        <v>0.030959999999999998</v>
      </c>
      <c r="E19" s="1"/>
    </row>
    <row r="20" spans="1:10" ht="12.75">
      <c r="A20" s="1"/>
      <c r="B20" s="43" t="s">
        <v>88</v>
      </c>
      <c r="C20" s="1" t="s">
        <v>91</v>
      </c>
      <c r="D20" s="7" t="s">
        <v>89</v>
      </c>
      <c r="E20" s="1"/>
      <c r="J20">
        <f>11.2-3.8</f>
        <v>7.3999999999999995</v>
      </c>
    </row>
    <row r="21" spans="1:10" ht="12.75">
      <c r="A21" s="1"/>
      <c r="B21" s="43" t="s">
        <v>88</v>
      </c>
      <c r="C21" s="1" t="s">
        <v>91</v>
      </c>
      <c r="D21" s="7" t="s">
        <v>69</v>
      </c>
      <c r="E21" s="1"/>
      <c r="J21">
        <f>13.2-3.8</f>
        <v>9.399999999999999</v>
      </c>
    </row>
    <row r="22" spans="1:5" ht="12.75">
      <c r="A22" s="1"/>
      <c r="B22" s="43" t="s">
        <v>70</v>
      </c>
      <c r="C22" s="1" t="s">
        <v>91</v>
      </c>
      <c r="D22" s="32">
        <f>DATA!C20</f>
        <v>0.7766666666666667</v>
      </c>
      <c r="E22" s="1"/>
    </row>
    <row r="23" spans="1:11" ht="12.75">
      <c r="A23" s="1"/>
      <c r="B23" s="43"/>
      <c r="C23" s="1"/>
      <c r="D23" s="19"/>
      <c r="E23" s="1"/>
      <c r="G23">
        <f>D22*0.067</f>
        <v>0.052036666666666676</v>
      </c>
      <c r="K23" s="1"/>
    </row>
    <row r="24" spans="2:7" ht="12.75">
      <c r="B24" s="43"/>
      <c r="C24" s="1"/>
      <c r="D24" s="19"/>
      <c r="E24" s="1"/>
      <c r="G24">
        <f>D22*0.086</f>
        <v>0.06679333333333333</v>
      </c>
    </row>
    <row r="25" spans="2:13" ht="12.75">
      <c r="B25" s="43" t="s">
        <v>71</v>
      </c>
      <c r="C25" s="1" t="s">
        <v>91</v>
      </c>
      <c r="D25" s="19" t="s">
        <v>194</v>
      </c>
      <c r="E25" s="1"/>
      <c r="M25">
        <f>(9+9.75)/2</f>
        <v>9.375</v>
      </c>
    </row>
    <row r="26" spans="2:13" ht="12.75">
      <c r="B26" s="43" t="s">
        <v>71</v>
      </c>
      <c r="C26" s="1" t="s">
        <v>91</v>
      </c>
      <c r="D26" s="19" t="s">
        <v>195</v>
      </c>
      <c r="E26" s="1"/>
      <c r="G26" s="74">
        <f>D19+D22*0.067</f>
        <v>0.08299666666666668</v>
      </c>
      <c r="M26" s="48"/>
    </row>
    <row r="27" spans="2:13" ht="12.75">
      <c r="B27" s="43" t="s">
        <v>71</v>
      </c>
      <c r="C27" s="1" t="s">
        <v>91</v>
      </c>
      <c r="D27" s="31" t="s">
        <v>196</v>
      </c>
      <c r="E27" s="1"/>
      <c r="G27" s="74">
        <f>D19+D22*0.086</f>
        <v>0.09775333333333333</v>
      </c>
      <c r="H27" s="48"/>
      <c r="M27" s="48"/>
    </row>
    <row r="28" spans="2:13" ht="12.75">
      <c r="B28" s="43"/>
      <c r="C28" s="1"/>
      <c r="D28" s="7"/>
      <c r="E28" s="1"/>
      <c r="H28" s="48"/>
      <c r="M28" s="48"/>
    </row>
    <row r="29" spans="2:4" ht="12.75">
      <c r="B29" s="73" t="s">
        <v>72</v>
      </c>
      <c r="D29" s="1"/>
    </row>
    <row r="30" spans="2:5" ht="12.75">
      <c r="B30" s="1"/>
      <c r="C30" s="1"/>
      <c r="D30" s="1"/>
      <c r="E30" s="1"/>
    </row>
    <row r="31" spans="2:9" ht="12.75">
      <c r="B31" s="43" t="s">
        <v>87</v>
      </c>
      <c r="C31" s="1" t="s">
        <v>91</v>
      </c>
      <c r="D31" s="7">
        <f>M43</f>
        <v>0.04308</v>
      </c>
      <c r="E31" s="1"/>
      <c r="I31" s="81" t="s">
        <v>157</v>
      </c>
    </row>
    <row r="32" spans="2:9" ht="12.75">
      <c r="B32" s="43" t="s">
        <v>88</v>
      </c>
      <c r="C32" s="1" t="s">
        <v>91</v>
      </c>
      <c r="D32" s="7" t="s">
        <v>73</v>
      </c>
      <c r="E32" s="1"/>
      <c r="I32" s="82">
        <f>D31-0.02</f>
        <v>0.02308</v>
      </c>
    </row>
    <row r="33" spans="2:9" ht="12.75">
      <c r="B33" s="43" t="s">
        <v>88</v>
      </c>
      <c r="C33" s="1" t="s">
        <v>91</v>
      </c>
      <c r="D33" s="7" t="s">
        <v>158</v>
      </c>
      <c r="E33" s="1"/>
      <c r="I33" s="83">
        <f>I32+0.75*0.086</f>
        <v>0.08758</v>
      </c>
    </row>
    <row r="34" spans="2:16" ht="12.75">
      <c r="B34" s="43" t="s">
        <v>70</v>
      </c>
      <c r="C34" s="1" t="s">
        <v>91</v>
      </c>
      <c r="D34" s="32">
        <f>D22</f>
        <v>0.7766666666666667</v>
      </c>
      <c r="E34" s="18"/>
      <c r="I34" s="84">
        <f>I32+0.75*0.067</f>
        <v>0.07333</v>
      </c>
      <c r="K34" t="s">
        <v>159</v>
      </c>
      <c r="M34" t="s">
        <v>160</v>
      </c>
      <c r="N34" t="s">
        <v>161</v>
      </c>
      <c r="O34" t="s">
        <v>162</v>
      </c>
      <c r="P34" t="s">
        <v>6</v>
      </c>
    </row>
    <row r="35" spans="2:16" ht="12.75">
      <c r="B35" s="43"/>
      <c r="C35" s="1"/>
      <c r="D35" s="19"/>
      <c r="E35" s="1"/>
      <c r="K35" t="s">
        <v>20</v>
      </c>
      <c r="L35" t="s">
        <v>21</v>
      </c>
      <c r="M35" t="s">
        <v>22</v>
      </c>
      <c r="N35" t="s">
        <v>95</v>
      </c>
      <c r="O35" t="s">
        <v>96</v>
      </c>
      <c r="P35" t="s">
        <v>7</v>
      </c>
    </row>
    <row r="36" spans="2:16" ht="12.75">
      <c r="B36" s="43"/>
      <c r="C36" s="1"/>
      <c r="D36" s="19"/>
      <c r="E36" s="1"/>
      <c r="K36" s="75">
        <v>37065</v>
      </c>
      <c r="L36" s="48">
        <v>0.0295</v>
      </c>
      <c r="M36" s="48">
        <v>0.0437</v>
      </c>
      <c r="N36" s="48">
        <v>0.0519</v>
      </c>
      <c r="O36">
        <v>0.0407</v>
      </c>
      <c r="P36" s="48">
        <v>0.0553</v>
      </c>
    </row>
    <row r="37" spans="2:16" ht="12.75">
      <c r="B37" s="43" t="s">
        <v>71</v>
      </c>
      <c r="C37" s="1" t="s">
        <v>91</v>
      </c>
      <c r="D37" s="19" t="s">
        <v>197</v>
      </c>
      <c r="E37" s="1"/>
      <c r="K37" s="75">
        <v>37072</v>
      </c>
      <c r="L37" s="48">
        <v>0.0305</v>
      </c>
      <c r="M37" s="48">
        <v>0.0425</v>
      </c>
      <c r="N37" s="48">
        <v>0.0509</v>
      </c>
      <c r="O37">
        <v>0.0395</v>
      </c>
      <c r="P37" s="48">
        <v>0.0548</v>
      </c>
    </row>
    <row r="38" spans="2:16" ht="12.75">
      <c r="B38" s="43" t="s">
        <v>71</v>
      </c>
      <c r="C38" s="1" t="s">
        <v>91</v>
      </c>
      <c r="D38" s="19" t="s">
        <v>198</v>
      </c>
      <c r="E38" s="1"/>
      <c r="K38" s="75">
        <v>37079</v>
      </c>
      <c r="L38" s="48">
        <v>0.0312</v>
      </c>
      <c r="M38" s="48">
        <v>0.0419</v>
      </c>
      <c r="N38" s="48">
        <v>0.0503</v>
      </c>
      <c r="O38">
        <v>0.0391</v>
      </c>
      <c r="P38" s="48">
        <v>0.0537</v>
      </c>
    </row>
    <row r="39" spans="2:16" ht="12.75">
      <c r="B39" s="43" t="s">
        <v>71</v>
      </c>
      <c r="C39" s="1" t="s">
        <v>91</v>
      </c>
      <c r="D39" s="31" t="s">
        <v>199</v>
      </c>
      <c r="E39" s="1"/>
      <c r="K39" s="75">
        <v>37086</v>
      </c>
      <c r="L39" s="48">
        <v>0.0314</v>
      </c>
      <c r="M39" s="48">
        <v>0.0432</v>
      </c>
      <c r="N39" s="48">
        <v>0.0518</v>
      </c>
      <c r="O39">
        <v>0.0406</v>
      </c>
      <c r="P39" s="48">
        <v>0.0556</v>
      </c>
    </row>
    <row r="40" spans="5:16" ht="12.75">
      <c r="E40" s="1"/>
      <c r="K40" s="75">
        <v>37093</v>
      </c>
      <c r="L40" s="48">
        <v>0.0322</v>
      </c>
      <c r="M40" s="48">
        <v>0.0441</v>
      </c>
      <c r="N40" s="48">
        <v>0.0527</v>
      </c>
      <c r="O40">
        <v>0.0417</v>
      </c>
      <c r="P40" s="48">
        <v>0.0563</v>
      </c>
    </row>
    <row r="41" spans="2:16" ht="12.75">
      <c r="B41" s="76"/>
      <c r="C41" s="73"/>
      <c r="D41" s="31"/>
      <c r="E41" s="1"/>
      <c r="K41" s="75">
        <v>37100</v>
      </c>
      <c r="L41" s="48">
        <v>0.0334</v>
      </c>
      <c r="M41" s="48">
        <v>0.045</v>
      </c>
      <c r="N41" s="48">
        <v>0.0538</v>
      </c>
      <c r="O41">
        <v>0.0428</v>
      </c>
      <c r="P41" s="48">
        <v>0.0591</v>
      </c>
    </row>
    <row r="42" spans="12:14" ht="12">
      <c r="L42" s="48"/>
      <c r="M42" s="48"/>
      <c r="N42" s="48"/>
    </row>
    <row r="43" spans="1:16" ht="12.75">
      <c r="A43" s="77"/>
      <c r="K43" t="s">
        <v>97</v>
      </c>
      <c r="L43" s="48">
        <f>AVERAGE(L36:L40)</f>
        <v>0.030959999999999998</v>
      </c>
      <c r="M43" s="48">
        <f>AVERAGE(M36:M40)</f>
        <v>0.04308</v>
      </c>
      <c r="N43" s="48">
        <f>AVERAGE(N36:N40)</f>
        <v>0.05152000000000001</v>
      </c>
      <c r="O43" s="48">
        <f>AVERAGE(O36:O40)</f>
        <v>0.04032</v>
      </c>
      <c r="P43" s="48">
        <f>AVERAGE(P36:P41)</f>
        <v>0.055799999999999995</v>
      </c>
    </row>
    <row r="44" ht="12.75">
      <c r="A44" s="1"/>
    </row>
    <row r="45" ht="12.75">
      <c r="A45" s="1" t="s">
        <v>234</v>
      </c>
    </row>
    <row r="46" ht="12.75">
      <c r="A46" s="77" t="s">
        <v>31</v>
      </c>
    </row>
    <row r="47" ht="12.75">
      <c r="A47" s="77"/>
    </row>
  </sheetData>
  <printOptions/>
  <pageMargins left="1.05" right="0.75" top="1" bottom="1" header="0.42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G. Hill</dc:creator>
  <cp:keywords/>
  <dc:description/>
  <cp:lastModifiedBy>Office of the Attorney General</cp:lastModifiedBy>
  <cp:lastPrinted>2005-08-24T23:21:41Z</cp:lastPrinted>
  <dcterms:created xsi:type="dcterms:W3CDTF">1999-05-05T16:36:35Z</dcterms:created>
  <dcterms:modified xsi:type="dcterms:W3CDTF">2005-08-24T23:46:27Z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050482</vt:lpwstr>
  </property>
  <property fmtid="{D5CDD505-2E9C-101B-9397-08002B2CF9AE}" pid="6" name="IsConfidenti">
    <vt:lpwstr>0</vt:lpwstr>
  </property>
  <property fmtid="{D5CDD505-2E9C-101B-9397-08002B2CF9AE}" pid="7" name="Dat">
    <vt:lpwstr>2005-08-26T00:00:00Z</vt:lpwstr>
  </property>
  <property fmtid="{D5CDD505-2E9C-101B-9397-08002B2CF9AE}" pid="8" name="CaseTy">
    <vt:lpwstr>Tariff Revision</vt:lpwstr>
  </property>
  <property fmtid="{D5CDD505-2E9C-101B-9397-08002B2CF9AE}" pid="9" name="OpenedDa">
    <vt:lpwstr>2005-03-30T00:00:00Z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