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LNG Tacoma LNG\FILED\Initial (Filed 5-25-23)\John Taylor\Work Papers\"/>
    </mc:Choice>
  </mc:AlternateContent>
  <bookViews>
    <workbookView xWindow="0" yWindow="0" windowWidth="28800" windowHeight="12300"/>
  </bookViews>
  <sheets>
    <sheet name="Rate Design" sheetId="1" r:id="rId1"/>
    <sheet name="Rate Spread (Blocks)" sheetId="2" r:id="rId2"/>
    <sheet name="Rate Spread" sheetId="3" r:id="rId3"/>
  </sheets>
  <definedNames>
    <definedName name="_xlnm.Print_Area" localSheetId="0">'Rate Design'!$A$1:$G$36</definedName>
    <definedName name="_xlnm.Print_Area" localSheetId="2">'Rate Spread'!$A$1:$E$22</definedName>
    <definedName name="_xlnm.Print_Area" localSheetId="1">'Rate Spread (Blocks)'!$A$1:$I$36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G36" i="2" s="1"/>
  <c r="E15" i="3"/>
  <c r="E14" i="3"/>
  <c r="A14" i="3"/>
  <c r="A15" i="3" s="1"/>
  <c r="A16" i="3" s="1"/>
  <c r="A17" i="3" s="1"/>
  <c r="A18" i="3" s="1"/>
  <c r="A19" i="3" s="1"/>
  <c r="E13" i="3"/>
  <c r="G15" i="2" s="1"/>
  <c r="A13" i="3"/>
  <c r="E12" i="3"/>
  <c r="D12" i="1" s="1"/>
  <c r="F12" i="1" s="1"/>
  <c r="A12" i="3"/>
  <c r="F35" i="2"/>
  <c r="F33" i="2"/>
  <c r="F31" i="2"/>
  <c r="G26" i="2"/>
  <c r="F24" i="2"/>
  <c r="D26" i="2"/>
  <c r="G21" i="2"/>
  <c r="F20" i="2"/>
  <c r="F19" i="2"/>
  <c r="F14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F12" i="2"/>
  <c r="A12" i="2"/>
  <c r="E34" i="1"/>
  <c r="E33" i="1"/>
  <c r="E32" i="1"/>
  <c r="E31" i="1"/>
  <c r="E30" i="1"/>
  <c r="E29" i="1"/>
  <c r="E25" i="1"/>
  <c r="E22" i="1"/>
  <c r="E21" i="1"/>
  <c r="E20" i="1"/>
  <c r="E17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15" i="1"/>
  <c r="A15" i="1"/>
  <c r="A12" i="1"/>
  <c r="A13" i="1" s="1"/>
  <c r="A14" i="1" s="1"/>
  <c r="F15" i="2" l="1"/>
  <c r="H15" i="2" s="1"/>
  <c r="F26" i="2"/>
  <c r="H26" i="2" s="1"/>
  <c r="H12" i="2"/>
  <c r="I12" i="2" s="1"/>
  <c r="D17" i="3"/>
  <c r="E11" i="3"/>
  <c r="H13" i="2"/>
  <c r="F13" i="2"/>
  <c r="E16" i="1"/>
  <c r="D15" i="2"/>
  <c r="D21" i="2"/>
  <c r="F18" i="2"/>
  <c r="F25" i="2"/>
  <c r="E26" i="1"/>
  <c r="F30" i="2"/>
  <c r="F32" i="2"/>
  <c r="F34" i="2"/>
  <c r="D36" i="2"/>
  <c r="D15" i="1" l="1"/>
  <c r="F15" i="1" s="1"/>
  <c r="E36" i="1"/>
  <c r="H24" i="2"/>
  <c r="I24" i="2" s="1"/>
  <c r="D11" i="1"/>
  <c r="E17" i="3"/>
  <c r="F36" i="2"/>
  <c r="H36" i="2" s="1"/>
  <c r="H35" i="2" s="1"/>
  <c r="I35" i="2" s="1"/>
  <c r="H25" i="2"/>
  <c r="I25" i="2"/>
  <c r="D26" i="1" s="1"/>
  <c r="F26" i="1" s="1"/>
  <c r="F21" i="2"/>
  <c r="I13" i="2"/>
  <c r="D16" i="1" s="1"/>
  <c r="F16" i="1" s="1"/>
  <c r="H14" i="2"/>
  <c r="I14" i="2" s="1"/>
  <c r="D17" i="1" s="1"/>
  <c r="F17" i="1" s="1"/>
  <c r="F11" i="1" l="1"/>
  <c r="G11" i="1" s="1"/>
  <c r="H20" i="2"/>
  <c r="I20" i="2" s="1"/>
  <c r="D22" i="1" s="1"/>
  <c r="F22" i="1" s="1"/>
  <c r="H18" i="2"/>
  <c r="I18" i="2" s="1"/>
  <c r="H19" i="2"/>
  <c r="I19" i="2" s="1"/>
  <c r="D21" i="1" s="1"/>
  <c r="F21" i="1" s="1"/>
  <c r="H21" i="2"/>
  <c r="D34" i="1"/>
  <c r="F34" i="1" s="1"/>
  <c r="H32" i="2"/>
  <c r="I32" i="2" s="1"/>
  <c r="D31" i="1" s="1"/>
  <c r="F31" i="1" s="1"/>
  <c r="H31" i="2"/>
  <c r="I31" i="2" s="1"/>
  <c r="D30" i="1" s="1"/>
  <c r="F30" i="1" s="1"/>
  <c r="H34" i="2"/>
  <c r="I34" i="2" s="1"/>
  <c r="D33" i="1" s="1"/>
  <c r="F33" i="1" s="1"/>
  <c r="H33" i="2"/>
  <c r="I33" i="2" s="1"/>
  <c r="D32" i="1" s="1"/>
  <c r="F32" i="1" s="1"/>
  <c r="H30" i="2"/>
  <c r="I30" i="2" s="1"/>
  <c r="I26" i="2"/>
  <c r="D25" i="1"/>
  <c r="F25" i="1" s="1"/>
  <c r="I15" i="2"/>
  <c r="D29" i="1" l="1"/>
  <c r="F29" i="1" s="1"/>
  <c r="I36" i="2"/>
  <c r="I21" i="2"/>
  <c r="D20" i="1"/>
  <c r="F20" i="1" l="1"/>
  <c r="D36" i="1"/>
</calcChain>
</file>

<file path=xl/sharedStrings.xml><?xml version="1.0" encoding="utf-8"?>
<sst xmlns="http://schemas.openxmlformats.org/spreadsheetml/2006/main" count="133" uniqueCount="68">
  <si>
    <t>Puget Sound Energy</t>
  </si>
  <si>
    <t>2023 Gas Schedule 141LNG LNG Tracker Filing</t>
  </si>
  <si>
    <t>Calculation of Schedule 141LNG Rates</t>
  </si>
  <si>
    <t>Proposed Rates Effective November 1, 2023</t>
  </si>
  <si>
    <t>Sch. 141LNG</t>
  </si>
  <si>
    <t>UG-220067</t>
  </si>
  <si>
    <t>Sch. 16</t>
  </si>
  <si>
    <t>Allocated</t>
  </si>
  <si>
    <t>Therms</t>
  </si>
  <si>
    <t>Proposed</t>
  </si>
  <si>
    <t>Rate per</t>
  </si>
  <si>
    <t>Line</t>
  </si>
  <si>
    <t>Revenue</t>
  </si>
  <si>
    <t>Jan. 2024 -</t>
  </si>
  <si>
    <t>Mantle</t>
  </si>
  <si>
    <t>No.</t>
  </si>
  <si>
    <t>Rate Class</t>
  </si>
  <si>
    <t>Schedules</t>
  </si>
  <si>
    <t>Requirement</t>
  </si>
  <si>
    <t>Dec. 2024</t>
  </si>
  <si>
    <t>Therm</t>
  </si>
  <si>
    <t>TOTAL</t>
  </si>
  <si>
    <t>(a)</t>
  </si>
  <si>
    <t>(b)</t>
  </si>
  <si>
    <t>(c)</t>
  </si>
  <si>
    <t>(d)</t>
  </si>
  <si>
    <t>(e) = (c) / (d)</t>
  </si>
  <si>
    <t>(f) = (e) * 19</t>
  </si>
  <si>
    <t>Residential</t>
  </si>
  <si>
    <t>16, 23, 53</t>
  </si>
  <si>
    <t>Commercial &amp; Industrial</t>
  </si>
  <si>
    <t>Large Volume</t>
  </si>
  <si>
    <t>First 900 therms</t>
  </si>
  <si>
    <t>Next 4,100 therms</t>
  </si>
  <si>
    <t>Over 5,000 therms</t>
  </si>
  <si>
    <t>Interruptible</t>
  </si>
  <si>
    <t>First 25,000 therms</t>
  </si>
  <si>
    <t>Next 25,000 therms</t>
  </si>
  <si>
    <t>Over 50,000 therms</t>
  </si>
  <si>
    <t>Limited Interruptible</t>
  </si>
  <si>
    <t>First 10,000 therms</t>
  </si>
  <si>
    <t>Over 10,000 therms</t>
  </si>
  <si>
    <t>Non-exclusive Interruptible</t>
  </si>
  <si>
    <t>Next 50,000 therms</t>
  </si>
  <si>
    <t>Next 100,000 therms</t>
  </si>
  <si>
    <t>Next 300,000 therms</t>
  </si>
  <si>
    <t>Over 500,000 therms</t>
  </si>
  <si>
    <t>Total</t>
  </si>
  <si>
    <t>Allocation of Revenue Requirement to Rate Blocks</t>
  </si>
  <si>
    <t>Base Rate</t>
  </si>
  <si>
    <t>% of Margin</t>
  </si>
  <si>
    <t>Rate Schedule</t>
  </si>
  <si>
    <t>Base Rates</t>
  </si>
  <si>
    <t>Change</t>
  </si>
  <si>
    <t>(e)</t>
  </si>
  <si>
    <t>(f)</t>
  </si>
  <si>
    <t>(g)</t>
  </si>
  <si>
    <t>Schedule 41 - Large Volume</t>
  </si>
  <si>
    <t>Schedule 85 - Interruptible</t>
  </si>
  <si>
    <t>Schedule 86 - Limited Interruptible</t>
  </si>
  <si>
    <t>Schedule 87 - Non-Exclusive Interruptible</t>
  </si>
  <si>
    <t>Allocation of Revenue Requirement</t>
  </si>
  <si>
    <t>Incremental</t>
  </si>
  <si>
    <t>Winter Sales</t>
  </si>
  <si>
    <t>Allocator</t>
  </si>
  <si>
    <r>
      <t xml:space="preserve">Requirement </t>
    </r>
    <r>
      <rPr>
        <b/>
        <vertAlign val="superscript"/>
        <sz val="10"/>
        <color theme="1"/>
        <rFont val="Arial"/>
        <family val="2"/>
      </rPr>
      <t>(1)</t>
    </r>
  </si>
  <si>
    <t>Proposed Revenue Requirement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</si>
  <si>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Allocated based on Incremental Winter Sales from most recent approved cost of service study (UG-220067).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</si>
</sst>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/>
    <xf numFmtId="44" fontId="2" fillId="0" borderId="0" xfId="0" applyNumberFormat="1" applyFont="1" applyFill="1"/>
    <xf numFmtId="0" fontId="2" fillId="0" borderId="0" xfId="0" applyFont="1" applyFill="1"/>
    <xf numFmtId="164" fontId="2" fillId="0" borderId="2" xfId="0" applyNumberFormat="1" applyFont="1" applyFill="1" applyBorder="1"/>
    <xf numFmtId="3" fontId="2" fillId="0" borderId="2" xfId="0" applyNumberFormat="1" applyFont="1" applyBorder="1"/>
    <xf numFmtId="0" fontId="2" fillId="0" borderId="0" xfId="0" applyFont="1" applyFill="1" applyAlignment="1"/>
    <xf numFmtId="0" fontId="2" fillId="0" borderId="0" xfId="0" quotePrefix="1" applyFont="1" applyFill="1" applyBorder="1" applyAlignment="1">
      <alignment horizontal="center"/>
    </xf>
    <xf numFmtId="3" fontId="2" fillId="0" borderId="2" xfId="0" applyNumberFormat="1" applyFont="1" applyFill="1" applyBorder="1"/>
    <xf numFmtId="164" fontId="2" fillId="0" borderId="0" xfId="0" applyNumberFormat="1" applyFont="1" applyFill="1"/>
    <xf numFmtId="10" fontId="2" fillId="0" borderId="2" xfId="0" applyNumberFormat="1" applyFont="1" applyBorder="1" applyAlignment="1">
      <alignment horizontal="center"/>
    </xf>
    <xf numFmtId="167" fontId="2" fillId="0" borderId="0" xfId="0" applyNumberFormat="1" applyFont="1" applyFill="1"/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166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1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90" zoomScaleNormal="90" workbookViewId="0">
      <selection activeCell="I25" sqref="I25"/>
    </sheetView>
  </sheetViews>
  <sheetFormatPr defaultColWidth="9.140625" defaultRowHeight="12.75" x14ac:dyDescent="0.2"/>
  <cols>
    <col min="1" max="1" width="4.42578125" style="3" customWidth="1"/>
    <col min="2" max="2" width="27.5703125" style="3" customWidth="1"/>
    <col min="3" max="3" width="11.5703125" style="3" customWidth="1"/>
    <col min="4" max="5" width="15.7109375" style="3" customWidth="1"/>
    <col min="6" max="7" width="13.42578125" style="3" customWidth="1"/>
    <col min="8" max="16384" width="9.140625" style="3"/>
  </cols>
  <sheetData>
    <row r="1" spans="1:7" ht="15" customHeight="1" x14ac:dyDescent="0.2">
      <c r="A1" s="1" t="s">
        <v>0</v>
      </c>
      <c r="B1" s="2"/>
      <c r="C1" s="2"/>
    </row>
    <row r="2" spans="1:7" ht="15" customHeight="1" x14ac:dyDescent="0.2">
      <c r="A2" s="1" t="s">
        <v>1</v>
      </c>
      <c r="B2" s="4"/>
      <c r="C2" s="4"/>
    </row>
    <row r="3" spans="1:7" ht="15" customHeight="1" x14ac:dyDescent="0.2">
      <c r="A3" s="1" t="s">
        <v>2</v>
      </c>
      <c r="B3" s="2"/>
      <c r="C3" s="2"/>
    </row>
    <row r="4" spans="1:7" ht="15" customHeight="1" x14ac:dyDescent="0.2">
      <c r="A4" s="1" t="s">
        <v>3</v>
      </c>
      <c r="B4" s="2"/>
      <c r="C4" s="2"/>
    </row>
    <row r="5" spans="1:7" ht="15" customHeight="1" x14ac:dyDescent="0.2">
      <c r="A5" s="1"/>
      <c r="B5" s="2"/>
      <c r="C5" s="2"/>
    </row>
    <row r="6" spans="1:7" ht="15" customHeight="1" x14ac:dyDescent="0.2">
      <c r="A6" s="5"/>
      <c r="B6" s="5"/>
      <c r="C6" s="5"/>
      <c r="D6" s="6" t="s">
        <v>4</v>
      </c>
      <c r="E6" s="7" t="s">
        <v>5</v>
      </c>
      <c r="F6" s="5"/>
      <c r="G6" s="8" t="s">
        <v>6</v>
      </c>
    </row>
    <row r="7" spans="1:7" ht="15" customHeight="1" x14ac:dyDescent="0.2">
      <c r="A7" s="5"/>
      <c r="B7" s="9"/>
      <c r="C7" s="9"/>
      <c r="D7" s="7" t="s">
        <v>7</v>
      </c>
      <c r="E7" s="7" t="s">
        <v>8</v>
      </c>
      <c r="F7" s="9" t="s">
        <v>9</v>
      </c>
      <c r="G7" s="7" t="s">
        <v>10</v>
      </c>
    </row>
    <row r="8" spans="1:7" ht="15" customHeight="1" x14ac:dyDescent="0.2">
      <c r="A8" s="6" t="s">
        <v>11</v>
      </c>
      <c r="B8" s="9"/>
      <c r="C8" s="9"/>
      <c r="D8" s="7" t="s">
        <v>12</v>
      </c>
      <c r="E8" s="6" t="s">
        <v>13</v>
      </c>
      <c r="F8" s="9" t="s">
        <v>10</v>
      </c>
      <c r="G8" s="7" t="s">
        <v>14</v>
      </c>
    </row>
    <row r="9" spans="1:7" ht="15" customHeight="1" x14ac:dyDescent="0.2">
      <c r="A9" s="10" t="s">
        <v>15</v>
      </c>
      <c r="B9" s="10" t="s">
        <v>16</v>
      </c>
      <c r="C9" s="10" t="s">
        <v>17</v>
      </c>
      <c r="D9" s="11" t="s">
        <v>18</v>
      </c>
      <c r="E9" s="11" t="s">
        <v>19</v>
      </c>
      <c r="F9" s="10" t="s">
        <v>20</v>
      </c>
      <c r="G9" s="10" t="s">
        <v>21</v>
      </c>
    </row>
    <row r="10" spans="1:7" ht="15" customHeight="1" x14ac:dyDescent="0.2">
      <c r="B10" s="4" t="s">
        <v>22</v>
      </c>
      <c r="C10" s="4" t="s">
        <v>23</v>
      </c>
      <c r="D10" s="12" t="s">
        <v>24</v>
      </c>
      <c r="E10" s="13" t="s">
        <v>25</v>
      </c>
      <c r="F10" s="13" t="s">
        <v>26</v>
      </c>
      <c r="G10" s="13" t="s">
        <v>27</v>
      </c>
    </row>
    <row r="11" spans="1:7" ht="15" customHeight="1" x14ac:dyDescent="0.2">
      <c r="A11" s="4">
        <v>1</v>
      </c>
      <c r="B11" s="3" t="s">
        <v>28</v>
      </c>
      <c r="C11" s="4" t="s">
        <v>29</v>
      </c>
      <c r="D11" s="22">
        <f>'Rate Spread'!E11</f>
        <v>33364877.427387383</v>
      </c>
      <c r="E11" s="26">
        <v>639473381</v>
      </c>
      <c r="F11" s="14">
        <f>ROUND(D11/E11,5)</f>
        <v>5.2179999999999997E-2</v>
      </c>
      <c r="G11" s="15">
        <f>ROUND(F11*19,2)</f>
        <v>0.99</v>
      </c>
    </row>
    <row r="12" spans="1:7" ht="15" customHeight="1" x14ac:dyDescent="0.2">
      <c r="A12" s="4">
        <f>A11+1</f>
        <v>2</v>
      </c>
      <c r="B12" s="3" t="s">
        <v>30</v>
      </c>
      <c r="C12" s="4">
        <v>31</v>
      </c>
      <c r="D12" s="22">
        <f>'Rate Spread'!E12</f>
        <v>10894556.635698877</v>
      </c>
      <c r="E12" s="26">
        <v>245936243</v>
      </c>
      <c r="F12" s="14">
        <f t="shared" ref="F12" si="0">ROUND(D12/E12,5)</f>
        <v>4.4299999999999999E-2</v>
      </c>
      <c r="G12" s="16"/>
    </row>
    <row r="13" spans="1:7" ht="15" customHeight="1" x14ac:dyDescent="0.2">
      <c r="A13" s="4">
        <f t="shared" ref="A13:A36" si="1">A12+1</f>
        <v>3</v>
      </c>
      <c r="C13" s="4"/>
      <c r="D13" s="22"/>
      <c r="E13" s="26"/>
      <c r="F13" s="14"/>
      <c r="G13" s="16"/>
    </row>
    <row r="14" spans="1:7" ht="15" customHeight="1" x14ac:dyDescent="0.2">
      <c r="A14" s="4">
        <f t="shared" si="1"/>
        <v>4</v>
      </c>
      <c r="B14" s="3" t="s">
        <v>31</v>
      </c>
      <c r="C14" s="4">
        <v>41</v>
      </c>
      <c r="D14" s="22"/>
      <c r="E14" s="26"/>
      <c r="F14" s="14"/>
      <c r="G14" s="16"/>
    </row>
    <row r="15" spans="1:7" ht="15" customHeight="1" x14ac:dyDescent="0.2">
      <c r="A15" s="4">
        <f t="shared" si="1"/>
        <v>5</v>
      </c>
      <c r="B15" s="3" t="s">
        <v>32</v>
      </c>
      <c r="C15" s="4">
        <v>41</v>
      </c>
      <c r="D15" s="22">
        <f>'Rate Spread (Blocks)'!I12</f>
        <v>430048.21004504472</v>
      </c>
      <c r="E15" s="26">
        <f>'Rate Spread (Blocks)'!D12</f>
        <v>13204762.568891775</v>
      </c>
      <c r="F15" s="14">
        <f t="shared" ref="F15:F17" si="2">ROUND(D15/E15,5)</f>
        <v>3.2570000000000002E-2</v>
      </c>
      <c r="G15" s="16"/>
    </row>
    <row r="16" spans="1:7" ht="15" customHeight="1" x14ac:dyDescent="0.2">
      <c r="A16" s="4">
        <f t="shared" si="1"/>
        <v>6</v>
      </c>
      <c r="B16" s="3" t="s">
        <v>33</v>
      </c>
      <c r="C16" s="4">
        <v>41</v>
      </c>
      <c r="D16" s="22">
        <f>'Rate Spread (Blocks)'!I13</f>
        <v>963689.49012202222</v>
      </c>
      <c r="E16" s="26">
        <f>'Rate Spread (Blocks)'!D13</f>
        <v>29590375.242762744</v>
      </c>
      <c r="F16" s="14">
        <f t="shared" si="2"/>
        <v>3.2570000000000002E-2</v>
      </c>
      <c r="G16" s="16"/>
    </row>
    <row r="17" spans="1:7" ht="15" customHeight="1" x14ac:dyDescent="0.2">
      <c r="A17" s="4">
        <f t="shared" si="1"/>
        <v>7</v>
      </c>
      <c r="B17" s="3" t="s">
        <v>34</v>
      </c>
      <c r="C17" s="4">
        <v>41</v>
      </c>
      <c r="D17" s="22">
        <f>'Rate Spread (Blocks)'!I14</f>
        <v>678466.9944236686</v>
      </c>
      <c r="E17" s="26">
        <f>'Rate Spread (Blocks)'!D14</f>
        <v>24095403.188345484</v>
      </c>
      <c r="F17" s="14">
        <f t="shared" si="2"/>
        <v>2.8160000000000001E-2</v>
      </c>
      <c r="G17" s="16"/>
    </row>
    <row r="18" spans="1:7" ht="15" customHeight="1" x14ac:dyDescent="0.2">
      <c r="A18" s="4">
        <f t="shared" si="1"/>
        <v>8</v>
      </c>
      <c r="C18" s="4"/>
      <c r="D18" s="22"/>
      <c r="E18" s="26"/>
      <c r="F18" s="14"/>
      <c r="G18" s="16"/>
    </row>
    <row r="19" spans="1:7" ht="15" customHeight="1" x14ac:dyDescent="0.2">
      <c r="A19" s="4">
        <f t="shared" si="1"/>
        <v>9</v>
      </c>
      <c r="B19" s="3" t="s">
        <v>35</v>
      </c>
      <c r="C19" s="4">
        <v>85</v>
      </c>
      <c r="D19" s="22"/>
      <c r="E19" s="26"/>
      <c r="F19" s="14"/>
      <c r="G19" s="16"/>
    </row>
    <row r="20" spans="1:7" ht="15" customHeight="1" x14ac:dyDescent="0.2">
      <c r="A20" s="4">
        <f t="shared" si="1"/>
        <v>10</v>
      </c>
      <c r="B20" s="3" t="s">
        <v>36</v>
      </c>
      <c r="C20" s="4">
        <v>85</v>
      </c>
      <c r="D20" s="22">
        <f>'Rate Spread (Blocks)'!I18</f>
        <v>360717.8541450341</v>
      </c>
      <c r="E20" s="26">
        <f>'Rate Spread (Blocks)'!D18</f>
        <v>4513873.5650214646</v>
      </c>
      <c r="F20" s="14">
        <f t="shared" ref="F20:F22" si="3">ROUND(D20/E20,5)</f>
        <v>7.9909999999999995E-2</v>
      </c>
      <c r="G20" s="16"/>
    </row>
    <row r="21" spans="1:7" ht="15" customHeight="1" x14ac:dyDescent="0.2">
      <c r="A21" s="4">
        <f t="shared" si="1"/>
        <v>11</v>
      </c>
      <c r="B21" s="3" t="s">
        <v>37</v>
      </c>
      <c r="C21" s="4">
        <v>85</v>
      </c>
      <c r="D21" s="22">
        <f>'Rate Spread (Blocks)'!I19</f>
        <v>94132.083145851575</v>
      </c>
      <c r="E21" s="26">
        <f>'Rate Spread (Blocks)'!D19</f>
        <v>2478939.5524124894</v>
      </c>
      <c r="F21" s="14">
        <f t="shared" si="3"/>
        <v>3.7969999999999997E-2</v>
      </c>
      <c r="G21" s="16"/>
    </row>
    <row r="22" spans="1:7" ht="15" customHeight="1" x14ac:dyDescent="0.2">
      <c r="A22" s="4">
        <f t="shared" si="1"/>
        <v>12</v>
      </c>
      <c r="B22" s="3" t="s">
        <v>38</v>
      </c>
      <c r="C22" s="4">
        <v>85</v>
      </c>
      <c r="D22" s="22">
        <f>'Rate Spread (Blocks)'!I20</f>
        <v>136323.86178660911</v>
      </c>
      <c r="E22" s="26">
        <f>'Rate Spread (Blocks)'!D20</f>
        <v>3752564.882566046</v>
      </c>
      <c r="F22" s="14">
        <f t="shared" si="3"/>
        <v>3.6330000000000001E-2</v>
      </c>
      <c r="G22" s="16"/>
    </row>
    <row r="23" spans="1:7" ht="15" customHeight="1" x14ac:dyDescent="0.2">
      <c r="A23" s="4">
        <f t="shared" si="1"/>
        <v>13</v>
      </c>
      <c r="C23" s="4"/>
      <c r="D23" s="22"/>
      <c r="E23" s="26"/>
      <c r="F23" s="14"/>
      <c r="G23" s="16"/>
    </row>
    <row r="24" spans="1:7" ht="15" customHeight="1" x14ac:dyDescent="0.2">
      <c r="A24" s="4">
        <f t="shared" si="1"/>
        <v>14</v>
      </c>
      <c r="B24" s="3" t="s">
        <v>39</v>
      </c>
      <c r="C24" s="4">
        <v>86</v>
      </c>
      <c r="D24" s="22"/>
      <c r="E24" s="26"/>
      <c r="F24" s="14"/>
      <c r="G24" s="16"/>
    </row>
    <row r="25" spans="1:7" ht="15" customHeight="1" x14ac:dyDescent="0.2">
      <c r="A25" s="4">
        <f t="shared" si="1"/>
        <v>15</v>
      </c>
      <c r="B25" s="3" t="s">
        <v>40</v>
      </c>
      <c r="C25" s="4">
        <v>86</v>
      </c>
      <c r="D25" s="22">
        <f>'Rate Spread (Blocks)'!I24</f>
        <v>61464.729944850551</v>
      </c>
      <c r="E25" s="26">
        <f>'Rate Spread (Blocks)'!D24</f>
        <v>1009396.7998300681</v>
      </c>
      <c r="F25" s="14">
        <f t="shared" ref="F25:F26" si="4">ROUND(D25/E25,5)</f>
        <v>6.089E-2</v>
      </c>
      <c r="G25" s="16"/>
    </row>
    <row r="26" spans="1:7" ht="15" customHeight="1" x14ac:dyDescent="0.2">
      <c r="A26" s="4">
        <f t="shared" si="1"/>
        <v>16</v>
      </c>
      <c r="B26" s="3" t="s">
        <v>41</v>
      </c>
      <c r="C26" s="4">
        <v>86</v>
      </c>
      <c r="D26" s="22">
        <f>'Rate Spread (Blocks)'!I25</f>
        <v>193392.62904504448</v>
      </c>
      <c r="E26" s="26">
        <f>'Rate Spread (Blocks)'!D25</f>
        <v>4480011.2001699321</v>
      </c>
      <c r="F26" s="14">
        <f t="shared" si="4"/>
        <v>4.317E-2</v>
      </c>
      <c r="G26" s="16"/>
    </row>
    <row r="27" spans="1:7" ht="15" customHeight="1" x14ac:dyDescent="0.2">
      <c r="A27" s="4">
        <f t="shared" si="1"/>
        <v>17</v>
      </c>
      <c r="C27" s="4"/>
      <c r="D27" s="22"/>
      <c r="E27" s="26"/>
      <c r="F27" s="14"/>
      <c r="G27" s="16"/>
    </row>
    <row r="28" spans="1:7" ht="15" customHeight="1" x14ac:dyDescent="0.2">
      <c r="A28" s="4">
        <f t="shared" si="1"/>
        <v>18</v>
      </c>
      <c r="B28" s="3" t="s">
        <v>42</v>
      </c>
      <c r="C28" s="4">
        <v>87</v>
      </c>
      <c r="D28" s="22"/>
      <c r="E28" s="26"/>
      <c r="F28" s="14"/>
      <c r="G28" s="16"/>
    </row>
    <row r="29" spans="1:7" ht="15" customHeight="1" x14ac:dyDescent="0.2">
      <c r="A29" s="4">
        <f t="shared" si="1"/>
        <v>19</v>
      </c>
      <c r="B29" s="3" t="s">
        <v>36</v>
      </c>
      <c r="C29" s="4">
        <v>87</v>
      </c>
      <c r="D29" s="22">
        <f>'Rate Spread (Blocks)'!I30</f>
        <v>138553.04239954602</v>
      </c>
      <c r="E29" s="26">
        <f>'Rate Spread (Blocks)'!D30</f>
        <v>1512193</v>
      </c>
      <c r="F29" s="14">
        <f>ROUND(D29/E29,5)</f>
        <v>9.1619999999999993E-2</v>
      </c>
      <c r="G29" s="16"/>
    </row>
    <row r="30" spans="1:7" ht="15" customHeight="1" x14ac:dyDescent="0.2">
      <c r="A30" s="4">
        <f t="shared" si="1"/>
        <v>20</v>
      </c>
      <c r="B30" s="3" t="s">
        <v>37</v>
      </c>
      <c r="C30" s="4">
        <v>87</v>
      </c>
      <c r="D30" s="22">
        <f>'Rate Spread (Blocks)'!I31</f>
        <v>77401.652934767626</v>
      </c>
      <c r="E30" s="26">
        <f>'Rate Spread (Blocks)'!D31</f>
        <v>1398016.115</v>
      </c>
      <c r="F30" s="14">
        <f t="shared" ref="F30:F34" si="5">ROUND(D30/E30,5)</f>
        <v>5.5370000000000003E-2</v>
      </c>
      <c r="G30" s="16"/>
    </row>
    <row r="31" spans="1:7" ht="15" customHeight="1" x14ac:dyDescent="0.2">
      <c r="A31" s="4">
        <f t="shared" si="1"/>
        <v>21</v>
      </c>
      <c r="B31" s="3" t="s">
        <v>43</v>
      </c>
      <c r="C31" s="4">
        <v>87</v>
      </c>
      <c r="D31" s="22">
        <f>'Rate Spread (Blocks)'!I32</f>
        <v>81633.63493980217</v>
      </c>
      <c r="E31" s="26">
        <f>'Rate Spread (Blocks)'!D32</f>
        <v>2316890.0959999999</v>
      </c>
      <c r="F31" s="14">
        <f t="shared" si="5"/>
        <v>3.5229999999999997E-2</v>
      </c>
      <c r="G31" s="16"/>
    </row>
    <row r="32" spans="1:7" ht="15" customHeight="1" x14ac:dyDescent="0.2">
      <c r="A32" s="4">
        <f t="shared" si="1"/>
        <v>22</v>
      </c>
      <c r="B32" s="3" t="s">
        <v>44</v>
      </c>
      <c r="C32" s="4">
        <v>87</v>
      </c>
      <c r="D32" s="22">
        <f>'Rate Spread (Blocks)'!I33</f>
        <v>68793.326509129329</v>
      </c>
      <c r="E32" s="26">
        <f>'Rate Spread (Blocks)'!D33</f>
        <v>3045256.878</v>
      </c>
      <c r="F32" s="14">
        <f t="shared" si="5"/>
        <v>2.2589999999999999E-2</v>
      </c>
      <c r="G32" s="16"/>
    </row>
    <row r="33" spans="1:7" ht="15" customHeight="1" x14ac:dyDescent="0.2">
      <c r="A33" s="4">
        <f t="shared" si="1"/>
        <v>23</v>
      </c>
      <c r="B33" s="3" t="s">
        <v>45</v>
      </c>
      <c r="C33" s="4">
        <v>87</v>
      </c>
      <c r="D33" s="22">
        <f>'Rate Spread (Blocks)'!I34</f>
        <v>61656.878656909059</v>
      </c>
      <c r="E33" s="26">
        <f>'Rate Spread (Blocks)'!D34</f>
        <v>3792042.2029999997</v>
      </c>
      <c r="F33" s="14">
        <f t="shared" si="5"/>
        <v>1.626E-2</v>
      </c>
      <c r="G33" s="16"/>
    </row>
    <row r="34" spans="1:7" ht="15" customHeight="1" x14ac:dyDescent="0.2">
      <c r="A34" s="4">
        <f t="shared" si="1"/>
        <v>24</v>
      </c>
      <c r="B34" s="3" t="s">
        <v>46</v>
      </c>
      <c r="C34" s="4">
        <v>87</v>
      </c>
      <c r="D34" s="22">
        <f>'Rate Spread (Blocks)'!I35</f>
        <v>30228.341846348696</v>
      </c>
      <c r="E34" s="26">
        <f>'Rate Spread (Blocks)'!D35</f>
        <v>9755057.4703552071</v>
      </c>
      <c r="F34" s="14">
        <f t="shared" si="5"/>
        <v>3.0999999999999999E-3</v>
      </c>
      <c r="G34" s="16"/>
    </row>
    <row r="35" spans="1:7" ht="15" customHeight="1" x14ac:dyDescent="0.2">
      <c r="A35" s="4">
        <f t="shared" si="1"/>
        <v>25</v>
      </c>
      <c r="C35" s="4"/>
      <c r="D35" s="22"/>
      <c r="E35" s="26"/>
      <c r="F35" s="14"/>
      <c r="G35" s="16"/>
    </row>
    <row r="36" spans="1:7" ht="15" customHeight="1" x14ac:dyDescent="0.2">
      <c r="A36" s="4">
        <f t="shared" si="1"/>
        <v>26</v>
      </c>
      <c r="B36" s="3" t="s">
        <v>47</v>
      </c>
      <c r="D36" s="17">
        <f>SUM(D11:D34)</f>
        <v>47635936.793030888</v>
      </c>
      <c r="E36" s="18">
        <f>SUM(E11:E34)</f>
        <v>990354406.76235521</v>
      </c>
      <c r="F36" s="16"/>
      <c r="G36" s="16"/>
    </row>
    <row r="37" spans="1:7" ht="15" customHeight="1" x14ac:dyDescent="0.2">
      <c r="A37" s="4"/>
    </row>
    <row r="38" spans="1:7" x14ac:dyDescent="0.2">
      <c r="C38" s="16"/>
    </row>
  </sheetData>
  <printOptions horizontalCentered="1"/>
  <pageMargins left="0.45" right="0.45" top="0.75" bottom="0.75" header="0.3" footer="0.3"/>
  <pageSetup scale="96" orientation="landscape" blackAndWhite="1" r:id="rId1"/>
  <headerFooter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90" zoomScaleNormal="90" workbookViewId="0">
      <pane ySplit="9" topLeftCell="A10" activePane="bottomLeft" state="frozen"/>
      <selection activeCell="I25" sqref="I25"/>
      <selection pane="bottomLeft" activeCell="D40" sqref="D40"/>
    </sheetView>
  </sheetViews>
  <sheetFormatPr defaultColWidth="8.85546875" defaultRowHeight="12.75" x14ac:dyDescent="0.2"/>
  <cols>
    <col min="1" max="1" width="4.5703125" style="16" customWidth="1"/>
    <col min="2" max="2" width="3.140625" style="16" customWidth="1"/>
    <col min="3" max="3" width="25.7109375" style="16" customWidth="1"/>
    <col min="4" max="4" width="13.7109375" style="16" customWidth="1"/>
    <col min="5" max="5" width="13.28515625" style="16" customWidth="1"/>
    <col min="6" max="7" width="14.5703125" style="16" bestFit="1" customWidth="1"/>
    <col min="8" max="8" width="11.28515625" style="16" bestFit="1" customWidth="1"/>
    <col min="9" max="9" width="13.28515625" style="16" bestFit="1" customWidth="1"/>
    <col min="10" max="10" width="9.42578125" style="16" customWidth="1"/>
    <col min="11" max="16384" width="8.85546875" style="16"/>
  </cols>
  <sheetData>
    <row r="1" spans="1:9" x14ac:dyDescent="0.2">
      <c r="A1" s="1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" t="s">
        <v>1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" t="s">
        <v>48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1" t="s">
        <v>3</v>
      </c>
      <c r="B4" s="12"/>
      <c r="C4" s="12"/>
      <c r="D4" s="12"/>
      <c r="E4" s="12"/>
      <c r="F4" s="12"/>
      <c r="G4" s="12"/>
      <c r="H4" s="12"/>
      <c r="I4" s="12"/>
    </row>
    <row r="5" spans="1:9" x14ac:dyDescent="0.2">
      <c r="A5" s="1"/>
      <c r="B5" s="12"/>
      <c r="C5" s="12"/>
      <c r="D5" s="12"/>
      <c r="E5" s="12"/>
      <c r="F5" s="12"/>
      <c r="G5" s="12"/>
      <c r="H5" s="12"/>
      <c r="I5" s="12"/>
    </row>
    <row r="6" spans="1:9" x14ac:dyDescent="0.2">
      <c r="D6" s="8" t="s">
        <v>5</v>
      </c>
      <c r="I6" s="8" t="s">
        <v>4</v>
      </c>
    </row>
    <row r="7" spans="1:9" x14ac:dyDescent="0.2">
      <c r="A7" s="27"/>
      <c r="B7" s="27"/>
      <c r="C7" s="27"/>
      <c r="D7" s="8" t="s">
        <v>8</v>
      </c>
      <c r="E7" s="8"/>
      <c r="F7" s="8"/>
      <c r="G7" s="8" t="s">
        <v>4</v>
      </c>
      <c r="H7" s="8"/>
      <c r="I7" s="8" t="s">
        <v>7</v>
      </c>
    </row>
    <row r="8" spans="1:9" x14ac:dyDescent="0.2">
      <c r="A8" s="27" t="s">
        <v>11</v>
      </c>
      <c r="B8" s="27"/>
      <c r="C8" s="27"/>
      <c r="D8" s="7" t="s">
        <v>13</v>
      </c>
      <c r="E8" s="8" t="s">
        <v>5</v>
      </c>
      <c r="F8" s="8" t="s">
        <v>49</v>
      </c>
      <c r="G8" s="8" t="s">
        <v>12</v>
      </c>
      <c r="H8" s="8" t="s">
        <v>50</v>
      </c>
      <c r="I8" s="8" t="s">
        <v>12</v>
      </c>
    </row>
    <row r="9" spans="1:9" x14ac:dyDescent="0.2">
      <c r="A9" s="28" t="s">
        <v>15</v>
      </c>
      <c r="B9" s="29" t="s">
        <v>51</v>
      </c>
      <c r="C9" s="29"/>
      <c r="D9" s="8" t="s">
        <v>19</v>
      </c>
      <c r="E9" s="11" t="s">
        <v>52</v>
      </c>
      <c r="F9" s="11" t="s">
        <v>12</v>
      </c>
      <c r="G9" s="11" t="s">
        <v>18</v>
      </c>
      <c r="H9" s="11" t="s">
        <v>53</v>
      </c>
      <c r="I9" s="11" t="s">
        <v>18</v>
      </c>
    </row>
    <row r="10" spans="1:9" x14ac:dyDescent="0.2">
      <c r="A10" s="30"/>
      <c r="B10" s="13"/>
      <c r="C10" s="13" t="s">
        <v>22</v>
      </c>
      <c r="D10" s="31" t="s">
        <v>23</v>
      </c>
      <c r="E10" s="12" t="s">
        <v>24</v>
      </c>
      <c r="F10" s="13" t="s">
        <v>25</v>
      </c>
      <c r="G10" s="20" t="s">
        <v>54</v>
      </c>
      <c r="H10" s="13" t="s">
        <v>55</v>
      </c>
      <c r="I10" s="13" t="s">
        <v>56</v>
      </c>
    </row>
    <row r="11" spans="1:9" x14ac:dyDescent="0.2">
      <c r="A11" s="13">
        <v>1</v>
      </c>
      <c r="B11" s="16" t="s">
        <v>57</v>
      </c>
      <c r="D11" s="26"/>
      <c r="E11" s="32"/>
    </row>
    <row r="12" spans="1:9" x14ac:dyDescent="0.2">
      <c r="A12" s="13">
        <f t="shared" ref="A12:A36" si="0">A11+1</f>
        <v>2</v>
      </c>
      <c r="C12" s="16" t="s">
        <v>32</v>
      </c>
      <c r="D12" s="33">
        <v>13204762.568891775</v>
      </c>
      <c r="E12" s="32">
        <v>0.14030999999999999</v>
      </c>
      <c r="F12" s="22">
        <f t="shared" ref="F12:F14" si="1">ROUND(D12*E12,0)</f>
        <v>1852760</v>
      </c>
      <c r="H12" s="24">
        <f>$G$15/$F$15</f>
        <v>0.23211220559869855</v>
      </c>
      <c r="I12" s="22">
        <f>F12*H12</f>
        <v>430048.21004504472</v>
      </c>
    </row>
    <row r="13" spans="1:9" x14ac:dyDescent="0.2">
      <c r="A13" s="13">
        <f t="shared" si="0"/>
        <v>3</v>
      </c>
      <c r="C13" s="16" t="s">
        <v>33</v>
      </c>
      <c r="D13" s="33">
        <v>29590375.242762744</v>
      </c>
      <c r="E13" s="32">
        <v>0.14030999999999999</v>
      </c>
      <c r="F13" s="22">
        <f t="shared" si="1"/>
        <v>4151826</v>
      </c>
      <c r="H13" s="24">
        <f t="shared" ref="H13:H14" si="2">$G$15/$F$15</f>
        <v>0.23211220559869855</v>
      </c>
      <c r="I13" s="22">
        <f t="shared" ref="I13:I14" si="3">F13*H13</f>
        <v>963689.49012202222</v>
      </c>
    </row>
    <row r="14" spans="1:9" x14ac:dyDescent="0.2">
      <c r="A14" s="13">
        <f t="shared" si="0"/>
        <v>4</v>
      </c>
      <c r="C14" s="16" t="s">
        <v>34</v>
      </c>
      <c r="D14" s="33">
        <v>24095403.188345484</v>
      </c>
      <c r="E14" s="32">
        <v>0.12131</v>
      </c>
      <c r="F14" s="22">
        <f t="shared" si="1"/>
        <v>2923013</v>
      </c>
      <c r="H14" s="24">
        <f t="shared" si="2"/>
        <v>0.23211220559869855</v>
      </c>
      <c r="I14" s="22">
        <f t="shared" si="3"/>
        <v>678466.9944236686</v>
      </c>
    </row>
    <row r="15" spans="1:9" x14ac:dyDescent="0.2">
      <c r="A15" s="13">
        <f t="shared" si="0"/>
        <v>5</v>
      </c>
      <c r="C15" s="16" t="s">
        <v>47</v>
      </c>
      <c r="D15" s="21">
        <f>SUM(D12:D14)</f>
        <v>66890541.000000007</v>
      </c>
      <c r="E15" s="32"/>
      <c r="F15" s="17">
        <f>SUM(F12:F14)</f>
        <v>8927599</v>
      </c>
      <c r="G15" s="22">
        <f>'Rate Spread'!E13</f>
        <v>2072204.6945907355</v>
      </c>
      <c r="H15" s="24">
        <f>$G$15/$F$15</f>
        <v>0.23211220559869855</v>
      </c>
      <c r="I15" s="17">
        <f>SUM(I12:I14)</f>
        <v>2072204.6945907355</v>
      </c>
    </row>
    <row r="16" spans="1:9" x14ac:dyDescent="0.2">
      <c r="A16" s="13">
        <f t="shared" si="0"/>
        <v>6</v>
      </c>
    </row>
    <row r="17" spans="1:10" x14ac:dyDescent="0.2">
      <c r="A17" s="13">
        <f t="shared" si="0"/>
        <v>7</v>
      </c>
      <c r="B17" s="16" t="s">
        <v>58</v>
      </c>
      <c r="D17" s="26"/>
      <c r="E17" s="32"/>
    </row>
    <row r="18" spans="1:10" x14ac:dyDescent="0.2">
      <c r="A18" s="13">
        <f t="shared" si="0"/>
        <v>8</v>
      </c>
      <c r="C18" s="16" t="s">
        <v>36</v>
      </c>
      <c r="D18" s="33">
        <v>4513873.5650214646</v>
      </c>
      <c r="E18" s="32">
        <v>0.12488</v>
      </c>
      <c r="F18" s="22">
        <f t="shared" ref="F18:F20" si="4">ROUND(D18*E18,0)</f>
        <v>563693</v>
      </c>
      <c r="H18" s="24">
        <f t="shared" ref="H18:H20" si="5">$G$21/$F$21</f>
        <v>0.6399189880751297</v>
      </c>
      <c r="I18" s="22">
        <f>F18*H18</f>
        <v>360717.8541450341</v>
      </c>
    </row>
    <row r="19" spans="1:10" x14ac:dyDescent="0.2">
      <c r="A19" s="13">
        <f t="shared" si="0"/>
        <v>9</v>
      </c>
      <c r="C19" s="16" t="s">
        <v>37</v>
      </c>
      <c r="D19" s="33">
        <v>2478939.5524124894</v>
      </c>
      <c r="E19" s="32">
        <v>5.9339999999999997E-2</v>
      </c>
      <c r="F19" s="22">
        <f t="shared" si="4"/>
        <v>147100</v>
      </c>
      <c r="H19" s="24">
        <f t="shared" si="5"/>
        <v>0.6399189880751297</v>
      </c>
      <c r="I19" s="22">
        <f t="shared" ref="I19:I20" si="6">F19*H19</f>
        <v>94132.083145851575</v>
      </c>
    </row>
    <row r="20" spans="1:10" x14ac:dyDescent="0.2">
      <c r="A20" s="13">
        <f t="shared" si="0"/>
        <v>10</v>
      </c>
      <c r="C20" s="16" t="s">
        <v>38</v>
      </c>
      <c r="D20" s="33">
        <v>3752564.882566046</v>
      </c>
      <c r="E20" s="32">
        <v>5.6770000000000001E-2</v>
      </c>
      <c r="F20" s="22">
        <f t="shared" si="4"/>
        <v>213033</v>
      </c>
      <c r="H20" s="24">
        <f t="shared" si="5"/>
        <v>0.6399189880751297</v>
      </c>
      <c r="I20" s="22">
        <f t="shared" si="6"/>
        <v>136323.86178660911</v>
      </c>
    </row>
    <row r="21" spans="1:10" x14ac:dyDescent="0.2">
      <c r="A21" s="13">
        <f t="shared" si="0"/>
        <v>11</v>
      </c>
      <c r="C21" s="16" t="s">
        <v>47</v>
      </c>
      <c r="D21" s="21">
        <f>SUM(D18:D20)</f>
        <v>10745378</v>
      </c>
      <c r="E21" s="32"/>
      <c r="F21" s="17">
        <f>SUM(F18:F20)</f>
        <v>923826</v>
      </c>
      <c r="G21" s="22">
        <f>'Rate Spread'!E14</f>
        <v>591173.79907749477</v>
      </c>
      <c r="H21" s="24">
        <f>$G$21/$F$21</f>
        <v>0.6399189880751297</v>
      </c>
      <c r="I21" s="17">
        <f>SUM(I18:I20)</f>
        <v>591173.79907749477</v>
      </c>
    </row>
    <row r="22" spans="1:10" x14ac:dyDescent="0.2">
      <c r="A22" s="13">
        <f t="shared" si="0"/>
        <v>12</v>
      </c>
    </row>
    <row r="23" spans="1:10" x14ac:dyDescent="0.2">
      <c r="A23" s="13">
        <f t="shared" si="0"/>
        <v>13</v>
      </c>
      <c r="B23" s="16" t="s">
        <v>59</v>
      </c>
      <c r="D23" s="26"/>
      <c r="E23" s="32"/>
    </row>
    <row r="24" spans="1:10" x14ac:dyDescent="0.2">
      <c r="A24" s="13">
        <f t="shared" si="0"/>
        <v>14</v>
      </c>
      <c r="C24" s="16" t="s">
        <v>40</v>
      </c>
      <c r="D24" s="33">
        <v>1009396.7998300681</v>
      </c>
      <c r="E24" s="32">
        <v>0.1951</v>
      </c>
      <c r="F24" s="22">
        <f t="shared" ref="F24:F25" si="7">ROUND(D24*E24,0)</f>
        <v>196933</v>
      </c>
      <c r="H24" s="24">
        <f t="shared" ref="H24:H25" si="8">$G$26/$F$26</f>
        <v>0.31210985434056532</v>
      </c>
      <c r="I24" s="22">
        <f>F24*H24</f>
        <v>61464.729944850551</v>
      </c>
    </row>
    <row r="25" spans="1:10" x14ac:dyDescent="0.2">
      <c r="A25" s="13">
        <f t="shared" si="0"/>
        <v>15</v>
      </c>
      <c r="C25" s="16" t="s">
        <v>41</v>
      </c>
      <c r="D25" s="33">
        <v>4480011.2001699321</v>
      </c>
      <c r="E25" s="32">
        <v>0.13830999999999999</v>
      </c>
      <c r="F25" s="22">
        <f t="shared" si="7"/>
        <v>619630</v>
      </c>
      <c r="H25" s="24">
        <f t="shared" si="8"/>
        <v>0.31210985434056532</v>
      </c>
      <c r="I25" s="22">
        <f>F25*H25</f>
        <v>193392.62904504448</v>
      </c>
    </row>
    <row r="26" spans="1:10" x14ac:dyDescent="0.2">
      <c r="A26" s="13">
        <f t="shared" si="0"/>
        <v>16</v>
      </c>
      <c r="C26" s="16" t="s">
        <v>47</v>
      </c>
      <c r="D26" s="21">
        <f>SUM(D24:D25)</f>
        <v>5489408</v>
      </c>
      <c r="E26" s="32"/>
      <c r="F26" s="17">
        <f>SUM(F24:F25)</f>
        <v>816563</v>
      </c>
      <c r="G26" s="22">
        <f>'Rate Spread'!E15</f>
        <v>254857.35898989503</v>
      </c>
      <c r="H26" s="24">
        <f>$G$26/$F$26</f>
        <v>0.31210985434056532</v>
      </c>
      <c r="I26" s="17">
        <f>SUM(I24:I25)</f>
        <v>254857.35898989503</v>
      </c>
      <c r="J26" s="32"/>
    </row>
    <row r="27" spans="1:10" x14ac:dyDescent="0.2">
      <c r="A27" s="13">
        <f t="shared" si="0"/>
        <v>17</v>
      </c>
    </row>
    <row r="28" spans="1:10" x14ac:dyDescent="0.2">
      <c r="A28" s="13">
        <f t="shared" si="0"/>
        <v>18</v>
      </c>
      <c r="D28" s="26"/>
      <c r="E28" s="32"/>
    </row>
    <row r="29" spans="1:10" x14ac:dyDescent="0.2">
      <c r="A29" s="13">
        <f t="shared" si="0"/>
        <v>19</v>
      </c>
      <c r="B29" s="16" t="s">
        <v>60</v>
      </c>
      <c r="D29" s="26"/>
      <c r="E29" s="32"/>
    </row>
    <row r="30" spans="1:10" x14ac:dyDescent="0.2">
      <c r="A30" s="13">
        <f t="shared" si="0"/>
        <v>20</v>
      </c>
      <c r="C30" s="16" t="s">
        <v>36</v>
      </c>
      <c r="D30" s="33">
        <v>1512193</v>
      </c>
      <c r="E30" s="32">
        <v>0.20754</v>
      </c>
      <c r="F30" s="22">
        <f t="shared" ref="F30:F35" si="9">ROUND(D30*E30,0)</f>
        <v>313841</v>
      </c>
      <c r="H30" s="24">
        <f t="shared" ref="H30:H33" si="10">($G$36-$I$35)/SUM($F$30:$F$34)</f>
        <v>0.44147527697001354</v>
      </c>
      <c r="I30" s="22">
        <f>F30*H30</f>
        <v>138553.04239954602</v>
      </c>
    </row>
    <row r="31" spans="1:10" x14ac:dyDescent="0.2">
      <c r="A31" s="13">
        <f t="shared" si="0"/>
        <v>21</v>
      </c>
      <c r="C31" s="16" t="s">
        <v>37</v>
      </c>
      <c r="D31" s="33">
        <v>1398016.115</v>
      </c>
      <c r="E31" s="32">
        <v>0.12540999999999999</v>
      </c>
      <c r="F31" s="22">
        <f t="shared" si="9"/>
        <v>175325</v>
      </c>
      <c r="H31" s="24">
        <f t="shared" si="10"/>
        <v>0.44147527697001354</v>
      </c>
      <c r="I31" s="22">
        <f t="shared" ref="I31:I34" si="11">F31*H31</f>
        <v>77401.652934767626</v>
      </c>
    </row>
    <row r="32" spans="1:10" x14ac:dyDescent="0.2">
      <c r="A32" s="13">
        <f t="shared" si="0"/>
        <v>22</v>
      </c>
      <c r="C32" s="16" t="s">
        <v>43</v>
      </c>
      <c r="D32" s="33">
        <v>2316890.0959999999</v>
      </c>
      <c r="E32" s="32">
        <v>7.9810000000000006E-2</v>
      </c>
      <c r="F32" s="22">
        <f t="shared" si="9"/>
        <v>184911</v>
      </c>
      <c r="H32" s="24">
        <f t="shared" si="10"/>
        <v>0.44147527697001354</v>
      </c>
      <c r="I32" s="22">
        <f t="shared" si="11"/>
        <v>81633.63493980217</v>
      </c>
    </row>
    <row r="33" spans="1:9" x14ac:dyDescent="0.2">
      <c r="A33" s="13">
        <f t="shared" si="0"/>
        <v>23</v>
      </c>
      <c r="C33" s="16" t="s">
        <v>44</v>
      </c>
      <c r="D33" s="33">
        <v>3045256.878</v>
      </c>
      <c r="E33" s="32">
        <v>5.117E-2</v>
      </c>
      <c r="F33" s="22">
        <f t="shared" si="9"/>
        <v>155826</v>
      </c>
      <c r="H33" s="24">
        <f t="shared" si="10"/>
        <v>0.44147527697001354</v>
      </c>
      <c r="I33" s="22">
        <f t="shared" si="11"/>
        <v>68793.326509129329</v>
      </c>
    </row>
    <row r="34" spans="1:9" x14ac:dyDescent="0.2">
      <c r="A34" s="13">
        <f t="shared" si="0"/>
        <v>24</v>
      </c>
      <c r="C34" s="16" t="s">
        <v>45</v>
      </c>
      <c r="D34" s="33">
        <v>3792042.2029999997</v>
      </c>
      <c r="E34" s="32">
        <v>3.6830000000000002E-2</v>
      </c>
      <c r="F34" s="22">
        <f t="shared" si="9"/>
        <v>139661</v>
      </c>
      <c r="H34" s="24">
        <f>($G$36-$I$35)/SUM($F$30:$F$34)</f>
        <v>0.44147527697001354</v>
      </c>
      <c r="I34" s="22">
        <f t="shared" si="11"/>
        <v>61656.878656909059</v>
      </c>
    </row>
    <row r="35" spans="1:9" x14ac:dyDescent="0.2">
      <c r="A35" s="13">
        <f t="shared" si="0"/>
        <v>25</v>
      </c>
      <c r="C35" s="16" t="s">
        <v>46</v>
      </c>
      <c r="D35" s="33">
        <v>9755057.4703552071</v>
      </c>
      <c r="E35" s="32">
        <v>2.4830000000000001E-2</v>
      </c>
      <c r="F35" s="22">
        <f t="shared" si="9"/>
        <v>242218</v>
      </c>
      <c r="H35" s="24">
        <f>H36*0.33</f>
        <v>0.12479808208452178</v>
      </c>
      <c r="I35" s="22">
        <f>F35*H35</f>
        <v>30228.341846348696</v>
      </c>
    </row>
    <row r="36" spans="1:9" x14ac:dyDescent="0.2">
      <c r="A36" s="13">
        <f t="shared" si="0"/>
        <v>26</v>
      </c>
      <c r="C36" s="16" t="s">
        <v>47</v>
      </c>
      <c r="D36" s="21">
        <f>SUM(D30:D35)</f>
        <v>21819455.762355208</v>
      </c>
      <c r="E36" s="32"/>
      <c r="F36" s="17">
        <f>SUM(F30:F35)</f>
        <v>1211782</v>
      </c>
      <c r="G36" s="22">
        <f>'Rate Spread'!E16</f>
        <v>458266.87728650292</v>
      </c>
      <c r="H36" s="24">
        <f>$G$36/$F$36</f>
        <v>0.37817600631673265</v>
      </c>
      <c r="I36" s="17">
        <f>SUM(I30:I35)</f>
        <v>458266.87728650286</v>
      </c>
    </row>
    <row r="37" spans="1:9" x14ac:dyDescent="0.2">
      <c r="A37" s="13"/>
      <c r="D37" s="34"/>
      <c r="E37" s="32"/>
      <c r="F37" s="35"/>
      <c r="G37" s="22"/>
      <c r="H37" s="24"/>
      <c r="I37" s="35"/>
    </row>
  </sheetData>
  <mergeCells count="1">
    <mergeCell ref="B9:C9"/>
  </mergeCells>
  <printOptions horizontalCentered="1"/>
  <pageMargins left="0.75" right="0.75" top="1" bottom="1" header="0.5" footer="0.5"/>
  <pageSetup orientation="landscape" blackAndWhite="1" horizontalDpi="300" verticalDpi="300" r:id="rId1"/>
  <headerFooter alignWithMargins="0">
    <oddFooter>&amp;R&amp;A
 Page &amp;P of &amp;N</oddFooter>
  </headerFooter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D28" sqref="D28"/>
    </sheetView>
  </sheetViews>
  <sheetFormatPr defaultColWidth="9.140625" defaultRowHeight="12.75" x14ac:dyDescent="0.2"/>
  <cols>
    <col min="1" max="1" width="4.42578125" style="3" customWidth="1"/>
    <col min="2" max="2" width="31.28515625" style="3" customWidth="1"/>
    <col min="3" max="3" width="11.5703125" style="3" customWidth="1"/>
    <col min="4" max="4" width="14.7109375" style="3" customWidth="1"/>
    <col min="5" max="5" width="17.85546875" style="3" customWidth="1"/>
    <col min="6" max="16384" width="9.140625" style="3"/>
  </cols>
  <sheetData>
    <row r="1" spans="1:6" ht="12.75" customHeight="1" x14ac:dyDescent="0.2">
      <c r="A1" s="1" t="s">
        <v>0</v>
      </c>
      <c r="B1" s="2"/>
      <c r="C1" s="2"/>
      <c r="D1" s="2"/>
      <c r="E1" s="2"/>
    </row>
    <row r="2" spans="1:6" ht="12.75" customHeight="1" x14ac:dyDescent="0.2">
      <c r="A2" s="1" t="s">
        <v>1</v>
      </c>
      <c r="B2" s="4"/>
      <c r="C2" s="4"/>
      <c r="D2" s="4"/>
      <c r="E2" s="4"/>
    </row>
    <row r="3" spans="1:6" ht="12.75" customHeight="1" x14ac:dyDescent="0.2">
      <c r="A3" s="1" t="s">
        <v>61</v>
      </c>
      <c r="B3" s="2"/>
      <c r="C3" s="2"/>
      <c r="D3" s="2"/>
      <c r="E3" s="2"/>
    </row>
    <row r="4" spans="1:6" ht="12.75" customHeight="1" x14ac:dyDescent="0.2">
      <c r="A4" s="1" t="s">
        <v>3</v>
      </c>
      <c r="B4" s="2"/>
      <c r="C4" s="2"/>
      <c r="D4" s="2"/>
      <c r="E4" s="2"/>
    </row>
    <row r="5" spans="1:6" ht="12.75" customHeight="1" x14ac:dyDescent="0.2"/>
    <row r="6" spans="1:6" ht="12.75" customHeight="1" x14ac:dyDescent="0.2">
      <c r="A6" s="5"/>
      <c r="B6" s="5"/>
      <c r="C6" s="5"/>
      <c r="D6" s="9" t="s">
        <v>5</v>
      </c>
      <c r="E6" s="5"/>
    </row>
    <row r="7" spans="1:6" ht="12.75" customHeight="1" x14ac:dyDescent="0.2">
      <c r="A7" s="5"/>
      <c r="B7" s="9"/>
      <c r="C7" s="9"/>
      <c r="D7" s="9" t="s">
        <v>62</v>
      </c>
      <c r="E7" s="7" t="s">
        <v>7</v>
      </c>
    </row>
    <row r="8" spans="1:6" ht="12.75" customHeight="1" x14ac:dyDescent="0.2">
      <c r="A8" s="6" t="s">
        <v>11</v>
      </c>
      <c r="B8" s="9"/>
      <c r="C8" s="9"/>
      <c r="D8" s="9" t="s">
        <v>63</v>
      </c>
      <c r="E8" s="7" t="s">
        <v>12</v>
      </c>
    </row>
    <row r="9" spans="1:6" ht="12.75" customHeight="1" x14ac:dyDescent="0.2">
      <c r="A9" s="10" t="s">
        <v>15</v>
      </c>
      <c r="B9" s="10" t="s">
        <v>16</v>
      </c>
      <c r="C9" s="10" t="s">
        <v>17</v>
      </c>
      <c r="D9" s="10" t="s">
        <v>64</v>
      </c>
      <c r="E9" s="11" t="s">
        <v>65</v>
      </c>
    </row>
    <row r="10" spans="1:6" ht="12.75" customHeight="1" x14ac:dyDescent="0.2">
      <c r="B10" s="4" t="s">
        <v>22</v>
      </c>
      <c r="C10" s="4" t="s">
        <v>23</v>
      </c>
      <c r="D10" s="12" t="s">
        <v>24</v>
      </c>
      <c r="E10" s="13" t="s">
        <v>25</v>
      </c>
      <c r="F10" s="13"/>
    </row>
    <row r="11" spans="1:6" ht="12.75" customHeight="1" x14ac:dyDescent="0.2">
      <c r="A11" s="4">
        <v>1</v>
      </c>
      <c r="B11" s="3" t="s">
        <v>28</v>
      </c>
      <c r="C11" s="4" t="s">
        <v>29</v>
      </c>
      <c r="D11" s="36">
        <v>0.70041400828016565</v>
      </c>
      <c r="E11" s="22">
        <f>$E$19*D11</f>
        <v>33364877.427387383</v>
      </c>
    </row>
    <row r="12" spans="1:6" ht="12.75" customHeight="1" x14ac:dyDescent="0.2">
      <c r="A12" s="4">
        <f>A11+1</f>
        <v>2</v>
      </c>
      <c r="B12" s="3" t="s">
        <v>30</v>
      </c>
      <c r="C12" s="4">
        <v>31</v>
      </c>
      <c r="D12" s="36">
        <v>0.22870457409148182</v>
      </c>
      <c r="E12" s="22">
        <f t="shared" ref="E12:E16" si="0">$E$19*D12</f>
        <v>10894556.635698877</v>
      </c>
    </row>
    <row r="13" spans="1:6" ht="12.75" customHeight="1" x14ac:dyDescent="0.2">
      <c r="A13" s="4">
        <f t="shared" ref="A13:A19" si="1">A12+1</f>
        <v>3</v>
      </c>
      <c r="B13" s="3" t="s">
        <v>31</v>
      </c>
      <c r="C13" s="4">
        <v>41</v>
      </c>
      <c r="D13" s="36">
        <v>4.3500870017400349E-2</v>
      </c>
      <c r="E13" s="22">
        <f t="shared" si="0"/>
        <v>2072204.6945907355</v>
      </c>
    </row>
    <row r="14" spans="1:6" ht="12.75" customHeight="1" x14ac:dyDescent="0.2">
      <c r="A14" s="4">
        <f t="shared" si="1"/>
        <v>4</v>
      </c>
      <c r="B14" s="3" t="s">
        <v>35</v>
      </c>
      <c r="C14" s="4">
        <v>85</v>
      </c>
      <c r="D14" s="36">
        <v>1.2410248204964098E-2</v>
      </c>
      <c r="E14" s="22">
        <f t="shared" si="0"/>
        <v>591173.79907749477</v>
      </c>
    </row>
    <row r="15" spans="1:6" ht="12.75" customHeight="1" x14ac:dyDescent="0.2">
      <c r="A15" s="4">
        <f t="shared" si="1"/>
        <v>5</v>
      </c>
      <c r="B15" s="3" t="s">
        <v>39</v>
      </c>
      <c r="C15" s="4">
        <v>86</v>
      </c>
      <c r="D15" s="36">
        <v>5.3501070021400423E-3</v>
      </c>
      <c r="E15" s="22">
        <f t="shared" si="0"/>
        <v>254857.35898989503</v>
      </c>
    </row>
    <row r="16" spans="1:6" ht="12.75" customHeight="1" x14ac:dyDescent="0.2">
      <c r="A16" s="4">
        <f t="shared" si="1"/>
        <v>6</v>
      </c>
      <c r="B16" s="3" t="s">
        <v>42</v>
      </c>
      <c r="C16" s="4">
        <v>87</v>
      </c>
      <c r="D16" s="36">
        <v>9.6201924038480779E-3</v>
      </c>
      <c r="E16" s="22">
        <f t="shared" si="0"/>
        <v>458266.87728650292</v>
      </c>
    </row>
    <row r="17" spans="1:5" ht="12.75" customHeight="1" x14ac:dyDescent="0.2">
      <c r="A17" s="4">
        <f t="shared" si="1"/>
        <v>7</v>
      </c>
      <c r="B17" s="3" t="s">
        <v>47</v>
      </c>
      <c r="D17" s="23">
        <f>SUM(D11:D16)</f>
        <v>0.99999999999999989</v>
      </c>
      <c r="E17" s="17">
        <f>SUM(E11:E16)</f>
        <v>47635936.79303088</v>
      </c>
    </row>
    <row r="18" spans="1:5" ht="12.75" customHeight="1" x14ac:dyDescent="0.2">
      <c r="A18" s="4">
        <f t="shared" si="1"/>
        <v>8</v>
      </c>
      <c r="E18" s="24"/>
    </row>
    <row r="19" spans="1:5" ht="12.75" customHeight="1" x14ac:dyDescent="0.2">
      <c r="A19" s="4">
        <f t="shared" si="1"/>
        <v>9</v>
      </c>
      <c r="B19" s="3" t="s">
        <v>66</v>
      </c>
      <c r="E19" s="22">
        <v>47635936.793030888</v>
      </c>
    </row>
    <row r="20" spans="1:5" ht="12.75" customHeight="1" x14ac:dyDescent="0.2">
      <c r="E20" s="16"/>
    </row>
    <row r="21" spans="1:5" ht="12.75" customHeight="1" x14ac:dyDescent="0.2">
      <c r="B21" s="25" t="s">
        <v>67</v>
      </c>
      <c r="C21" s="25"/>
      <c r="D21" s="25"/>
      <c r="E21" s="25"/>
    </row>
    <row r="22" spans="1:5" ht="12.75" customHeight="1" x14ac:dyDescent="0.2">
      <c r="B22" s="25"/>
      <c r="C22" s="25"/>
      <c r="D22" s="25"/>
      <c r="E22" s="25"/>
    </row>
    <row r="23" spans="1:5" ht="12.75" customHeight="1" x14ac:dyDescent="0.2">
      <c r="E23" s="16"/>
    </row>
    <row r="24" spans="1:5" ht="12.75" customHeight="1" x14ac:dyDescent="0.2">
      <c r="E24" s="16"/>
    </row>
    <row r="25" spans="1:5" x14ac:dyDescent="0.2">
      <c r="E25" s="16"/>
    </row>
    <row r="26" spans="1:5" x14ac:dyDescent="0.2">
      <c r="E26" s="16"/>
    </row>
  </sheetData>
  <mergeCells count="1">
    <mergeCell ref="B21:E22"/>
  </mergeCells>
  <printOptions horizontalCentered="1"/>
  <pageMargins left="0.45" right="0.45" top="0.75" bottom="0.75" header="0.3" footer="0.3"/>
  <pageSetup orientation="landscape" blackAndWhite="1" r:id="rId1"/>
  <headerFooter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2023-05-25T07:00:00+00:00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C23255-805C-4390-9C85-0434AE45E533}"/>
</file>

<file path=customXml/itemProps2.xml><?xml version="1.0" encoding="utf-8"?>
<ds:datastoreItem xmlns:ds="http://schemas.openxmlformats.org/officeDocument/2006/customXml" ds:itemID="{01F5270D-CFB4-48B2-AF6F-1F9DE46D6320}"/>
</file>

<file path=customXml/itemProps3.xml><?xml version="1.0" encoding="utf-8"?>
<ds:datastoreItem xmlns:ds="http://schemas.openxmlformats.org/officeDocument/2006/customXml" ds:itemID="{99E1D80D-C41D-4C53-B0CE-7FB3BCB6B1A8}"/>
</file>

<file path=customXml/itemProps4.xml><?xml version="1.0" encoding="utf-8"?>
<ds:datastoreItem xmlns:ds="http://schemas.openxmlformats.org/officeDocument/2006/customXml" ds:itemID="{2D62950C-1622-40FE-AC0C-383C7EB349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Design</vt:lpstr>
      <vt:lpstr>Rate Spread (Blocks)</vt:lpstr>
      <vt:lpstr>Rate Spread</vt:lpstr>
      <vt:lpstr>'Rate Design'!Print_Area</vt:lpstr>
      <vt:lpstr>'Rate Spread'!Print_Area</vt:lpstr>
      <vt:lpstr>'Rate Spread (Blocks)'!Print_Area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2023-05-19T00:00:17Z</cp:lastPrinted>
  <dcterms:created xsi:type="dcterms:W3CDTF">2023-05-18T23:59:15Z</dcterms:created>
  <dcterms:modified xsi:type="dcterms:W3CDTF">2023-05-19T00:02:19Z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