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1EBEF6E2-7E07-4DDD-9090-E0E230757760}" xr6:coauthVersionLast="41" xr6:coauthVersionMax="41" xr10:uidLastSave="{00000000-0000-0000-0000-000000000000}"/>
  <bookViews>
    <workbookView xWindow="3165" yWindow="2205" windowWidth="21600" windowHeight="11265" activeTab="2" xr2:uid="{A653CDFF-5B9E-4732-9977-97CE128CE21E}"/>
  </bookViews>
  <sheets>
    <sheet name="WA Rates New Rates" sheetId="9" r:id="rId1"/>
    <sheet name="Core Cost Incurred" sheetId="11" r:id="rId2"/>
    <sheet name="DEFERRALS" sheetId="12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_xlnm.Print_Area" localSheetId="1">'Core Cost Incurred'!$B$1:$Z$48</definedName>
    <definedName name="_xlnm.Print_Area" localSheetId="2">DEFERRALS!$B$1:$H$22</definedName>
    <definedName name="_xlnm.Print_Area" localSheetId="0">'WA Rates New Rates'!$B$1:$N$50</definedName>
    <definedName name="_xlnm.Print_Titles" localSheetId="1">'Core Cost Incurred'!$B:$F</definedName>
    <definedName name="_xlnm.Print_Titles" localSheetId="0">'WA Rates New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2" l="1"/>
  <c r="D8" i="12"/>
  <c r="D12" i="12" s="1"/>
  <c r="D18" i="12" s="1"/>
  <c r="E8" i="12"/>
  <c r="G8" i="12"/>
  <c r="D9" i="12"/>
  <c r="E9" i="12"/>
  <c r="E12" i="12" s="1"/>
  <c r="F9" i="12"/>
  <c r="G9" i="12"/>
  <c r="G12" i="12" s="1"/>
  <c r="F12" i="12"/>
  <c r="F18" i="12"/>
  <c r="E18" i="12" l="1"/>
  <c r="G18" i="12" s="1"/>
  <c r="V71" i="11" l="1"/>
  <c r="S71" i="11"/>
  <c r="T61" i="11"/>
  <c r="S61" i="11"/>
  <c r="Q61" i="11"/>
  <c r="P61" i="11"/>
  <c r="Q60" i="11"/>
  <c r="P60" i="11"/>
  <c r="T59" i="11"/>
  <c r="T62" i="11" s="1"/>
  <c r="S59" i="11"/>
  <c r="Q59" i="11"/>
  <c r="Q62" i="11" s="1"/>
  <c r="P59" i="11"/>
  <c r="AE45" i="11"/>
  <c r="AC43" i="11"/>
  <c r="AB43" i="11"/>
  <c r="Z43" i="11"/>
  <c r="W43" i="11"/>
  <c r="AC42" i="11"/>
  <c r="AC44" i="11" s="1"/>
  <c r="AB42" i="11"/>
  <c r="AB44" i="11" s="1"/>
  <c r="Z42" i="11"/>
  <c r="Z44" i="11" s="1"/>
  <c r="W42" i="11"/>
  <c r="W44" i="11" s="1"/>
  <c r="Q47" i="11" s="1"/>
  <c r="S40" i="11"/>
  <c r="AC38" i="11"/>
  <c r="AC40" i="11" s="1"/>
  <c r="AB38" i="11"/>
  <c r="AB40" i="11" s="1"/>
  <c r="Z38" i="11"/>
  <c r="Z40" i="11" s="1"/>
  <c r="W38" i="11"/>
  <c r="W40" i="11" s="1"/>
  <c r="T38" i="11"/>
  <c r="Q38" i="11"/>
  <c r="N37" i="11"/>
  <c r="K37" i="11"/>
  <c r="H37" i="11" s="1"/>
  <c r="N36" i="11"/>
  <c r="K36" i="11"/>
  <c r="H36" i="11"/>
  <c r="N35" i="11"/>
  <c r="K35" i="11"/>
  <c r="H35" i="11"/>
  <c r="N34" i="11"/>
  <c r="K34" i="11"/>
  <c r="H34" i="11" s="1"/>
  <c r="N33" i="11"/>
  <c r="K33" i="11"/>
  <c r="H33" i="11"/>
  <c r="N32" i="11"/>
  <c r="K32" i="11"/>
  <c r="H32" i="11"/>
  <c r="N31" i="11"/>
  <c r="K31" i="11"/>
  <c r="H31" i="11" s="1"/>
  <c r="N30" i="11"/>
  <c r="K30" i="11"/>
  <c r="H30" i="11" s="1"/>
  <c r="N29" i="11"/>
  <c r="K29" i="11"/>
  <c r="H29" i="11" s="1"/>
  <c r="N28" i="11"/>
  <c r="K28" i="11"/>
  <c r="H28" i="11"/>
  <c r="N27" i="11"/>
  <c r="K27" i="11"/>
  <c r="H27" i="11"/>
  <c r="N26" i="11"/>
  <c r="K26" i="11"/>
  <c r="H26" i="11" s="1"/>
  <c r="N25" i="11"/>
  <c r="K25" i="11"/>
  <c r="H25" i="11"/>
  <c r="N24" i="11"/>
  <c r="N38" i="11" s="1"/>
  <c r="K24" i="11"/>
  <c r="K38" i="11" s="1"/>
  <c r="H24" i="11"/>
  <c r="H38" i="11" s="1"/>
  <c r="AC22" i="11"/>
  <c r="AB22" i="11"/>
  <c r="Z22" i="11"/>
  <c r="W22" i="11"/>
  <c r="T21" i="11"/>
  <c r="Q21" i="11"/>
  <c r="N21" i="11"/>
  <c r="K21" i="11"/>
  <c r="H21" i="11" s="1"/>
  <c r="N20" i="11"/>
  <c r="K20" i="11"/>
  <c r="H20" i="11" s="1"/>
  <c r="N19" i="11"/>
  <c r="K19" i="11"/>
  <c r="H19" i="11"/>
  <c r="N18" i="11"/>
  <c r="K18" i="11"/>
  <c r="H18" i="11"/>
  <c r="T17" i="11"/>
  <c r="T43" i="11" s="1"/>
  <c r="Q17" i="11"/>
  <c r="Q22" i="11" s="1"/>
  <c r="AC15" i="11"/>
  <c r="AB15" i="11"/>
  <c r="Z15" i="11"/>
  <c r="Y15" i="11"/>
  <c r="Y40" i="11" s="1"/>
  <c r="W15" i="11"/>
  <c r="V15" i="11"/>
  <c r="V40" i="11" s="1"/>
  <c r="S15" i="11"/>
  <c r="M15" i="11"/>
  <c r="M40" i="11" s="1"/>
  <c r="N14" i="11"/>
  <c r="M14" i="11"/>
  <c r="K14" i="11"/>
  <c r="H14" i="11" s="1"/>
  <c r="J14" i="11"/>
  <c r="G14" i="11" s="1"/>
  <c r="N13" i="11"/>
  <c r="M13" i="11"/>
  <c r="K13" i="11"/>
  <c r="J13" i="11"/>
  <c r="H13" i="11"/>
  <c r="G13" i="11"/>
  <c r="N12" i="11"/>
  <c r="M12" i="11"/>
  <c r="K12" i="11"/>
  <c r="J12" i="11"/>
  <c r="G12" i="11" s="1"/>
  <c r="H12" i="11"/>
  <c r="N11" i="11"/>
  <c r="M11" i="11"/>
  <c r="G11" i="11" s="1"/>
  <c r="K11" i="11"/>
  <c r="H11" i="11" s="1"/>
  <c r="J11" i="11"/>
  <c r="T10" i="11"/>
  <c r="N10" i="11" s="1"/>
  <c r="N15" i="11" s="1"/>
  <c r="S10" i="11"/>
  <c r="Q10" i="11"/>
  <c r="K10" i="11" s="1"/>
  <c r="H10" i="11" s="1"/>
  <c r="P10" i="11"/>
  <c r="P15" i="11" s="1"/>
  <c r="P40" i="11" s="1"/>
  <c r="M10" i="11"/>
  <c r="N9" i="11"/>
  <c r="K9" i="11"/>
  <c r="H9" i="11" s="1"/>
  <c r="Q8" i="11"/>
  <c r="Q42" i="11" s="1"/>
  <c r="N8" i="11"/>
  <c r="N42" i="11" s="1"/>
  <c r="M8" i="11"/>
  <c r="K8" i="11"/>
  <c r="J8" i="11"/>
  <c r="H8" i="11"/>
  <c r="G8" i="11"/>
  <c r="N7" i="11"/>
  <c r="K7" i="11"/>
  <c r="H7" i="11" s="1"/>
  <c r="N6" i="11"/>
  <c r="K6" i="11"/>
  <c r="H6" i="11" s="1"/>
  <c r="W3" i="11"/>
  <c r="W1" i="11"/>
  <c r="I44" i="9"/>
  <c r="L44" i="9" s="1"/>
  <c r="H44" i="9"/>
  <c r="K44" i="9" s="1"/>
  <c r="G44" i="9"/>
  <c r="G46" i="9" s="1"/>
  <c r="G48" i="9" s="1"/>
  <c r="G71" i="9" s="1"/>
  <c r="I42" i="9"/>
  <c r="L42" i="9" s="1"/>
  <c r="H42" i="9"/>
  <c r="K42" i="9" s="1"/>
  <c r="L41" i="9"/>
  <c r="J41" i="9"/>
  <c r="M41" i="9" s="1"/>
  <c r="I41" i="9"/>
  <c r="H41" i="9"/>
  <c r="K41" i="9" s="1"/>
  <c r="K40" i="9"/>
  <c r="J40" i="9"/>
  <c r="M40" i="9" s="1"/>
  <c r="I40" i="9"/>
  <c r="L40" i="9" s="1"/>
  <c r="H40" i="9"/>
  <c r="M39" i="9"/>
  <c r="J39" i="9"/>
  <c r="I39" i="9"/>
  <c r="L39" i="9" s="1"/>
  <c r="H39" i="9"/>
  <c r="K39" i="9" s="1"/>
  <c r="L38" i="9"/>
  <c r="I38" i="9"/>
  <c r="H38" i="9"/>
  <c r="K38" i="9" s="1"/>
  <c r="L37" i="9"/>
  <c r="K37" i="9"/>
  <c r="J37" i="9"/>
  <c r="M37" i="9" s="1"/>
  <c r="I37" i="9"/>
  <c r="H37" i="9"/>
  <c r="K35" i="9"/>
  <c r="J35" i="9"/>
  <c r="M35" i="9" s="1"/>
  <c r="I35" i="9"/>
  <c r="L35" i="9" s="1"/>
  <c r="H35" i="9"/>
  <c r="K34" i="9"/>
  <c r="J34" i="9"/>
  <c r="M34" i="9" s="1"/>
  <c r="I34" i="9"/>
  <c r="L34" i="9" s="1"/>
  <c r="H34" i="9"/>
  <c r="L33" i="9"/>
  <c r="J33" i="9"/>
  <c r="M33" i="9" s="1"/>
  <c r="H33" i="9"/>
  <c r="K33" i="9" s="1"/>
  <c r="L31" i="9"/>
  <c r="J31" i="9"/>
  <c r="M31" i="9" s="1"/>
  <c r="I31" i="9"/>
  <c r="H31" i="9"/>
  <c r="K31" i="9" s="1"/>
  <c r="N31" i="9" s="1"/>
  <c r="K30" i="9"/>
  <c r="J30" i="9"/>
  <c r="M30" i="9" s="1"/>
  <c r="I30" i="9"/>
  <c r="L30" i="9" s="1"/>
  <c r="N30" i="9" s="1"/>
  <c r="H30" i="9"/>
  <c r="M29" i="9"/>
  <c r="J29" i="9"/>
  <c r="I29" i="9"/>
  <c r="L29" i="9" s="1"/>
  <c r="H29" i="9"/>
  <c r="K29" i="9" s="1"/>
  <c r="N29" i="9" s="1"/>
  <c r="M27" i="9"/>
  <c r="L27" i="9"/>
  <c r="J27" i="9"/>
  <c r="I27" i="9"/>
  <c r="H27" i="9"/>
  <c r="K27" i="9" s="1"/>
  <c r="N27" i="9" s="1"/>
  <c r="L26" i="9"/>
  <c r="K26" i="9"/>
  <c r="J26" i="9"/>
  <c r="M26" i="9" s="1"/>
  <c r="I26" i="9"/>
  <c r="H26" i="9"/>
  <c r="K25" i="9"/>
  <c r="N25" i="9" s="1"/>
  <c r="J25" i="9"/>
  <c r="M25" i="9" s="1"/>
  <c r="I25" i="9"/>
  <c r="L25" i="9" s="1"/>
  <c r="H25" i="9"/>
  <c r="J23" i="9"/>
  <c r="M23" i="9" s="1"/>
  <c r="I23" i="9"/>
  <c r="L23" i="9" s="1"/>
  <c r="H23" i="9"/>
  <c r="K23" i="9" s="1"/>
  <c r="I22" i="9"/>
  <c r="L22" i="9" s="1"/>
  <c r="H22" i="9"/>
  <c r="K22" i="9" s="1"/>
  <c r="L21" i="9"/>
  <c r="J21" i="9"/>
  <c r="M21" i="9" s="1"/>
  <c r="I21" i="9"/>
  <c r="H21" i="9"/>
  <c r="K21" i="9" s="1"/>
  <c r="N21" i="9" s="1"/>
  <c r="K20" i="9"/>
  <c r="J20" i="9"/>
  <c r="M20" i="9" s="1"/>
  <c r="I20" i="9"/>
  <c r="L20" i="9" s="1"/>
  <c r="N20" i="9" s="1"/>
  <c r="H20" i="9"/>
  <c r="U19" i="9"/>
  <c r="R19" i="9"/>
  <c r="L19" i="9"/>
  <c r="J19" i="9"/>
  <c r="M19" i="9" s="1"/>
  <c r="I19" i="9"/>
  <c r="H19" i="9"/>
  <c r="K19" i="9" s="1"/>
  <c r="U18" i="9"/>
  <c r="L18" i="9"/>
  <c r="K18" i="9"/>
  <c r="N18" i="9" s="1"/>
  <c r="J18" i="9"/>
  <c r="M18" i="9" s="1"/>
  <c r="H18" i="9"/>
  <c r="L16" i="9"/>
  <c r="J16" i="9"/>
  <c r="I16" i="9"/>
  <c r="H16" i="9"/>
  <c r="K16" i="9" s="1"/>
  <c r="N16" i="9" s="1"/>
  <c r="U15" i="9"/>
  <c r="R15" i="9"/>
  <c r="L15" i="9"/>
  <c r="J15" i="9"/>
  <c r="I15" i="9"/>
  <c r="H15" i="9"/>
  <c r="K15" i="9" s="1"/>
  <c r="N15" i="9" s="1"/>
  <c r="L14" i="9"/>
  <c r="K14" i="9"/>
  <c r="J14" i="9"/>
  <c r="M14" i="9" s="1"/>
  <c r="I14" i="9"/>
  <c r="H14" i="9"/>
  <c r="J12" i="9"/>
  <c r="I12" i="9"/>
  <c r="L12" i="9" s="1"/>
  <c r="H12" i="9"/>
  <c r="K12" i="9" s="1"/>
  <c r="N12" i="9" s="1"/>
  <c r="L11" i="9"/>
  <c r="J11" i="9"/>
  <c r="I11" i="9"/>
  <c r="H11" i="9"/>
  <c r="K11" i="9" s="1"/>
  <c r="N11" i="9" s="1"/>
  <c r="L10" i="9"/>
  <c r="J10" i="9"/>
  <c r="M10" i="9" s="1"/>
  <c r="H10" i="9"/>
  <c r="K10" i="9" s="1"/>
  <c r="U9" i="9"/>
  <c r="T9" i="9"/>
  <c r="R9" i="9"/>
  <c r="Q9" i="9"/>
  <c r="M9" i="9"/>
  <c r="L9" i="9"/>
  <c r="K9" i="9"/>
  <c r="N9" i="9" s="1"/>
  <c r="J9" i="9"/>
  <c r="J44" i="9" s="1"/>
  <c r="I8" i="9"/>
  <c r="J8" i="9" s="1"/>
  <c r="R7" i="9"/>
  <c r="F3" i="9"/>
  <c r="K42" i="11" l="1"/>
  <c r="H15" i="11"/>
  <c r="Q40" i="11"/>
  <c r="T47" i="11"/>
  <c r="AE44" i="11"/>
  <c r="AE46" i="11" s="1"/>
  <c r="Q15" i="11"/>
  <c r="J10" i="11"/>
  <c r="G10" i="11" s="1"/>
  <c r="G15" i="11" s="1"/>
  <c r="G40" i="11" s="1"/>
  <c r="T22" i="11"/>
  <c r="T40" i="11" s="1"/>
  <c r="T15" i="11"/>
  <c r="K17" i="11"/>
  <c r="Q43" i="11"/>
  <c r="Q44" i="11" s="1"/>
  <c r="Q46" i="11" s="1"/>
  <c r="Q48" i="11" s="1"/>
  <c r="N17" i="11"/>
  <c r="N22" i="11" s="1"/>
  <c r="N40" i="11" s="1"/>
  <c r="T42" i="11"/>
  <c r="T44" i="11" s="1"/>
  <c r="T46" i="11" s="1"/>
  <c r="T48" i="11" s="1"/>
  <c r="K15" i="11"/>
  <c r="N10" i="9"/>
  <c r="K46" i="9"/>
  <c r="K48" i="9" s="1"/>
  <c r="N26" i="9"/>
  <c r="N34" i="9"/>
  <c r="O34" i="9" s="1"/>
  <c r="N37" i="9"/>
  <c r="N33" i="9"/>
  <c r="N40" i="9"/>
  <c r="N14" i="9"/>
  <c r="N46" i="9" s="1"/>
  <c r="N35" i="9"/>
  <c r="N44" i="9"/>
  <c r="L46" i="9"/>
  <c r="L48" i="9" s="1"/>
  <c r="N19" i="9"/>
  <c r="N23" i="9"/>
  <c r="N39" i="9"/>
  <c r="N41" i="9"/>
  <c r="M44" i="9"/>
  <c r="J38" i="9"/>
  <c r="M38" i="9" s="1"/>
  <c r="N38" i="9" s="1"/>
  <c r="J22" i="9"/>
  <c r="M22" i="9" s="1"/>
  <c r="N22" i="9" s="1"/>
  <c r="J42" i="9"/>
  <c r="M42" i="9" s="1"/>
  <c r="N42" i="9" s="1"/>
  <c r="J15" i="11" l="1"/>
  <c r="J40" i="11" s="1"/>
  <c r="K22" i="11"/>
  <c r="K40" i="11" s="1"/>
  <c r="H17" i="11"/>
  <c r="H22" i="11" s="1"/>
  <c r="H40" i="11" s="1"/>
  <c r="N43" i="11"/>
  <c r="N44" i="11" s="1"/>
  <c r="K43" i="11"/>
  <c r="K44" i="11" s="1"/>
  <c r="K46" i="11" s="1"/>
  <c r="N48" i="9"/>
  <c r="Q47" i="9"/>
  <c r="M46" i="9"/>
  <c r="M4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4E3DFE10-8589-4B5F-83F5-000A4C72649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071C497A-D702-42E5-A2AD-5CCBECC99AE2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68343911-08C8-4CBE-8C2F-DF612BB8F4E8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F62EC10B-5F1F-4E90-9738-141CA802C829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6CB3299E-4EC6-4957-ADBA-CE952B45D83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FE32639D-C988-4058-91F5-1B84BB07461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 xr:uid="{C9EFEFCA-6569-4AF6-8D83-DF642D0D97D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008D94B8-E5DC-4F51-9F3D-3B1C1B54C1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FD8DE993-36A9-4A56-AC51-0450B81D089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 xr:uid="{6E5724C3-B845-4A7A-9404-919C3FAD34B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1F6A57C7-0D8B-4625-A7AA-AF8CDFDE9EB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76E2AE70-534A-4C01-B4FC-F35CA71C2E7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2AB8CD3C-4382-4983-BF94-76FADFC713A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EEC83D02-754E-41DB-9A8A-E922D0137D6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F5DEFB06-5351-4DC0-8958-C167F80FFAC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4BE747EE-11FF-44F9-9140-4DF63F5C585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 xr:uid="{C3D89A03-6C63-4926-9072-B24E63A0FFE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A560DE15-1D03-4963-9BC3-71ACB65AC9D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 xr:uid="{098DC09A-C2FF-4818-BA92-BD2F7A51D88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 xr:uid="{625ECAB4-F908-4872-AD21-9875D22F208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 xr:uid="{C6344DF7-C2E8-4BC8-A47F-BD5575D0C0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 xr:uid="{31A7FD6B-CD6E-4B70-AE89-B7F0925E0E2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D326B3D3-814D-488A-A2A7-19B96F9C488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 xr:uid="{5893A4E4-DF44-48EA-B8C8-0AC9FE854D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 xr:uid="{672123A6-B79B-4C4B-842D-95977E7F986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D8F2C25B-755C-4C8B-B300-93AB286C32E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6830F8BB-B229-4979-94A4-CAD8B04C9D2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 xr:uid="{0339221E-CC9D-4023-B9AC-FAEF1150B18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 xr:uid="{C8615B67-D33D-4094-A3D6-E7ED8A8DACD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CF6B202A-CEB4-4103-9DBC-051326ECE3F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 xr:uid="{46382965-9FE0-423E-B176-15C9938AB5C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 xr:uid="{3FD01988-C55D-4D46-AD61-68C451168DE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 xr:uid="{2B855BF4-7983-4632-9FB7-1C0DAAD7E9DC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 xr:uid="{ABA229CC-CDD5-41B1-8BF0-3F98B4005C61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BB93AE0A-DAF9-45B9-9158-94448339674A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86E4B317-69A9-4F1A-B08E-69F858A355F0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1081117F-7537-4048-8108-1917AD4A8DA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55387563-A602-40C0-99F2-59E17A7B68C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CF8ACCAC-EAA0-4609-89B9-F397B969273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6FE1F543-F06D-49D7-A602-81834147D00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18AD3539-1B9D-4BBC-A63A-4BAF4D422935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<sst xmlns="http://schemas.openxmlformats.org/spreadsheetml/2006/main" count="453" uniqueCount="199">
  <si>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</si>
  <si>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</si>
  <si>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</si>
  <si>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</si>
  <si>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</si>
  <si>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</si>
  <si>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</si>
  <si>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</si>
  <si>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</si>
  <si>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</si>
  <si>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</si>
  <si>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</si>
  <si>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</si>
  <si>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</si>
  <si>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</si>
  <si>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</si>
  <si>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</si>
  <si>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</si>
  <si>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</si>
  <si>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</si>
  <si>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</si>
  <si>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</si>
  <si>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</si>
  <si>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</si>
  <si>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</si>
  <si>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</si>
  <si>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</si>
  <si>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</si>
  <si>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</si>
  <si>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</si>
  <si>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</si>
  <si>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</si>
  <si>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</si>
  <si>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</si>
  <si>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</si>
  <si>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</si>
  <si>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</si>
  <si>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</si>
  <si>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</si>
  <si>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</si>
  <si>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</si>
  <si>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</si>
  <si>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</si>
  <si>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</si>
  <si>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</si>
  <si>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</si>
  <si>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</si>
  <si>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</si>
  <si>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</si>
  <si>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</si>
  <si>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</si>
  <si>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</si>
  <si>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</si>
  <si>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</si>
  <si>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</si>
  <si>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</si>
  <si>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</si>
  <si>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</si>
  <si>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</si>
  <si>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</si>
  <si>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</si>
  <si>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</si>
  <si>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</si>
  <si>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</si>
  <si>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</si>
  <si>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</si>
  <si>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</si>
  <si>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</si>
  <si>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</si>
  <si>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</si>
  <si>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</si>
  <si>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</si>
  <si>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</si>
  <si>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</si>
  <si>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</si>
  <si>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</si>
  <si>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</si>
  <si>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</si>
  <si>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</si>
  <si>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</si>
  <si>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</si>
  <si>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</si>
  <si>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</si>
  <si>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</si>
  <si>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</si>
  <si>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</si>
  <si>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</si>
  <si>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</si>
  <si>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</si>
  <si>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</si>
  <si>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</si>
  <si>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</si>
  <si>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</si>
  <si>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</si>
  <si>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</si>
  <si>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</si>
  <si>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</si>
  <si>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</si>
  <si>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</si>
  <si>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</si>
  <si>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</si>
  <si>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</si>
  <si>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</si>
  <si>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</si>
  <si>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</si>
  <si>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</si>
  <si>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</si>
  <si>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</si>
  <si>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</si>
  <si>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</si>
  <si>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</si>
  <si>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</si>
  <si>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</si>
  <si>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</si>
  <si>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</si>
  <si>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</si>
  <si>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</si>
  <si>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</si>
  <si>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</si>
  <si>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</si>
  <si>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</si>
  <si>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</si>
  <si>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</si>
  <si>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</si>
  <si>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WASHINGTON - New Rates</t>
  </si>
  <si>
    <t>Apr 1 2019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</si>
  <si>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</si>
  <si>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</si>
  <si>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</si>
  <si>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</si>
  <si>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</si>
  <si>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</si>
  <si>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</si>
  <si>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</si>
  <si>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</si>
  <si>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</si>
  <si>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</si>
  <si>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</si>
  <si>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</si>
  <si>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</si>
  <si>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</si>
  <si>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</si>
  <si>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</si>
  <si>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</si>
  <si>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</si>
  <si>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</si>
  <si>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</si>
  <si>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</si>
  <si>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</si>
  <si>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</si>
  <si>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</si>
  <si>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</si>
  <si>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</si>
  <si>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</si>
  <si>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</si>
  <si>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</si>
  <si>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</si>
  <si>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</si>
  <si>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</si>
  <si>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</si>
  <si>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</si>
  <si>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</si>
  <si>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</si>
  <si>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</si>
  <si>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</si>
  <si>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</si>
  <si>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</si>
  <si>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</si>
  <si>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</si>
  <si>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</si>
  <si>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</si>
  <si>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</si>
  <si>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</si>
  <si>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</si>
  <si>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</si>
  <si>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</si>
  <si>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</si>
  <si>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</si>
  <si>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</si>
  <si>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</si>
  <si>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</si>
  <si>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</si>
  <si>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</si>
  <si>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</si>
  <si>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</si>
  <si>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</si>
  <si>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</si>
  <si>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</si>
  <si>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8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</si>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</sst>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2" applyFont="1"/>
    <xf numFmtId="0" fontId="5" fillId="0" borderId="0" xfId="0" applyFont="1"/>
    <xf numFmtId="165" fontId="1" fillId="0" borderId="0" xfId="1" applyNumberFormat="1" applyFont="1"/>
    <xf numFmtId="165" fontId="5" fillId="0" borderId="0" xfId="1" applyNumberFormat="1" applyFont="1"/>
    <xf numFmtId="0" fontId="1" fillId="0" borderId="0" xfId="0" applyFont="1" applyAlignme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 applyBorder="1"/>
    <xf numFmtId="49" fontId="1" fillId="5" borderId="0" xfId="1" applyNumberFormat="1" applyFont="1" applyFill="1" applyBorder="1"/>
    <xf numFmtId="49" fontId="1" fillId="5" borderId="0" xfId="0" applyNumberFormat="1" applyFont="1" applyFill="1" applyBorder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/>
    <xf numFmtId="165" fontId="22" fillId="0" borderId="0" xfId="1" applyNumberFormat="1" applyFont="1" applyFill="1"/>
    <xf numFmtId="166" fontId="23" fillId="10" borderId="0" xfId="2" applyNumberFormat="1" applyFont="1" applyFill="1"/>
    <xf numFmtId="44" fontId="1" fillId="0" borderId="0" xfId="2" applyNumberFormat="1"/>
    <xf numFmtId="44" fontId="1" fillId="3" borderId="0" xfId="2" applyNumberFormat="1" applyFill="1"/>
    <xf numFmtId="44" fontId="1" fillId="0" borderId="0" xfId="2" applyNumberFormat="1" applyFill="1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1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2" borderId="0" xfId="1" applyNumberFormat="1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1" fillId="13" borderId="0" xfId="2" applyNumberFormat="1" applyFill="1"/>
    <xf numFmtId="165" fontId="28" fillId="0" borderId="0" xfId="1" applyNumberFormat="1" applyFont="1" applyFill="1"/>
    <xf numFmtId="165" fontId="29" fillId="12" borderId="0" xfId="1" applyNumberFormat="1" applyFont="1" applyFill="1"/>
    <xf numFmtId="165" fontId="18" fillId="0" borderId="0" xfId="1" applyNumberFormat="1" applyFont="1" applyFill="1"/>
    <xf numFmtId="165" fontId="26" fillId="0" borderId="0" xfId="1" applyNumberFormat="1" applyFont="1" applyFill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8" borderId="0" xfId="0" applyNumberFormat="1" applyFont="1" applyFill="1" applyBorder="1" applyAlignment="1">
      <alignment horizontal="center"/>
    </xf>
    <xf numFmtId="44" fontId="4" fillId="14" borderId="11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49" fontId="8" fillId="0" borderId="0" xfId="0" applyNumberFormat="1" applyFont="1"/>
    <xf numFmtId="165" fontId="8" fillId="12" borderId="0" xfId="1" applyNumberFormat="1" applyFont="1" applyFill="1"/>
    <xf numFmtId="168" fontId="1" fillId="0" borderId="0" xfId="2" applyNumberFormat="1"/>
    <xf numFmtId="44" fontId="28" fillId="0" borderId="0" xfId="2" applyNumberFormat="1" applyFont="1"/>
    <xf numFmtId="165" fontId="3" fillId="0" borderId="0" xfId="1" applyNumberFormat="1" applyFont="1" applyAlignment="1">
      <alignment horizontal="center"/>
    </xf>
    <xf numFmtId="44" fontId="1" fillId="0" borderId="0" xfId="2" applyNumberFormat="1" applyFont="1"/>
    <xf numFmtId="165" fontId="3" fillId="0" borderId="0" xfId="1" applyNumberFormat="1" applyFont="1" applyAlignment="1">
      <alignment horizontal="center" vertical="center"/>
    </xf>
    <xf numFmtId="165" fontId="1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9" fontId="1" fillId="0" borderId="0" xfId="2" applyNumberFormat="1"/>
    <xf numFmtId="44" fontId="28" fillId="0" borderId="0" xfId="2" applyFont="1" applyFill="1"/>
    <xf numFmtId="44" fontId="1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1" fillId="0" borderId="0" xfId="1"/>
    <xf numFmtId="44" fontId="4" fillId="0" borderId="0" xfId="2" applyFont="1"/>
    <xf numFmtId="44" fontId="1" fillId="0" borderId="12" xfId="2" applyFont="1" applyBorder="1"/>
    <xf numFmtId="165" fontId="1" fillId="0" borderId="2" xfId="1" applyNumberFormat="1" applyFont="1" applyBorder="1"/>
    <xf numFmtId="44" fontId="1" fillId="0" borderId="2" xfId="2" applyFont="1" applyBorder="1"/>
    <xf numFmtId="43" fontId="1" fillId="0" borderId="0" xfId="1" applyNumberFormat="1" applyFont="1"/>
    <xf numFmtId="0" fontId="4" fillId="0" borderId="0" xfId="3" applyFont="1" applyFill="1" applyBorder="1"/>
    <xf numFmtId="0" fontId="1" fillId="0" borderId="0" xfId="3" applyFont="1" applyFill="1" applyBorder="1"/>
    <xf numFmtId="0" fontId="1" fillId="0" borderId="0" xfId="3" applyFont="1" applyFill="1"/>
    <xf numFmtId="165" fontId="5" fillId="0" borderId="0" xfId="1" applyNumberFormat="1" applyFont="1" applyFill="1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5" borderId="0" xfId="1" applyNumberFormat="1" applyFont="1" applyFill="1"/>
    <xf numFmtId="43" fontId="37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164" fontId="9" fillId="0" borderId="0" xfId="1" applyNumberFormat="1" applyFont="1" applyBorder="1" applyAlignment="1">
      <alignment horizontal="center"/>
    </xf>
    <xf numFmtId="164" fontId="38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1" fillId="15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5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1" fillId="16" borderId="0" xfId="1" applyNumberFormat="1" applyFont="1" applyFill="1" applyAlignment="1">
      <alignment horizontal="right"/>
    </xf>
    <xf numFmtId="0" fontId="1" fillId="16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Font="1" applyAlignment="1">
      <alignment horizontal="left" indent="3"/>
    </xf>
    <xf numFmtId="44" fontId="1" fillId="17" borderId="0" xfId="2" applyFont="1" applyFill="1"/>
    <xf numFmtId="165" fontId="1" fillId="0" borderId="0" xfId="1" applyNumberFormat="1" applyFont="1" applyFill="1" applyAlignment="1">
      <alignment horizontal="left"/>
    </xf>
    <xf numFmtId="44" fontId="9" fillId="17" borderId="0" xfId="2" applyFont="1" applyFill="1"/>
    <xf numFmtId="165" fontId="32" fillId="0" borderId="0" xfId="1" applyNumberFormat="1" applyFont="1" applyAlignment="1">
      <alignment horizontal="left"/>
    </xf>
    <xf numFmtId="0" fontId="8" fillId="17" borderId="0" xfId="2" applyNumberFormat="1" applyFont="1" applyFill="1" applyAlignment="1">
      <alignment horizontal="center"/>
    </xf>
    <xf numFmtId="165" fontId="4" fillId="0" borderId="0" xfId="1" applyNumberFormat="1" applyFont="1" applyAlignment="1">
      <alignment horizontal="left" indent="3"/>
    </xf>
    <xf numFmtId="44" fontId="16" fillId="17" borderId="0" xfId="2" applyFont="1" applyFill="1"/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Fill="1"/>
    <xf numFmtId="44" fontId="1" fillId="18" borderId="0" xfId="2" applyNumberFormat="1" applyFont="1" applyFill="1"/>
    <xf numFmtId="44" fontId="1" fillId="18" borderId="0" xfId="2" applyFont="1" applyFill="1"/>
    <xf numFmtId="165" fontId="16" fillId="0" borderId="0" xfId="1" applyNumberFormat="1" applyFont="1"/>
    <xf numFmtId="44" fontId="16" fillId="3" borderId="0" xfId="2" applyFont="1" applyFill="1"/>
    <xf numFmtId="165" fontId="40" fillId="0" borderId="0" xfId="1" applyNumberFormat="1" applyFont="1" applyAlignment="1">
      <alignment horizontal="left"/>
    </xf>
    <xf numFmtId="44" fontId="9" fillId="18" borderId="0" xfId="2" applyFont="1" applyFill="1"/>
    <xf numFmtId="165" fontId="40" fillId="0" borderId="0" xfId="1" applyNumberFormat="1" applyFont="1" applyAlignment="1">
      <alignment horizontal="left" indent="1"/>
    </xf>
    <xf numFmtId="44" fontId="35" fillId="19" borderId="0" xfId="2" applyFont="1" applyFill="1"/>
    <xf numFmtId="0" fontId="8" fillId="18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44" fontId="16" fillId="18" borderId="0" xfId="2" applyFont="1" applyFill="1"/>
    <xf numFmtId="165" fontId="40" fillId="0" borderId="0" xfId="1" applyNumberFormat="1" applyFont="1" applyAlignment="1">
      <alignment horizontal="left" indent="4"/>
    </xf>
    <xf numFmtId="165" fontId="41" fillId="0" borderId="0" xfId="1" applyNumberFormat="1" applyFont="1" applyAlignment="1">
      <alignment horizontal="left"/>
    </xf>
    <xf numFmtId="43" fontId="5" fillId="15" borderId="0" xfId="1" applyFont="1" applyFill="1"/>
    <xf numFmtId="44" fontId="16" fillId="18" borderId="0" xfId="2" applyNumberFormat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20" borderId="0" xfId="1" applyNumberFormat="1" applyFont="1" applyFill="1" applyAlignment="1">
      <alignment horizontal="center"/>
    </xf>
    <xf numFmtId="165" fontId="1" fillId="20" borderId="0" xfId="1" applyNumberFormat="1" applyFont="1" applyFill="1"/>
    <xf numFmtId="44" fontId="16" fillId="20" borderId="0" xfId="2" applyFont="1" applyFill="1"/>
    <xf numFmtId="165" fontId="42" fillId="0" borderId="0" xfId="1" applyNumberFormat="1" applyFont="1"/>
    <xf numFmtId="165" fontId="32" fillId="15" borderId="0" xfId="1" applyNumberFormat="1" applyFont="1" applyFill="1" applyAlignment="1">
      <alignment horizontal="left" vertical="top"/>
    </xf>
    <xf numFmtId="43" fontId="43" fillId="0" borderId="0" xfId="1" applyFont="1"/>
    <xf numFmtId="165" fontId="43" fillId="0" borderId="0" xfId="1" applyNumberFormat="1" applyFont="1"/>
    <xf numFmtId="165" fontId="1" fillId="0" borderId="1" xfId="1" applyNumberFormat="1" applyFont="1" applyBorder="1"/>
    <xf numFmtId="44" fontId="1" fillId="18" borderId="1" xfId="2" applyFont="1" applyFill="1" applyBorder="1"/>
    <xf numFmtId="165" fontId="28" fillId="0" borderId="1" xfId="1" applyNumberFormat="1" applyFont="1" applyBorder="1"/>
    <xf numFmtId="44" fontId="28" fillId="18" borderId="0" xfId="2" applyFont="1" applyFill="1"/>
    <xf numFmtId="44" fontId="9" fillId="18" borderId="1" xfId="2" applyFont="1" applyFill="1" applyBorder="1"/>
    <xf numFmtId="49" fontId="1" fillId="16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NumberFormat="1" applyFont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2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4" fillId="0" borderId="0" xfId="1" applyNumberFormat="1" applyFont="1"/>
    <xf numFmtId="165" fontId="32" fillId="0" borderId="0" xfId="1" applyNumberFormat="1" applyFont="1" applyAlignment="1"/>
    <xf numFmtId="165" fontId="42" fillId="0" borderId="0" xfId="1" applyNumberFormat="1" applyFont="1" applyAlignment="1">
      <alignment horizontal="left"/>
    </xf>
    <xf numFmtId="44" fontId="16" fillId="17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7" borderId="1" xfId="2" applyFont="1" applyFill="1" applyBorder="1"/>
    <xf numFmtId="165" fontId="4" fillId="0" borderId="0" xfId="1" applyNumberFormat="1" applyFont="1" applyAlignment="1">
      <alignment horizontal="center"/>
    </xf>
    <xf numFmtId="165" fontId="4" fillId="0" borderId="1" xfId="1" applyNumberFormat="1" applyFont="1" applyBorder="1" applyAlignment="1">
      <alignment horizontal="left" indent="3"/>
    </xf>
    <xf numFmtId="44" fontId="16" fillId="17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Font="1" applyBorder="1" applyAlignment="1">
      <alignment horizontal="left" indent="3"/>
    </xf>
    <xf numFmtId="165" fontId="32" fillId="0" borderId="2" xfId="1" applyNumberFormat="1" applyFont="1" applyBorder="1" applyAlignment="1"/>
    <xf numFmtId="44" fontId="2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165" fontId="8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44" fontId="32" fillId="0" borderId="1" xfId="2" applyFont="1" applyBorder="1"/>
    <xf numFmtId="165" fontId="1" fillId="0" borderId="1" xfId="1" applyNumberFormat="1" applyFont="1" applyBorder="1" applyAlignment="1">
      <alignment horizontal="left" indent="3"/>
    </xf>
    <xf numFmtId="165" fontId="32" fillId="0" borderId="1" xfId="1" applyNumberFormat="1" applyFont="1" applyBorder="1" applyAlignment="1"/>
    <xf numFmtId="49" fontId="8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4" fontId="8" fillId="0" borderId="2" xfId="2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NumberFormat="1" applyFont="1" applyBorder="1"/>
    <xf numFmtId="44" fontId="2" fillId="4" borderId="0" xfId="2" applyFont="1" applyFill="1"/>
    <xf numFmtId="44" fontId="2" fillId="9" borderId="0" xfId="2" applyFont="1" applyFill="1"/>
    <xf numFmtId="165" fontId="32" fillId="15" borderId="0" xfId="1" applyNumberFormat="1" applyFont="1" applyFill="1"/>
    <xf numFmtId="44" fontId="8" fillId="18" borderId="0" xfId="2" applyFont="1" applyFill="1"/>
    <xf numFmtId="44" fontId="2" fillId="18" borderId="0" xfId="2" applyFont="1" applyFill="1"/>
    <xf numFmtId="44" fontId="5" fillId="19" borderId="0" xfId="2" applyFont="1" applyFill="1"/>
    <xf numFmtId="44" fontId="8" fillId="17" borderId="0" xfId="2" applyFont="1" applyFill="1"/>
    <xf numFmtId="44" fontId="2" fillId="17" borderId="0" xfId="2" applyFont="1" applyFill="1"/>
    <xf numFmtId="44" fontId="5" fillId="17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4" fontId="2" fillId="0" borderId="0" xfId="2" applyNumberFormat="1" applyFont="1" applyBorder="1"/>
    <xf numFmtId="43" fontId="8" fillId="3" borderId="2" xfId="1" applyNumberFormat="1" applyFont="1" applyFill="1" applyBorder="1"/>
    <xf numFmtId="165" fontId="44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43" fontId="4" fillId="0" borderId="12" xfId="1" applyFont="1" applyBorder="1"/>
    <xf numFmtId="165" fontId="45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4" fillId="0" borderId="0" xfId="1" applyNumberFormat="1" applyFont="1"/>
    <xf numFmtId="43" fontId="8" fillId="0" borderId="0" xfId="1" applyNumberFormat="1" applyFont="1" applyAlignment="1">
      <alignment horizontal="left"/>
    </xf>
    <xf numFmtId="165" fontId="5" fillId="0" borderId="0" xfId="1" applyNumberFormat="1" applyFont="1" applyBorder="1"/>
    <xf numFmtId="43" fontId="8" fillId="21" borderId="2" xfId="1" applyNumberFormat="1" applyFont="1" applyFill="1" applyBorder="1" applyAlignment="1">
      <alignment horizontal="left"/>
    </xf>
    <xf numFmtId="165" fontId="34" fillId="0" borderId="0" xfId="1" applyNumberFormat="1" applyFont="1" applyBorder="1"/>
    <xf numFmtId="43" fontId="2" fillId="0" borderId="0" xfId="1" applyNumberFormat="1" applyFont="1" applyBorder="1" applyAlignment="1">
      <alignment horizontal="left"/>
    </xf>
    <xf numFmtId="43" fontId="5" fillId="0" borderId="0" xfId="1" applyFont="1"/>
    <xf numFmtId="49" fontId="2" fillId="15" borderId="0" xfId="0" applyNumberFormat="1" applyFont="1" applyFill="1" applyAlignment="1">
      <alignment horizontal="right"/>
    </xf>
    <xf numFmtId="49" fontId="1" fillId="15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43" fontId="8" fillId="0" borderId="0" xfId="1" applyNumberFormat="1" applyFont="1" applyBorder="1" applyAlignment="1">
      <alignment horizontal="left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12" xfId="1" applyNumberFormat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NumberFormat="1" applyFont="1" applyBorder="1"/>
    <xf numFmtId="171" fontId="34" fillId="0" borderId="0" xfId="1" applyNumberFormat="1" applyFont="1"/>
    <xf numFmtId="171" fontId="5" fillId="0" borderId="0" xfId="1" applyNumberFormat="1" applyFont="1"/>
    <xf numFmtId="0" fontId="1" fillId="0" borderId="0" xfId="3"/>
    <xf numFmtId="0" fontId="1" fillId="0" borderId="0" xfId="3" applyFill="1"/>
    <xf numFmtId="165" fontId="5" fillId="0" borderId="0" xfId="4" applyNumberFormat="1" applyFont="1" applyFill="1"/>
    <xf numFmtId="0" fontId="1" fillId="0" borderId="0" xfId="3" applyFill="1" applyAlignment="1">
      <alignment horizontal="center"/>
    </xf>
    <xf numFmtId="44" fontId="1" fillId="0" borderId="0" xfId="3" applyNumberFormat="1" applyFill="1"/>
    <xf numFmtId="0" fontId="9" fillId="0" borderId="0" xfId="3" applyFont="1" applyFill="1" applyAlignment="1">
      <alignment horizontal="center"/>
    </xf>
    <xf numFmtId="0" fontId="9" fillId="0" borderId="10" xfId="3" applyFont="1" applyFill="1" applyBorder="1" applyAlignment="1">
      <alignment horizontal="center"/>
    </xf>
    <xf numFmtId="0" fontId="2" fillId="0" borderId="0" xfId="3" applyFont="1" applyFill="1" applyAlignment="1">
      <alignment horizontal="right"/>
    </xf>
    <xf numFmtId="44" fontId="2" fillId="0" borderId="0" xfId="3" applyNumberFormat="1" applyFont="1" applyFill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 applyFill="1"/>
    <xf numFmtId="44" fontId="2" fillId="0" borderId="4" xfId="3" applyNumberFormat="1" applyFont="1" applyFill="1" applyBorder="1"/>
    <xf numFmtId="0" fontId="2" fillId="0" borderId="0" xfId="3" applyFont="1" applyFill="1"/>
    <xf numFmtId="49" fontId="7" fillId="0" borderId="4" xfId="3" applyNumberFormat="1" applyFont="1" applyFill="1" applyBorder="1" applyAlignment="1">
      <alignment horizontal="center"/>
    </xf>
    <xf numFmtId="49" fontId="7" fillId="0" borderId="0" xfId="3" applyNumberFormat="1" applyFont="1" applyFill="1" applyAlignment="1">
      <alignment horizontal="center"/>
    </xf>
    <xf numFmtId="44" fontId="9" fillId="0" borderId="4" xfId="3" applyNumberFormat="1" applyFont="1" applyFill="1" applyBorder="1" applyAlignment="1">
      <alignment horizontal="center"/>
    </xf>
    <xf numFmtId="44" fontId="2" fillId="0" borderId="8" xfId="3" applyNumberFormat="1" applyFont="1" applyFill="1" applyBorder="1" applyAlignment="1">
      <alignment horizontal="left"/>
    </xf>
    <xf numFmtId="44" fontId="2" fillId="0" borderId="0" xfId="3" applyNumberFormat="1" applyFont="1" applyFill="1" applyAlignment="1">
      <alignment horizontal="center"/>
    </xf>
    <xf numFmtId="0" fontId="2" fillId="0" borderId="4" xfId="3" applyFont="1" applyFill="1" applyBorder="1"/>
    <xf numFmtId="0" fontId="2" fillId="0" borderId="8" xfId="3" applyFont="1" applyFill="1" applyBorder="1"/>
    <xf numFmtId="44" fontId="8" fillId="0" borderId="2" xfId="3" applyNumberFormat="1" applyFont="1" applyFill="1" applyBorder="1"/>
    <xf numFmtId="44" fontId="8" fillId="0" borderId="9" xfId="3" applyNumberFormat="1" applyFont="1" applyFill="1" applyBorder="1"/>
    <xf numFmtId="0" fontId="4" fillId="0" borderId="2" xfId="3" applyFont="1" applyFill="1" applyBorder="1"/>
    <xf numFmtId="0" fontId="8" fillId="0" borderId="2" xfId="3" applyFont="1" applyFill="1" applyBorder="1" applyAlignment="1">
      <alignment horizontal="left" indent="1"/>
    </xf>
    <xf numFmtId="44" fontId="2" fillId="0" borderId="0" xfId="5" applyFont="1" applyFill="1"/>
    <xf numFmtId="44" fontId="2" fillId="0" borderId="4" xfId="5" applyFont="1" applyFill="1" applyBorder="1"/>
    <xf numFmtId="0" fontId="2" fillId="0" borderId="1" xfId="3" applyFont="1" applyFill="1" applyBorder="1"/>
    <xf numFmtId="0" fontId="2" fillId="0" borderId="1" xfId="3" applyFont="1" applyFill="1" applyBorder="1" applyAlignment="1"/>
    <xf numFmtId="44" fontId="2" fillId="0" borderId="0" xfId="5" applyFont="1" applyFill="1" applyBorder="1"/>
    <xf numFmtId="0" fontId="2" fillId="0" borderId="8" xfId="5" applyNumberFormat="1" applyFont="1" applyFill="1" applyBorder="1" applyAlignment="1">
      <alignment horizontal="left"/>
    </xf>
    <xf numFmtId="44" fontId="2" fillId="0" borderId="8" xfId="5" applyFont="1" applyFill="1" applyBorder="1"/>
    <xf numFmtId="0" fontId="2" fillId="0" borderId="0" xfId="3" applyFont="1" applyFill="1" applyAlignment="1"/>
    <xf numFmtId="44" fontId="2" fillId="0" borderId="7" xfId="5" applyFont="1" applyFill="1" applyBorder="1"/>
    <xf numFmtId="44" fontId="2" fillId="0" borderId="1" xfId="3" applyNumberFormat="1" applyFont="1" applyFill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6" xfId="3" applyNumberFormat="1" applyFont="1" applyFill="1" applyBorder="1" applyAlignment="1">
      <alignment horizontal="center"/>
    </xf>
    <xf numFmtId="44" fontId="2" fillId="0" borderId="4" xfId="3" applyNumberFormat="1" applyFont="1" applyFill="1" applyBorder="1" applyAlignment="1">
      <alignment horizontal="center"/>
    </xf>
    <xf numFmtId="44" fontId="2" fillId="0" borderId="0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0" fontId="8" fillId="0" borderId="1" xfId="3" applyFont="1" applyFill="1" applyBorder="1"/>
    <xf numFmtId="0" fontId="7" fillId="0" borderId="0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0" fontId="1" fillId="0" borderId="3" xfId="3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164" fontId="6" fillId="0" borderId="0" xfId="3" applyNumberFormat="1" applyFont="1" applyFill="1" applyBorder="1" applyAlignment="1"/>
    <xf numFmtId="164" fontId="6" fillId="0" borderId="0" xfId="3" applyNumberFormat="1" applyFont="1" applyFill="1" applyBorder="1" applyAlignment="1">
      <alignment horizontal="left"/>
    </xf>
    <xf numFmtId="0" fontId="6" fillId="0" borderId="0" xfId="3" applyFont="1" applyFill="1" applyAlignment="1"/>
    <xf numFmtId="0" fontId="4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/>
    </xf>
  </cellXfs>
  <cellStyles count="6">
    <cellStyle name="Comma" xfId="1" builtinId="3"/>
    <cellStyle name="Comma 3" xfId="4" xr:uid="{D137F356-F039-46DF-9DA1-F37E7B177882}"/>
    <cellStyle name="Currency" xfId="2" builtinId="4"/>
    <cellStyle name="Currency 3" xfId="5" xr:uid="{7888144F-B3BF-4D0A-A3FE-246742BFA79C}"/>
    <cellStyle name="Normal" xfId="0" builtinId="0"/>
    <cellStyle name="Normal 3" xfId="3" xr:uid="{9B0FDCB7-490D-4CCB-8F40-1683CABD1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08-2019\Core%20GC%20Allocations%200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7-2019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08-2019\WA\UG-180788%20CNGC%20Monthly%20PGA%20Rpt%20August%202019,%209.30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 Old Rates"/>
      <sheetName val="OR Rates 2015"/>
      <sheetName val="OR Deferrals Incl true-up 2"/>
      <sheetName val="WA Rates"/>
      <sheetName val="OR Rates Old Rates"/>
      <sheetName val="WA Rates New Rates"/>
      <sheetName val="OR Rates"/>
      <sheetName val="Core Cost Incurre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6">
          <cell r="K46">
            <v>1231131.18</v>
          </cell>
        </row>
      </sheetData>
      <sheetData sheetId="9" refreshError="1"/>
      <sheetData sheetId="10">
        <row r="2">
          <cell r="B2">
            <v>43702</v>
          </cell>
        </row>
        <row r="42">
          <cell r="K42">
            <v>1705085.5300000003</v>
          </cell>
        </row>
        <row r="43">
          <cell r="K43">
            <v>3502518.8600000008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5">
          <cell r="Q95">
            <v>7541.8228649996654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EFERRALS"/>
      <sheetName val="DG 2530.01288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5.5E-2</v>
          </cell>
          <cell r="C91">
            <v>31</v>
          </cell>
        </row>
        <row r="92">
          <cell r="A92">
            <v>43799</v>
          </cell>
          <cell r="B92">
            <v>5.5E-2</v>
          </cell>
          <cell r="C92">
            <v>30</v>
          </cell>
        </row>
        <row r="93">
          <cell r="A93">
            <v>43830</v>
          </cell>
          <cell r="B93">
            <v>5.5E-2</v>
          </cell>
          <cell r="C93">
            <v>31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C704-A5CB-45F6-8A82-3FD288604760}">
  <dimension ref="B1:AK110"/>
  <sheetViews>
    <sheetView showGridLines="0" topLeftCell="A13" zoomScaleNormal="100" workbookViewId="0">
      <selection activeCell="G48" sqref="G48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2" customWidth="1"/>
    <col min="4" max="4" width="3.5703125" style="11" hidden="1" customWidth="1"/>
    <col min="5" max="5" width="4" style="11" bestFit="1" customWidth="1"/>
    <col min="6" max="6" width="13.7109375" style="11" customWidth="1"/>
    <col min="7" max="7" width="15" style="93" bestFit="1" customWidth="1"/>
    <col min="8" max="8" width="12.140625" style="69" customWidth="1"/>
    <col min="9" max="9" width="11.85546875" style="69" bestFit="1" customWidth="1"/>
    <col min="10" max="10" width="14" style="69" bestFit="1" customWidth="1"/>
    <col min="11" max="12" width="16.140625" style="69" bestFit="1" customWidth="1"/>
    <col min="13" max="13" width="14.5703125" style="69" bestFit="1" customWidth="1"/>
    <col min="14" max="14" width="16.85546875" style="69" bestFit="1" customWidth="1"/>
    <col min="15" max="15" width="16.85546875" style="69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9" t="s">
        <v>25</v>
      </c>
      <c r="C1" s="10"/>
      <c r="E1" s="12" t="s">
        <v>124</v>
      </c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2:37" ht="14.25" customHeight="1" x14ac:dyDescent="0.25">
      <c r="B2" s="9" t="s">
        <v>26</v>
      </c>
      <c r="C2" s="10"/>
      <c r="D2" s="14"/>
      <c r="E2" s="12"/>
      <c r="F2" s="12"/>
      <c r="G2" s="12"/>
      <c r="H2" s="12"/>
      <c r="I2" s="12"/>
      <c r="J2" s="12"/>
      <c r="K2" s="12"/>
      <c r="L2" s="15" t="s">
        <v>27</v>
      </c>
      <c r="M2" s="15"/>
      <c r="N2" s="15"/>
      <c r="O2" s="15"/>
      <c r="P2" s="15"/>
    </row>
    <row r="3" spans="2:37" ht="14.25" customHeight="1" x14ac:dyDescent="0.25">
      <c r="B3" s="16" t="s">
        <v>28</v>
      </c>
      <c r="C3" s="16"/>
      <c r="D3" s="14"/>
      <c r="E3" s="17"/>
      <c r="F3" s="18">
        <f>'Core Cost Incurred'!B2</f>
        <v>43702</v>
      </c>
      <c r="G3" s="18"/>
      <c r="H3" s="18"/>
      <c r="I3" s="18"/>
      <c r="J3" s="18"/>
      <c r="K3" s="18"/>
      <c r="L3" s="19" t="s">
        <v>29</v>
      </c>
      <c r="M3" s="19"/>
      <c r="N3" s="19"/>
      <c r="O3" s="19"/>
      <c r="P3" s="19"/>
    </row>
    <row r="4" spans="2:37" ht="14.25" customHeight="1" x14ac:dyDescent="0.25">
      <c r="B4" s="20" t="s">
        <v>30</v>
      </c>
      <c r="C4" s="20"/>
      <c r="D4" s="14"/>
      <c r="E4" s="17"/>
      <c r="F4" s="18"/>
      <c r="G4" s="18"/>
      <c r="H4" s="18"/>
      <c r="I4" s="18"/>
      <c r="J4" s="18"/>
      <c r="K4" s="18"/>
      <c r="L4" s="21" t="s">
        <v>31</v>
      </c>
      <c r="M4" s="21"/>
      <c r="N4" s="21"/>
      <c r="O4" s="21"/>
      <c r="P4" s="21"/>
    </row>
    <row r="5" spans="2:37" ht="14.25" customHeight="1" x14ac:dyDescent="0.2">
      <c r="D5" s="14"/>
      <c r="E5" s="17"/>
      <c r="F5" s="17"/>
      <c r="G5" s="17"/>
      <c r="H5" s="17"/>
      <c r="I5" s="17"/>
      <c r="J5" s="17"/>
      <c r="K5" s="17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2:37" ht="15" x14ac:dyDescent="0.25">
      <c r="B6" s="23"/>
      <c r="C6" s="24"/>
      <c r="D6" s="25"/>
      <c r="E6" s="25"/>
      <c r="F6" s="25"/>
      <c r="G6" s="26" t="s">
        <v>32</v>
      </c>
      <c r="H6" s="27" t="s">
        <v>3</v>
      </c>
      <c r="I6" s="27" t="s">
        <v>6</v>
      </c>
      <c r="J6" s="27" t="s">
        <v>33</v>
      </c>
      <c r="K6" s="27" t="s">
        <v>3</v>
      </c>
      <c r="L6" s="27" t="s">
        <v>6</v>
      </c>
      <c r="M6" s="27"/>
      <c r="N6" s="27" t="s">
        <v>12</v>
      </c>
      <c r="O6" s="28"/>
      <c r="Q6" s="29"/>
      <c r="R6" s="34">
        <v>200294.94</v>
      </c>
      <c r="S6" s="29"/>
      <c r="T6" s="29"/>
      <c r="U6" s="34">
        <v>140046.39000000001</v>
      </c>
      <c r="V6" s="29"/>
      <c r="W6" s="29"/>
      <c r="X6" s="29"/>
      <c r="Y6" s="29"/>
      <c r="Z6" s="29"/>
      <c r="AA6" s="29"/>
      <c r="AB6" s="29"/>
      <c r="AC6" s="30"/>
    </row>
    <row r="7" spans="2:37" ht="15" x14ac:dyDescent="0.25">
      <c r="B7" s="31"/>
      <c r="C7" s="32"/>
      <c r="D7" s="33"/>
      <c r="E7" s="33"/>
      <c r="F7" s="31" t="s">
        <v>34</v>
      </c>
      <c r="G7" s="26" t="s">
        <v>35</v>
      </c>
      <c r="H7" s="27" t="s">
        <v>36</v>
      </c>
      <c r="I7" s="27" t="s">
        <v>36</v>
      </c>
      <c r="J7" s="27" t="s">
        <v>11</v>
      </c>
      <c r="K7" s="27" t="s">
        <v>37</v>
      </c>
      <c r="L7" s="27" t="s">
        <v>37</v>
      </c>
      <c r="M7" s="27" t="s">
        <v>33</v>
      </c>
      <c r="N7" s="27" t="s">
        <v>33</v>
      </c>
      <c r="O7" s="28"/>
      <c r="Q7" s="34">
        <v>11214374</v>
      </c>
      <c r="R7" s="34">
        <f>2345597.06+78799.97+56688.77</f>
        <v>2481085.8000000003</v>
      </c>
      <c r="S7" s="29"/>
      <c r="T7" s="34">
        <v>2845776</v>
      </c>
      <c r="U7" s="34">
        <v>459339.89</v>
      </c>
      <c r="V7" s="29"/>
      <c r="W7" s="29"/>
      <c r="X7" s="29"/>
      <c r="Y7" s="29"/>
      <c r="Z7" s="29"/>
      <c r="AA7" s="29"/>
      <c r="AB7" s="29"/>
      <c r="AC7" s="35"/>
      <c r="AD7" s="2"/>
    </row>
    <row r="8" spans="2:37" s="43" customFormat="1" x14ac:dyDescent="0.2">
      <c r="B8" s="36"/>
      <c r="C8" s="37"/>
      <c r="D8" s="36" t="s">
        <v>38</v>
      </c>
      <c r="E8" s="36" t="s">
        <v>39</v>
      </c>
      <c r="F8" s="36" t="s">
        <v>39</v>
      </c>
      <c r="G8" s="38" t="s">
        <v>40</v>
      </c>
      <c r="H8" s="39" t="s">
        <v>125</v>
      </c>
      <c r="I8" s="39" t="str">
        <f>+H8</f>
        <v>Apr 1 2019</v>
      </c>
      <c r="J8" s="39" t="str">
        <f>I8</f>
        <v>Apr 1 2019</v>
      </c>
      <c r="K8" s="40" t="s">
        <v>41</v>
      </c>
      <c r="L8" s="40" t="s">
        <v>41</v>
      </c>
      <c r="M8" s="40" t="s">
        <v>11</v>
      </c>
      <c r="N8" s="40" t="s">
        <v>41</v>
      </c>
      <c r="O8" s="28"/>
      <c r="P8"/>
      <c r="V8" s="29"/>
      <c r="W8" s="29"/>
      <c r="X8" s="29"/>
      <c r="Y8" s="29"/>
      <c r="Z8" s="29"/>
      <c r="AA8" s="29"/>
      <c r="AB8" s="29"/>
      <c r="AC8" s="41"/>
      <c r="AD8" s="2" t="s">
        <v>42</v>
      </c>
      <c r="AE8" s="2" t="s">
        <v>43</v>
      </c>
      <c r="AF8" s="2" t="s">
        <v>44</v>
      </c>
      <c r="AG8" s="42" t="s">
        <v>0</v>
      </c>
      <c r="AH8" s="2" t="s">
        <v>45</v>
      </c>
      <c r="AI8" s="2" t="s">
        <v>46</v>
      </c>
      <c r="AJ8" s="2" t="s">
        <v>47</v>
      </c>
      <c r="AK8" s="2" t="s">
        <v>48</v>
      </c>
    </row>
    <row r="9" spans="2:37" ht="15.75" x14ac:dyDescent="0.25">
      <c r="B9" s="44" t="s">
        <v>49</v>
      </c>
      <c r="C9" s="22" t="s">
        <v>52</v>
      </c>
      <c r="D9" s="45">
        <v>1</v>
      </c>
      <c r="E9" s="11" t="s">
        <v>53</v>
      </c>
      <c r="F9" s="46" t="s">
        <v>54</v>
      </c>
      <c r="G9" s="47">
        <v>0</v>
      </c>
      <c r="H9" s="48">
        <v>0.2424</v>
      </c>
      <c r="I9" s="48">
        <v>0.1736</v>
      </c>
      <c r="J9" s="48">
        <f>0.0074+0.07276</f>
        <v>8.0160000000000009E-2</v>
      </c>
      <c r="K9" s="49">
        <f>ROUND(H9*G9,2)</f>
        <v>0</v>
      </c>
      <c r="L9" s="49">
        <f>ROUND(G9*I9,2)</f>
        <v>0</v>
      </c>
      <c r="M9" s="54">
        <f>ROUND(G9*J9,2)</f>
        <v>0</v>
      </c>
      <c r="N9" s="49">
        <f>SUM(K9:M9)</f>
        <v>0</v>
      </c>
      <c r="O9" s="51"/>
      <c r="Q9" s="55">
        <f>+-1529533-194708</f>
        <v>-1724241</v>
      </c>
      <c r="R9" s="55">
        <f>+-304369.99-70364.48</f>
        <v>-374734.47</v>
      </c>
      <c r="S9" s="52"/>
      <c r="T9" s="56">
        <f>+-505447-64182</f>
        <v>-569629</v>
      </c>
      <c r="U9" s="56">
        <f>+-100581.61-23194.4</f>
        <v>-123776.01000000001</v>
      </c>
      <c r="V9" s="52"/>
      <c r="W9" s="52"/>
      <c r="X9" s="52"/>
      <c r="Y9" s="52"/>
      <c r="Z9" s="52"/>
      <c r="AA9" s="52"/>
      <c r="AB9" s="52"/>
      <c r="AC9" s="29"/>
      <c r="AD9" t="s">
        <v>51</v>
      </c>
      <c r="AG9" s="29">
        <v>0</v>
      </c>
      <c r="AK9" t="s">
        <v>55</v>
      </c>
    </row>
    <row r="10" spans="2:37" ht="15.75" x14ac:dyDescent="0.25">
      <c r="B10" s="44" t="s">
        <v>49</v>
      </c>
      <c r="C10" s="22" t="s">
        <v>56</v>
      </c>
      <c r="D10" s="45">
        <v>1</v>
      </c>
      <c r="E10" s="11" t="s">
        <v>57</v>
      </c>
      <c r="F10" s="46" t="s">
        <v>58</v>
      </c>
      <c r="G10" s="57">
        <v>2775098</v>
      </c>
      <c r="H10" s="53">
        <f>$H$9</f>
        <v>0.2424</v>
      </c>
      <c r="I10" s="48">
        <v>0.17624999999999999</v>
      </c>
      <c r="J10" s="53">
        <f>+$J$9</f>
        <v>8.0160000000000009E-2</v>
      </c>
      <c r="K10" s="49">
        <f>ROUND(H10*G10,2)</f>
        <v>672683.76</v>
      </c>
      <c r="L10" s="49">
        <f>ROUND(G10*I10,2)</f>
        <v>489111.02</v>
      </c>
      <c r="M10" s="54">
        <f>ROUND(G10*J10,2)</f>
        <v>222451.86</v>
      </c>
      <c r="N10" s="50">
        <f>SUM(K10:M10)</f>
        <v>1384246.6400000001</v>
      </c>
      <c r="O10" s="51"/>
      <c r="Q10" s="56"/>
      <c r="R10" s="56"/>
      <c r="S10" s="56"/>
      <c r="T10" s="56"/>
      <c r="U10" s="56"/>
      <c r="V10" s="52"/>
      <c r="W10" s="52"/>
      <c r="X10" s="52"/>
      <c r="Y10" s="52"/>
      <c r="Z10" s="52"/>
      <c r="AA10" s="52"/>
      <c r="AB10" s="52"/>
      <c r="AC10" s="29"/>
      <c r="AD10" t="s">
        <v>51</v>
      </c>
      <c r="AG10" s="29">
        <v>0</v>
      </c>
      <c r="AK10" t="s">
        <v>59</v>
      </c>
    </row>
    <row r="11" spans="2:37" ht="15.75" x14ac:dyDescent="0.25">
      <c r="B11" s="44" t="s">
        <v>60</v>
      </c>
      <c r="C11" s="22" t="s">
        <v>61</v>
      </c>
      <c r="D11" s="45">
        <v>1</v>
      </c>
      <c r="E11" s="11" t="s">
        <v>57</v>
      </c>
      <c r="F11" s="46" t="s">
        <v>58</v>
      </c>
      <c r="G11" s="58">
        <v>-2058587</v>
      </c>
      <c r="H11" s="53">
        <f>$H$9</f>
        <v>0.2424</v>
      </c>
      <c r="I11" s="53">
        <f>$I$10</f>
        <v>0.17624999999999999</v>
      </c>
      <c r="J11" s="53">
        <f>+$J$9</f>
        <v>8.0160000000000009E-2</v>
      </c>
      <c r="K11" s="49">
        <f>ROUND(H11*G11,2)</f>
        <v>-499001.49</v>
      </c>
      <c r="L11" s="49">
        <f>ROUND(G11*I11,2)</f>
        <v>-362825.96</v>
      </c>
      <c r="M11" s="54"/>
      <c r="N11" s="50">
        <f>SUM(K11:M11)</f>
        <v>-861827.45</v>
      </c>
      <c r="O11" s="51"/>
      <c r="Q11" s="59"/>
      <c r="R11" s="59"/>
      <c r="S11" s="59"/>
      <c r="T11" s="59"/>
      <c r="U11" s="59"/>
      <c r="V11" s="60"/>
      <c r="W11" s="60"/>
      <c r="X11" s="60"/>
      <c r="Y11" s="60"/>
      <c r="Z11" s="60"/>
      <c r="AA11" s="60"/>
      <c r="AB11" s="60"/>
      <c r="AC11" s="29"/>
      <c r="AD11" t="s">
        <v>51</v>
      </c>
      <c r="AG11" s="29">
        <v>0</v>
      </c>
      <c r="AK11" t="s">
        <v>59</v>
      </c>
    </row>
    <row r="12" spans="2:37" ht="15.75" x14ac:dyDescent="0.25">
      <c r="B12" s="44" t="s">
        <v>60</v>
      </c>
      <c r="C12" s="22" t="s">
        <v>62</v>
      </c>
      <c r="D12" s="45">
        <v>1</v>
      </c>
      <c r="E12" s="11" t="s">
        <v>57</v>
      </c>
      <c r="F12" s="46" t="s">
        <v>58</v>
      </c>
      <c r="G12" s="58">
        <v>1100941</v>
      </c>
      <c r="H12" s="53">
        <f>$H$9</f>
        <v>0.2424</v>
      </c>
      <c r="I12" s="53">
        <f>$I$10</f>
        <v>0.17624999999999999</v>
      </c>
      <c r="J12" s="53">
        <f>+$J$9</f>
        <v>8.0160000000000009E-2</v>
      </c>
      <c r="K12" s="49">
        <f>ROUND(H12*G12,2)</f>
        <v>266868.09999999998</v>
      </c>
      <c r="L12" s="49">
        <f>ROUND(G12*I12,2)</f>
        <v>194040.85</v>
      </c>
      <c r="M12" s="54"/>
      <c r="N12" s="50">
        <f>SUM(K12:M12)</f>
        <v>460908.94999999995</v>
      </c>
      <c r="O12" s="51"/>
      <c r="Q12" s="59"/>
      <c r="R12" s="59"/>
      <c r="S12" s="59"/>
      <c r="T12" s="59"/>
      <c r="U12" s="59"/>
      <c r="V12" s="60"/>
      <c r="W12" s="60"/>
      <c r="X12" s="60"/>
      <c r="Y12" s="60"/>
      <c r="Z12" s="60"/>
      <c r="AA12" s="60"/>
      <c r="AB12" s="60"/>
      <c r="AC12" s="29"/>
      <c r="AD12" t="s">
        <v>51</v>
      </c>
      <c r="AG12" s="29">
        <v>0</v>
      </c>
      <c r="AK12" t="s">
        <v>59</v>
      </c>
    </row>
    <row r="13" spans="2:37" ht="12.2" customHeight="1" x14ac:dyDescent="0.2">
      <c r="B13" s="44"/>
      <c r="D13" s="45"/>
      <c r="F13" s="46"/>
      <c r="G13" s="47"/>
      <c r="H13" s="53"/>
      <c r="I13" s="53"/>
      <c r="J13" s="53"/>
      <c r="K13" s="49"/>
      <c r="L13" s="49"/>
      <c r="M13" s="54"/>
      <c r="N13" s="49"/>
      <c r="O13" s="51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29"/>
      <c r="AG13" s="29"/>
    </row>
    <row r="14" spans="2:37" ht="15.75" x14ac:dyDescent="0.25">
      <c r="B14" s="44" t="s">
        <v>63</v>
      </c>
      <c r="C14" s="22" t="s">
        <v>64</v>
      </c>
      <c r="D14" s="45">
        <v>2</v>
      </c>
      <c r="E14" s="11" t="s">
        <v>65</v>
      </c>
      <c r="F14" s="46" t="s">
        <v>66</v>
      </c>
      <c r="G14" s="57">
        <v>2791770</v>
      </c>
      <c r="H14" s="53">
        <f>$H$9</f>
        <v>0.2424</v>
      </c>
      <c r="I14" s="53">
        <f>+$I$9</f>
        <v>0.1736</v>
      </c>
      <c r="J14" s="53">
        <f>+$J$9</f>
        <v>8.0160000000000009E-2</v>
      </c>
      <c r="K14" s="49">
        <f>ROUND(H14*G14,2)</f>
        <v>676725.05</v>
      </c>
      <c r="L14" s="49">
        <f>ROUND(G14*I14,2)</f>
        <v>484651.27</v>
      </c>
      <c r="M14" s="54">
        <f>ROUND(G14*J14,2)</f>
        <v>223788.28</v>
      </c>
      <c r="N14" s="61">
        <f>SUM(K14:M14)</f>
        <v>1385164.6</v>
      </c>
      <c r="O14" s="62">
        <v>-0.02</v>
      </c>
      <c r="Q14" s="52" t="s">
        <v>50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29"/>
      <c r="AD14" t="s">
        <v>51</v>
      </c>
      <c r="AG14" s="29">
        <v>0</v>
      </c>
      <c r="AK14" t="s">
        <v>67</v>
      </c>
    </row>
    <row r="15" spans="2:37" ht="15.75" x14ac:dyDescent="0.25">
      <c r="B15" s="44" t="s">
        <v>68</v>
      </c>
      <c r="C15" s="22" t="s">
        <v>69</v>
      </c>
      <c r="D15" s="45">
        <v>2</v>
      </c>
      <c r="E15" s="11" t="s">
        <v>65</v>
      </c>
      <c r="F15" s="46" t="s">
        <v>66</v>
      </c>
      <c r="G15" s="58">
        <v>-2183931</v>
      </c>
      <c r="H15" s="53">
        <f>$H$9</f>
        <v>0.2424</v>
      </c>
      <c r="I15" s="53">
        <f>+$I$9</f>
        <v>0.1736</v>
      </c>
      <c r="J15" s="53">
        <f>+$J$9</f>
        <v>8.0160000000000009E-2</v>
      </c>
      <c r="K15" s="49">
        <f>ROUND(H15*G15,2)</f>
        <v>-529384.87</v>
      </c>
      <c r="L15" s="49">
        <f>ROUND(G15*I15,2)</f>
        <v>-379130.42</v>
      </c>
      <c r="M15" s="54"/>
      <c r="N15" s="61">
        <f>SUM(K15:M15)</f>
        <v>-908515.29</v>
      </c>
      <c r="O15" s="62"/>
      <c r="Q15" s="60" t="s">
        <v>70</v>
      </c>
      <c r="R15" s="60">
        <f>101807.82+3135667.8</f>
        <v>3237475.6199999996</v>
      </c>
      <c r="S15" s="60"/>
      <c r="T15" s="60"/>
      <c r="U15" s="59">
        <f>242253.38+412186.68</f>
        <v>654440.06000000006</v>
      </c>
      <c r="V15" s="60"/>
      <c r="W15" s="60"/>
      <c r="X15" s="60"/>
      <c r="Y15" s="60"/>
      <c r="Z15" s="60"/>
      <c r="AA15" s="60"/>
      <c r="AB15" s="60"/>
      <c r="AC15" s="29"/>
      <c r="AD15" t="s">
        <v>51</v>
      </c>
      <c r="AG15" s="29">
        <v>0</v>
      </c>
      <c r="AK15" t="s">
        <v>67</v>
      </c>
    </row>
    <row r="16" spans="2:37" ht="15.75" x14ac:dyDescent="0.25">
      <c r="B16" s="44" t="s">
        <v>68</v>
      </c>
      <c r="C16" s="22" t="s">
        <v>71</v>
      </c>
      <c r="D16" s="45">
        <v>2</v>
      </c>
      <c r="E16" s="11" t="s">
        <v>65</v>
      </c>
      <c r="F16" s="46" t="s">
        <v>66</v>
      </c>
      <c r="G16" s="58">
        <v>1243727</v>
      </c>
      <c r="H16" s="53">
        <f>$H$9</f>
        <v>0.2424</v>
      </c>
      <c r="I16" s="53">
        <f>+$I$9</f>
        <v>0.1736</v>
      </c>
      <c r="J16" s="53">
        <f>+$J$9</f>
        <v>8.0160000000000009E-2</v>
      </c>
      <c r="K16" s="49">
        <f>ROUND(H16*G16,2)</f>
        <v>301479.42</v>
      </c>
      <c r="L16" s="49">
        <f>ROUND(G16*I16,2)</f>
        <v>215911.01</v>
      </c>
      <c r="M16" s="54"/>
      <c r="N16" s="50">
        <f>SUM(K16:M16)</f>
        <v>517390.43</v>
      </c>
      <c r="O16" s="51"/>
      <c r="Q16" s="60" t="s">
        <v>70</v>
      </c>
      <c r="R16" s="60">
        <v>55387.57</v>
      </c>
      <c r="S16" s="60"/>
      <c r="T16" s="60"/>
      <c r="U16" s="59">
        <v>7182.43</v>
      </c>
      <c r="V16" s="60"/>
      <c r="W16" s="60"/>
      <c r="X16" s="60"/>
      <c r="Y16" s="60"/>
      <c r="Z16" s="60"/>
      <c r="AA16" s="60"/>
      <c r="AB16" s="60"/>
      <c r="AC16" s="29"/>
      <c r="AD16" t="s">
        <v>51</v>
      </c>
      <c r="AG16" s="29">
        <v>0</v>
      </c>
      <c r="AK16" t="s">
        <v>67</v>
      </c>
    </row>
    <row r="17" spans="2:37" ht="12.2" customHeight="1" x14ac:dyDescent="0.2">
      <c r="B17" s="44"/>
      <c r="D17" s="45"/>
      <c r="F17" s="46"/>
      <c r="G17" s="47"/>
      <c r="H17" s="53"/>
      <c r="I17" s="53"/>
      <c r="J17" s="53"/>
      <c r="K17" s="49"/>
      <c r="L17" s="49"/>
      <c r="M17" s="54"/>
      <c r="N17" s="49"/>
      <c r="O17" s="51"/>
      <c r="Q17" s="4"/>
      <c r="R17" s="4"/>
      <c r="S17" s="4"/>
      <c r="T17" s="4"/>
      <c r="U17" s="56"/>
      <c r="V17" s="4"/>
      <c r="W17" s="4"/>
      <c r="X17" s="4"/>
      <c r="Y17" s="4"/>
      <c r="Z17" s="4"/>
      <c r="AA17" s="4"/>
      <c r="AB17" s="4"/>
      <c r="AC17" s="29"/>
      <c r="AG17" s="29"/>
    </row>
    <row r="18" spans="2:37" ht="15.75" x14ac:dyDescent="0.25">
      <c r="B18" s="44" t="s">
        <v>63</v>
      </c>
      <c r="C18" s="22" t="s">
        <v>72</v>
      </c>
      <c r="D18" s="45">
        <v>2</v>
      </c>
      <c r="E18" s="11" t="s">
        <v>73</v>
      </c>
      <c r="F18" s="46" t="s">
        <v>74</v>
      </c>
      <c r="G18" s="57">
        <v>400926</v>
      </c>
      <c r="H18" s="53">
        <f>$H$9</f>
        <v>0.2424</v>
      </c>
      <c r="I18" s="48">
        <v>0.16053999999999999</v>
      </c>
      <c r="J18" s="53">
        <f t="shared" ref="J18:J23" si="0">+$J$9</f>
        <v>8.0160000000000009E-2</v>
      </c>
      <c r="K18" s="49">
        <f t="shared" ref="K18:K23" si="1">ROUND(H18*G18,2)</f>
        <v>97184.46</v>
      </c>
      <c r="L18" s="49">
        <f t="shared" ref="L18:L23" si="2">ROUND(G18*I18,2)</f>
        <v>64364.66</v>
      </c>
      <c r="M18" s="54">
        <f t="shared" ref="M18:M23" si="3">ROUND(G18*J18,2)</f>
        <v>32138.23</v>
      </c>
      <c r="N18" s="63">
        <f t="shared" ref="N18:N23" si="4">SUM(K18:M18)</f>
        <v>193687.35</v>
      </c>
      <c r="O18" s="62">
        <v>2.0699999999999998</v>
      </c>
      <c r="Q18" s="52" t="s">
        <v>50</v>
      </c>
      <c r="R18" s="52">
        <v>625208.07999999996</v>
      </c>
      <c r="S18" s="52"/>
      <c r="T18" s="52"/>
      <c r="U18" s="56">
        <f>44136.69+5300</f>
        <v>49436.69</v>
      </c>
      <c r="V18" s="52"/>
      <c r="W18" s="52"/>
      <c r="X18" s="52"/>
      <c r="Y18" s="52"/>
      <c r="Z18" s="52"/>
      <c r="AA18" s="52"/>
      <c r="AB18" s="52"/>
      <c r="AC18" s="29"/>
      <c r="AD18" t="s">
        <v>51</v>
      </c>
      <c r="AG18" s="29">
        <v>0</v>
      </c>
      <c r="AK18" t="s">
        <v>75</v>
      </c>
    </row>
    <row r="19" spans="2:37" ht="15" x14ac:dyDescent="0.2">
      <c r="B19" s="44" t="s">
        <v>63</v>
      </c>
      <c r="C19" s="22" t="s">
        <v>76</v>
      </c>
      <c r="D19" s="45">
        <v>2</v>
      </c>
      <c r="E19" s="11" t="s">
        <v>77</v>
      </c>
      <c r="F19" s="46" t="s">
        <v>78</v>
      </c>
      <c r="G19" s="47"/>
      <c r="H19" s="53">
        <f t="shared" ref="H19:H23" si="5">$H$9</f>
        <v>0.2424</v>
      </c>
      <c r="I19" s="53">
        <f>+$I$9</f>
        <v>0.1736</v>
      </c>
      <c r="J19" s="53">
        <f t="shared" si="0"/>
        <v>8.0160000000000009E-2</v>
      </c>
      <c r="K19" s="49">
        <f t="shared" si="1"/>
        <v>0</v>
      </c>
      <c r="L19" s="49">
        <f t="shared" si="2"/>
        <v>0</v>
      </c>
      <c r="M19" s="54">
        <f t="shared" si="3"/>
        <v>0</v>
      </c>
      <c r="N19" s="50">
        <f>SUM(K19:M19)</f>
        <v>0</v>
      </c>
      <c r="O19" s="51">
        <v>0.01</v>
      </c>
      <c r="Q19" s="52" t="s">
        <v>50</v>
      </c>
      <c r="R19" s="52">
        <f>+-128.04-565547.01</f>
        <v>-565675.05000000005</v>
      </c>
      <c r="S19" s="52"/>
      <c r="T19" s="52"/>
      <c r="U19" s="56">
        <f>+-193.7-79036.58</f>
        <v>-79230.28</v>
      </c>
      <c r="V19" s="52"/>
      <c r="W19" s="52"/>
      <c r="X19" s="52"/>
      <c r="Y19" s="52"/>
      <c r="Z19" s="52"/>
      <c r="AA19" s="52"/>
      <c r="AB19" s="52"/>
      <c r="AC19" s="64"/>
      <c r="AD19" t="s">
        <v>51</v>
      </c>
      <c r="AG19" s="29">
        <v>0</v>
      </c>
      <c r="AK19" t="s">
        <v>79</v>
      </c>
    </row>
    <row r="20" spans="2:37" ht="15" x14ac:dyDescent="0.2">
      <c r="B20" s="44" t="s">
        <v>63</v>
      </c>
      <c r="C20" s="22" t="s">
        <v>80</v>
      </c>
      <c r="D20" s="45">
        <v>2</v>
      </c>
      <c r="E20" s="11" t="s">
        <v>53</v>
      </c>
      <c r="F20" s="46" t="s">
        <v>54</v>
      </c>
      <c r="G20" s="47">
        <v>0</v>
      </c>
      <c r="H20" s="53">
        <f t="shared" si="5"/>
        <v>0.2424</v>
      </c>
      <c r="I20" s="53">
        <f>+$I$9</f>
        <v>0.1736</v>
      </c>
      <c r="J20" s="53">
        <f t="shared" si="0"/>
        <v>8.0160000000000009E-2</v>
      </c>
      <c r="K20" s="49">
        <f t="shared" si="1"/>
        <v>0</v>
      </c>
      <c r="L20" s="49">
        <f t="shared" si="2"/>
        <v>0</v>
      </c>
      <c r="M20" s="54">
        <f t="shared" si="3"/>
        <v>0</v>
      </c>
      <c r="N20" s="49">
        <f t="shared" si="4"/>
        <v>0</v>
      </c>
      <c r="O20" s="51"/>
      <c r="Q20" s="52" t="s">
        <v>50</v>
      </c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64"/>
      <c r="AD20" t="s">
        <v>51</v>
      </c>
      <c r="AG20" s="29">
        <v>0</v>
      </c>
      <c r="AK20" t="s">
        <v>81</v>
      </c>
    </row>
    <row r="21" spans="2:37" ht="15.75" x14ac:dyDescent="0.25">
      <c r="B21" s="44" t="s">
        <v>63</v>
      </c>
      <c r="C21" s="22" t="s">
        <v>72</v>
      </c>
      <c r="D21" s="45">
        <v>2</v>
      </c>
      <c r="E21" s="11" t="s">
        <v>73</v>
      </c>
      <c r="F21" s="46" t="s">
        <v>83</v>
      </c>
      <c r="G21" s="57">
        <v>155</v>
      </c>
      <c r="H21" s="53">
        <f t="shared" si="5"/>
        <v>0.2424</v>
      </c>
      <c r="I21" s="53">
        <f>+$I$9</f>
        <v>0.1736</v>
      </c>
      <c r="J21" s="53">
        <f t="shared" si="0"/>
        <v>8.0160000000000009E-2</v>
      </c>
      <c r="K21" s="49">
        <f t="shared" si="1"/>
        <v>37.57</v>
      </c>
      <c r="L21" s="49">
        <f t="shared" si="2"/>
        <v>26.91</v>
      </c>
      <c r="M21" s="54">
        <f t="shared" si="3"/>
        <v>12.42</v>
      </c>
      <c r="N21" s="61">
        <f t="shared" si="4"/>
        <v>76.900000000000006</v>
      </c>
      <c r="O21" s="62"/>
      <c r="Q21" s="52" t="s">
        <v>50</v>
      </c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9"/>
      <c r="AD21" t="s">
        <v>51</v>
      </c>
      <c r="AG21" s="29">
        <v>0</v>
      </c>
      <c r="AK21" t="s">
        <v>75</v>
      </c>
    </row>
    <row r="22" spans="2:37" ht="15.75" x14ac:dyDescent="0.25">
      <c r="B22" s="44" t="s">
        <v>68</v>
      </c>
      <c r="C22" s="22" t="s">
        <v>82</v>
      </c>
      <c r="D22" s="45">
        <v>2</v>
      </c>
      <c r="E22" s="11" t="s">
        <v>73</v>
      </c>
      <c r="F22" s="46" t="s">
        <v>83</v>
      </c>
      <c r="G22" s="65">
        <v>-155</v>
      </c>
      <c r="H22" s="53">
        <f t="shared" si="5"/>
        <v>0.2424</v>
      </c>
      <c r="I22" s="53">
        <f>+$I$9</f>
        <v>0.1736</v>
      </c>
      <c r="J22" s="53">
        <f t="shared" si="0"/>
        <v>8.0160000000000009E-2</v>
      </c>
      <c r="K22" s="49">
        <f t="shared" si="1"/>
        <v>-37.57</v>
      </c>
      <c r="L22" s="49">
        <f t="shared" si="2"/>
        <v>-26.91</v>
      </c>
      <c r="M22" s="54">
        <f t="shared" si="3"/>
        <v>-12.42</v>
      </c>
      <c r="N22" s="61">
        <f t="shared" si="4"/>
        <v>-76.900000000000006</v>
      </c>
      <c r="O22" s="62"/>
      <c r="Q22" s="4"/>
      <c r="R22" s="4">
        <v>57899.56</v>
      </c>
      <c r="S22" s="4"/>
      <c r="T22" s="4"/>
      <c r="U22" s="56">
        <v>8091.98</v>
      </c>
      <c r="V22" s="4"/>
      <c r="W22" s="4"/>
      <c r="X22" s="4"/>
      <c r="Y22" s="4"/>
      <c r="Z22" s="4"/>
      <c r="AA22" s="4"/>
      <c r="AB22" s="4"/>
      <c r="AC22" s="66"/>
      <c r="AD22" t="s">
        <v>51</v>
      </c>
      <c r="AG22" s="29">
        <v>0</v>
      </c>
      <c r="AK22" t="s">
        <v>75</v>
      </c>
    </row>
    <row r="23" spans="2:37" ht="15.75" x14ac:dyDescent="0.25">
      <c r="B23" s="44" t="s">
        <v>68</v>
      </c>
      <c r="C23" s="22" t="s">
        <v>84</v>
      </c>
      <c r="D23" s="45">
        <v>2</v>
      </c>
      <c r="E23" s="11" t="s">
        <v>73</v>
      </c>
      <c r="F23" s="46" t="s">
        <v>83</v>
      </c>
      <c r="G23" s="65">
        <v>138</v>
      </c>
      <c r="H23" s="53">
        <f t="shared" si="5"/>
        <v>0.2424</v>
      </c>
      <c r="I23" s="53">
        <f>+$I$9</f>
        <v>0.1736</v>
      </c>
      <c r="J23" s="53">
        <f t="shared" si="0"/>
        <v>8.0160000000000009E-2</v>
      </c>
      <c r="K23" s="49">
        <f t="shared" si="1"/>
        <v>33.450000000000003</v>
      </c>
      <c r="L23" s="49">
        <f t="shared" si="2"/>
        <v>23.96</v>
      </c>
      <c r="M23" s="54">
        <f t="shared" si="3"/>
        <v>11.06</v>
      </c>
      <c r="N23" s="50">
        <f t="shared" si="4"/>
        <v>68.47</v>
      </c>
      <c r="O23" s="51"/>
      <c r="Q23" s="4"/>
      <c r="R23" s="4">
        <v>61282.61</v>
      </c>
      <c r="S23" s="4"/>
      <c r="T23" s="4"/>
      <c r="U23" s="56">
        <v>6665.73</v>
      </c>
      <c r="V23" s="4"/>
      <c r="W23" s="4"/>
      <c r="X23" s="4"/>
      <c r="Y23" s="4"/>
      <c r="Z23" s="4"/>
      <c r="AA23" s="4"/>
      <c r="AB23" s="4"/>
      <c r="AC23" s="66"/>
      <c r="AD23" t="s">
        <v>51</v>
      </c>
      <c r="AG23" s="29">
        <v>0</v>
      </c>
      <c r="AK23" t="s">
        <v>75</v>
      </c>
    </row>
    <row r="24" spans="2:37" ht="12.2" customHeight="1" x14ac:dyDescent="0.2">
      <c r="B24" s="44"/>
      <c r="D24" s="45"/>
      <c r="F24" s="46"/>
      <c r="G24" s="67"/>
      <c r="H24" s="68"/>
      <c r="I24" s="53"/>
      <c r="J24" s="53"/>
      <c r="K24" s="49"/>
      <c r="L24" s="49"/>
      <c r="M24" s="54"/>
      <c r="N24" s="49"/>
      <c r="O24" s="51"/>
      <c r="Q24" s="4"/>
      <c r="R24" s="4"/>
      <c r="S24" s="4"/>
      <c r="T24" s="4"/>
      <c r="U24" s="56"/>
      <c r="V24" s="4"/>
      <c r="W24" s="4"/>
      <c r="X24" s="4"/>
      <c r="Y24" s="4"/>
      <c r="Z24" s="4"/>
      <c r="AA24" s="4"/>
      <c r="AB24" s="4"/>
      <c r="AC24" s="66"/>
      <c r="AG24" s="29"/>
    </row>
    <row r="25" spans="2:37" ht="15.75" x14ac:dyDescent="0.25">
      <c r="B25" s="44" t="s">
        <v>85</v>
      </c>
      <c r="C25" s="22" t="s">
        <v>86</v>
      </c>
      <c r="D25" s="45">
        <v>3</v>
      </c>
      <c r="E25" s="11" t="s">
        <v>87</v>
      </c>
      <c r="F25" s="46" t="s">
        <v>88</v>
      </c>
      <c r="G25" s="57">
        <v>564404</v>
      </c>
      <c r="H25" s="53">
        <f t="shared" ref="H25:H44" si="6">$H$9</f>
        <v>0.2424</v>
      </c>
      <c r="I25" s="53">
        <f>$I$18</f>
        <v>0.16053999999999999</v>
      </c>
      <c r="J25" s="53">
        <f t="shared" ref="J25:J44" si="7">+$J$9</f>
        <v>8.0160000000000009E-2</v>
      </c>
      <c r="K25" s="49">
        <f>ROUND(H25*G25,2)</f>
        <v>136811.53</v>
      </c>
      <c r="L25" s="49">
        <f>ROUND(G25*I25,2)</f>
        <v>90609.42</v>
      </c>
      <c r="M25" s="54">
        <f>ROUND(G25*J25,2)</f>
        <v>45242.62</v>
      </c>
      <c r="N25" s="50">
        <f>SUM(K25:M25)</f>
        <v>272663.57</v>
      </c>
      <c r="O25" s="51">
        <v>-0.01</v>
      </c>
      <c r="Q25" s="52" t="s">
        <v>50</v>
      </c>
      <c r="R25" s="52">
        <v>49965.85</v>
      </c>
      <c r="S25" s="52"/>
      <c r="T25" s="52"/>
      <c r="U25" s="56">
        <v>5434.8</v>
      </c>
      <c r="V25" s="52"/>
      <c r="W25" s="52"/>
      <c r="X25" s="52"/>
      <c r="Y25" s="52"/>
      <c r="Z25" s="52"/>
      <c r="AA25" s="52"/>
      <c r="AB25" s="52"/>
      <c r="AC25" s="64"/>
      <c r="AD25" t="s">
        <v>51</v>
      </c>
      <c r="AG25" s="29">
        <v>0</v>
      </c>
      <c r="AK25" t="s">
        <v>89</v>
      </c>
    </row>
    <row r="26" spans="2:37" ht="15.75" x14ac:dyDescent="0.25">
      <c r="B26" s="44" t="s">
        <v>85</v>
      </c>
      <c r="C26" s="22" t="s">
        <v>90</v>
      </c>
      <c r="D26" s="45">
        <v>3</v>
      </c>
      <c r="E26" s="11" t="s">
        <v>73</v>
      </c>
      <c r="F26" s="46" t="s">
        <v>74</v>
      </c>
      <c r="G26" s="57">
        <v>350812</v>
      </c>
      <c r="H26" s="53">
        <f t="shared" si="6"/>
        <v>0.2424</v>
      </c>
      <c r="I26" s="53">
        <f>$I$18</f>
        <v>0.16053999999999999</v>
      </c>
      <c r="J26" s="53">
        <f t="shared" si="7"/>
        <v>8.0160000000000009E-2</v>
      </c>
      <c r="K26" s="49">
        <f>ROUND(H26*G26,2)</f>
        <v>85036.83</v>
      </c>
      <c r="L26" s="49">
        <f>ROUND(G26*I26,2)</f>
        <v>56319.360000000001</v>
      </c>
      <c r="M26" s="54">
        <f>ROUND(G26*J26,2)</f>
        <v>28121.09</v>
      </c>
      <c r="N26" s="50">
        <f>SUM(K26:M26)</f>
        <v>169477.28</v>
      </c>
      <c r="O26" s="51"/>
      <c r="Q26" s="52" t="s">
        <v>50</v>
      </c>
      <c r="R26" s="52"/>
      <c r="S26" s="52"/>
      <c r="T26" s="52"/>
      <c r="U26" s="56"/>
      <c r="V26" s="52"/>
      <c r="W26" s="52"/>
      <c r="X26" s="52"/>
      <c r="Y26" s="52"/>
      <c r="Z26" s="52"/>
      <c r="AA26" s="52"/>
      <c r="AB26" s="52"/>
      <c r="AC26" s="64"/>
      <c r="AD26" t="s">
        <v>51</v>
      </c>
      <c r="AG26" s="29">
        <v>0</v>
      </c>
      <c r="AK26" t="s">
        <v>91</v>
      </c>
    </row>
    <row r="27" spans="2:37" ht="15" x14ac:dyDescent="0.2">
      <c r="B27" s="44" t="s">
        <v>85</v>
      </c>
      <c r="C27" s="22" t="s">
        <v>92</v>
      </c>
      <c r="D27" s="45">
        <v>3</v>
      </c>
      <c r="E27" s="11" t="s">
        <v>77</v>
      </c>
      <c r="F27" s="46" t="s">
        <v>78</v>
      </c>
      <c r="G27" s="47">
        <v>0</v>
      </c>
      <c r="H27" s="53">
        <f t="shared" si="6"/>
        <v>0.2424</v>
      </c>
      <c r="I27" s="53">
        <f>+$I$9</f>
        <v>0.1736</v>
      </c>
      <c r="J27" s="53">
        <f t="shared" si="7"/>
        <v>8.0160000000000009E-2</v>
      </c>
      <c r="K27" s="49">
        <f>ROUND(H27*G27,2)</f>
        <v>0</v>
      </c>
      <c r="L27" s="49">
        <f>ROUND(G27*I27,2)</f>
        <v>0</v>
      </c>
      <c r="M27" s="54">
        <f>ROUND(G27*J27,2)</f>
        <v>0</v>
      </c>
      <c r="N27" s="49">
        <f>SUM(K27:M27)</f>
        <v>0</v>
      </c>
      <c r="O27" s="51"/>
      <c r="Q27" s="4"/>
      <c r="R27" s="4"/>
      <c r="S27" s="4"/>
      <c r="T27" s="4"/>
      <c r="U27" s="56"/>
      <c r="V27" s="4"/>
      <c r="W27" s="4"/>
      <c r="X27" s="4"/>
      <c r="Y27" s="4"/>
      <c r="Z27" s="4"/>
      <c r="AA27" s="4"/>
      <c r="AB27" s="4"/>
      <c r="AC27" s="29"/>
      <c r="AD27" t="s">
        <v>51</v>
      </c>
      <c r="AG27" s="29">
        <v>0</v>
      </c>
      <c r="AK27" t="s">
        <v>93</v>
      </c>
    </row>
    <row r="28" spans="2:37" ht="12.2" customHeight="1" x14ac:dyDescent="0.2">
      <c r="B28" s="44"/>
      <c r="D28" s="45"/>
      <c r="F28" s="46"/>
      <c r="G28" s="47"/>
      <c r="H28" s="53"/>
      <c r="I28" s="53"/>
      <c r="J28" s="53"/>
      <c r="K28" s="49"/>
      <c r="L28" s="49"/>
      <c r="M28" s="54"/>
      <c r="N28" s="49"/>
      <c r="O28" s="51"/>
      <c r="Q28" s="4"/>
      <c r="R28" s="4">
        <v>17029.240000000002</v>
      </c>
      <c r="S28" s="4"/>
      <c r="T28" s="4"/>
      <c r="U28" s="56">
        <v>1729.72</v>
      </c>
      <c r="V28" s="4"/>
      <c r="W28" s="4"/>
      <c r="X28" s="4"/>
      <c r="Y28" s="4"/>
      <c r="Z28" s="4"/>
      <c r="AA28" s="4"/>
      <c r="AB28" s="4"/>
      <c r="AC28" s="29"/>
      <c r="AG28" s="29"/>
    </row>
    <row r="29" spans="2:37" ht="15.75" x14ac:dyDescent="0.25">
      <c r="B29" s="44" t="s">
        <v>94</v>
      </c>
      <c r="C29" s="22" t="s">
        <v>95</v>
      </c>
      <c r="D29" s="45">
        <v>3</v>
      </c>
      <c r="E29" s="11" t="s">
        <v>87</v>
      </c>
      <c r="F29" s="46" t="s">
        <v>96</v>
      </c>
      <c r="G29" s="57">
        <v>163</v>
      </c>
      <c r="H29" s="53">
        <f t="shared" si="6"/>
        <v>0.2424</v>
      </c>
      <c r="I29" s="53">
        <f>$I$18</f>
        <v>0.16053999999999999</v>
      </c>
      <c r="J29" s="53">
        <f t="shared" si="7"/>
        <v>8.0160000000000009E-2</v>
      </c>
      <c r="K29" s="49">
        <f t="shared" ref="K29:K31" si="8">ROUND(H29*G29,2)</f>
        <v>39.51</v>
      </c>
      <c r="L29" s="49">
        <f t="shared" ref="L29:L31" si="9">ROUND(G29*I29,2)</f>
        <v>26.17</v>
      </c>
      <c r="M29" s="54">
        <f t="shared" ref="M29:M31" si="10">ROUND(G29*J29,2)</f>
        <v>13.07</v>
      </c>
      <c r="N29" s="49">
        <f t="shared" ref="N29:N31" si="11">SUM(K29:M29)</f>
        <v>78.75</v>
      </c>
      <c r="O29" s="51"/>
      <c r="Q29" s="52" t="s">
        <v>50</v>
      </c>
      <c r="R29" s="52"/>
      <c r="S29" s="52"/>
      <c r="T29" s="52"/>
      <c r="U29" s="56"/>
      <c r="V29" s="52"/>
      <c r="W29" s="52"/>
      <c r="X29" s="52"/>
      <c r="Y29" s="52"/>
      <c r="Z29" s="52"/>
      <c r="AA29" s="52"/>
      <c r="AB29" s="52"/>
      <c r="AC29" s="64"/>
      <c r="AD29" t="s">
        <v>51</v>
      </c>
      <c r="AG29" s="29">
        <v>0</v>
      </c>
      <c r="AK29" t="s">
        <v>89</v>
      </c>
    </row>
    <row r="30" spans="2:37" ht="15.75" x14ac:dyDescent="0.25">
      <c r="B30" s="44" t="s">
        <v>97</v>
      </c>
      <c r="C30" s="22" t="s">
        <v>82</v>
      </c>
      <c r="D30" s="45">
        <v>3</v>
      </c>
      <c r="E30" s="11" t="s">
        <v>87</v>
      </c>
      <c r="F30" s="46" t="s">
        <v>96</v>
      </c>
      <c r="G30" s="65">
        <v>-163</v>
      </c>
      <c r="H30" s="53">
        <f t="shared" si="6"/>
        <v>0.2424</v>
      </c>
      <c r="I30" s="53">
        <f>$I$18</f>
        <v>0.16053999999999999</v>
      </c>
      <c r="J30" s="53">
        <f t="shared" si="7"/>
        <v>8.0160000000000009E-2</v>
      </c>
      <c r="K30" s="49">
        <f t="shared" si="8"/>
        <v>-39.51</v>
      </c>
      <c r="L30" s="49">
        <f t="shared" si="9"/>
        <v>-26.17</v>
      </c>
      <c r="M30" s="54">
        <f t="shared" si="10"/>
        <v>-13.07</v>
      </c>
      <c r="N30" s="49">
        <f t="shared" si="11"/>
        <v>-78.75</v>
      </c>
      <c r="O30" s="51"/>
      <c r="Q30" s="4"/>
      <c r="R30" s="4">
        <v>128505.68</v>
      </c>
      <c r="S30" s="4"/>
      <c r="T30" s="4"/>
      <c r="U30" s="56">
        <v>17959.87</v>
      </c>
      <c r="V30" s="4"/>
      <c r="W30" s="4"/>
      <c r="X30" s="4"/>
      <c r="Y30" s="4"/>
      <c r="Z30" s="4"/>
      <c r="AA30" s="4"/>
      <c r="AB30" s="4"/>
      <c r="AC30" s="66"/>
      <c r="AD30" t="s">
        <v>51</v>
      </c>
      <c r="AG30" s="29">
        <v>0</v>
      </c>
      <c r="AK30" t="s">
        <v>89</v>
      </c>
    </row>
    <row r="31" spans="2:37" ht="15" x14ac:dyDescent="0.2">
      <c r="B31" s="44" t="s">
        <v>97</v>
      </c>
      <c r="C31" s="22" t="s">
        <v>84</v>
      </c>
      <c r="D31" s="45">
        <v>3</v>
      </c>
      <c r="E31" s="11" t="s">
        <v>87</v>
      </c>
      <c r="F31" s="46" t="s">
        <v>96</v>
      </c>
      <c r="G31" s="70">
        <v>0</v>
      </c>
      <c r="H31" s="53">
        <f t="shared" si="6"/>
        <v>0.2424</v>
      </c>
      <c r="I31" s="53">
        <f>$I$18</f>
        <v>0.16053999999999999</v>
      </c>
      <c r="J31" s="53">
        <f t="shared" si="7"/>
        <v>8.0160000000000009E-2</v>
      </c>
      <c r="K31" s="49">
        <f t="shared" si="8"/>
        <v>0</v>
      </c>
      <c r="L31" s="49">
        <f t="shared" si="9"/>
        <v>0</v>
      </c>
      <c r="M31" s="54">
        <f t="shared" si="10"/>
        <v>0</v>
      </c>
      <c r="N31" s="49">
        <f t="shared" si="11"/>
        <v>0</v>
      </c>
      <c r="O31" s="49"/>
      <c r="Q31" s="4"/>
      <c r="R31" s="4">
        <v>97.86</v>
      </c>
      <c r="S31" s="4"/>
      <c r="T31" s="4"/>
      <c r="U31" s="56">
        <v>10.64</v>
      </c>
      <c r="V31" s="4"/>
      <c r="W31" s="4"/>
      <c r="X31" s="4"/>
      <c r="Y31" s="4"/>
      <c r="Z31" s="4"/>
      <c r="AA31" s="4"/>
      <c r="AB31" s="4"/>
      <c r="AC31" s="66"/>
      <c r="AD31" t="s">
        <v>51</v>
      </c>
      <c r="AG31" s="29">
        <v>0</v>
      </c>
      <c r="AK31" t="s">
        <v>89</v>
      </c>
    </row>
    <row r="32" spans="2:37" ht="12.2" customHeight="1" x14ac:dyDescent="0.2">
      <c r="B32" s="44"/>
      <c r="D32" s="45"/>
      <c r="F32" s="46"/>
      <c r="G32" s="47"/>
      <c r="H32" s="53"/>
      <c r="I32" s="53"/>
      <c r="J32" s="53"/>
      <c r="K32" s="49"/>
      <c r="L32" s="49"/>
      <c r="M32" s="54"/>
      <c r="N32" s="49"/>
      <c r="O32" s="49"/>
      <c r="Q32" s="4"/>
      <c r="R32" s="4"/>
      <c r="S32" s="4"/>
      <c r="T32" s="4"/>
      <c r="U32" s="56"/>
      <c r="V32" s="4"/>
      <c r="W32" s="4"/>
      <c r="X32" s="4"/>
      <c r="Y32" s="4"/>
      <c r="Z32" s="4"/>
      <c r="AA32" s="4"/>
      <c r="AB32" s="4"/>
      <c r="AC32" s="64"/>
      <c r="AG32" s="29"/>
    </row>
    <row r="33" spans="2:37" ht="15" x14ac:dyDescent="0.2">
      <c r="B33" s="44" t="s">
        <v>94</v>
      </c>
      <c r="C33" s="22" t="s">
        <v>98</v>
      </c>
      <c r="D33" s="45" t="s">
        <v>15</v>
      </c>
      <c r="E33" s="11" t="s">
        <v>99</v>
      </c>
      <c r="F33" s="46" t="s">
        <v>100</v>
      </c>
      <c r="G33" s="47">
        <v>0</v>
      </c>
      <c r="H33" s="53">
        <f t="shared" si="6"/>
        <v>0.2424</v>
      </c>
      <c r="I33" s="48">
        <v>0.14752999999999999</v>
      </c>
      <c r="J33" s="53">
        <f t="shared" si="7"/>
        <v>8.0160000000000009E-2</v>
      </c>
      <c r="K33" s="49">
        <f>ROUND(H33*G33,2)</f>
        <v>0</v>
      </c>
      <c r="L33" s="49">
        <f>ROUND(G33*I33,2)</f>
        <v>0</v>
      </c>
      <c r="M33" s="54">
        <f>ROUND(G33*J33,2)</f>
        <v>0</v>
      </c>
      <c r="N33" s="63">
        <f>SUM(K33:M33)</f>
        <v>0</v>
      </c>
      <c r="Q33" s="4"/>
      <c r="R33" s="4"/>
      <c r="S33" s="4"/>
      <c r="T33" s="4"/>
      <c r="U33" s="56"/>
      <c r="V33" s="4"/>
      <c r="W33" s="4"/>
      <c r="X33" s="4"/>
      <c r="Y33" s="4"/>
      <c r="Z33" s="4"/>
      <c r="AA33" s="4"/>
      <c r="AB33" s="4"/>
      <c r="AC33" s="29"/>
      <c r="AD33" t="s">
        <v>51</v>
      </c>
      <c r="AG33" s="29">
        <v>0</v>
      </c>
      <c r="AK33" t="s">
        <v>101</v>
      </c>
    </row>
    <row r="34" spans="2:37" ht="15" x14ac:dyDescent="0.2">
      <c r="B34" s="44" t="s">
        <v>97</v>
      </c>
      <c r="C34" s="22" t="s">
        <v>82</v>
      </c>
      <c r="D34" s="45">
        <v>4</v>
      </c>
      <c r="E34" s="11" t="s">
        <v>99</v>
      </c>
      <c r="F34" s="46" t="s">
        <v>100</v>
      </c>
      <c r="G34" s="70">
        <v>0</v>
      </c>
      <c r="H34" s="53">
        <f t="shared" si="6"/>
        <v>0.2424</v>
      </c>
      <c r="I34" s="53">
        <f>$I$33</f>
        <v>0.14752999999999999</v>
      </c>
      <c r="J34" s="53">
        <f t="shared" si="7"/>
        <v>8.0160000000000009E-2</v>
      </c>
      <c r="K34" s="49">
        <f>ROUND(H34*G34,2)</f>
        <v>0</v>
      </c>
      <c r="L34" s="49">
        <f>ROUND(G34*I34,2)</f>
        <v>0</v>
      </c>
      <c r="M34" s="54">
        <f>ROUND(G34*J34,2)</f>
        <v>0</v>
      </c>
      <c r="N34" s="50">
        <f>SUM(K34:M34)</f>
        <v>0</v>
      </c>
      <c r="O34" s="49">
        <f>-N34-80.06</f>
        <v>-80.06</v>
      </c>
      <c r="Q34" s="4"/>
      <c r="R34" s="4">
        <v>18307.25</v>
      </c>
      <c r="S34" s="4"/>
      <c r="T34" s="4"/>
      <c r="U34" s="56">
        <v>1859.59</v>
      </c>
      <c r="V34" s="4"/>
      <c r="W34" s="4"/>
      <c r="X34" s="4"/>
      <c r="Y34" s="4"/>
      <c r="Z34" s="4"/>
      <c r="AA34" s="4"/>
      <c r="AB34" s="4"/>
      <c r="AC34" s="66"/>
      <c r="AD34" t="s">
        <v>51</v>
      </c>
      <c r="AG34" s="29">
        <v>0</v>
      </c>
      <c r="AK34" t="s">
        <v>102</v>
      </c>
    </row>
    <row r="35" spans="2:37" ht="15" x14ac:dyDescent="0.2">
      <c r="B35" s="44" t="s">
        <v>97</v>
      </c>
      <c r="C35" s="22" t="s">
        <v>84</v>
      </c>
      <c r="D35" s="45">
        <v>4</v>
      </c>
      <c r="E35" s="11" t="s">
        <v>99</v>
      </c>
      <c r="F35" s="46" t="s">
        <v>100</v>
      </c>
      <c r="G35" s="70">
        <v>0</v>
      </c>
      <c r="H35" s="53">
        <f t="shared" si="6"/>
        <v>0.2424</v>
      </c>
      <c r="I35" s="53">
        <f>$I$33</f>
        <v>0.14752999999999999</v>
      </c>
      <c r="J35" s="53">
        <f t="shared" si="7"/>
        <v>8.0160000000000009E-2</v>
      </c>
      <c r="K35" s="49">
        <f>ROUND(H35*G35,2)</f>
        <v>0</v>
      </c>
      <c r="L35" s="49">
        <f>ROUND(G35*I35,2)</f>
        <v>0</v>
      </c>
      <c r="M35" s="54">
        <f>ROUND(G35*J35,2)</f>
        <v>0</v>
      </c>
      <c r="N35" s="49">
        <f>SUM(K35:M35)</f>
        <v>0</v>
      </c>
      <c r="O35" s="49"/>
      <c r="Q35" s="4"/>
      <c r="R35" s="4"/>
      <c r="S35" s="4"/>
      <c r="T35" s="4"/>
      <c r="U35" s="56"/>
      <c r="V35" s="4"/>
      <c r="W35" s="4"/>
      <c r="X35" s="4"/>
      <c r="Y35" s="4"/>
      <c r="Z35" s="4"/>
      <c r="AA35" s="4"/>
      <c r="AB35" s="4"/>
      <c r="AC35" s="66"/>
      <c r="AD35" t="s">
        <v>51</v>
      </c>
      <c r="AG35" s="29">
        <v>0</v>
      </c>
      <c r="AK35" t="s">
        <v>102</v>
      </c>
    </row>
    <row r="36" spans="2:37" ht="12.2" customHeight="1" x14ac:dyDescent="0.2">
      <c r="B36" s="44"/>
      <c r="D36" s="45"/>
      <c r="F36" s="46"/>
      <c r="G36" s="47"/>
      <c r="H36" s="53"/>
      <c r="I36" s="53"/>
      <c r="J36" s="53"/>
      <c r="M36" s="5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9"/>
      <c r="AG36" s="29"/>
    </row>
    <row r="37" spans="2:37" ht="15.75" x14ac:dyDescent="0.25">
      <c r="B37" s="44" t="s">
        <v>103</v>
      </c>
      <c r="C37" s="22" t="s">
        <v>104</v>
      </c>
      <c r="D37" s="45" t="s">
        <v>24</v>
      </c>
      <c r="E37" s="11" t="s">
        <v>99</v>
      </c>
      <c r="F37" s="46" t="s">
        <v>100</v>
      </c>
      <c r="G37" s="57">
        <v>120028</v>
      </c>
      <c r="H37" s="53">
        <f t="shared" si="6"/>
        <v>0.2424</v>
      </c>
      <c r="I37" s="53">
        <f t="shared" ref="I37:I42" si="12">$I$33</f>
        <v>0.14752999999999999</v>
      </c>
      <c r="J37" s="53">
        <f t="shared" si="7"/>
        <v>8.0160000000000009E-2</v>
      </c>
      <c r="K37" s="49">
        <f t="shared" ref="K37:K42" si="13">ROUND(H37*G37,2)</f>
        <v>29094.79</v>
      </c>
      <c r="L37" s="49">
        <f t="shared" ref="L37:L42" si="14">ROUND(G37*I37,2)</f>
        <v>17707.73</v>
      </c>
      <c r="M37" s="54">
        <f t="shared" ref="M37:M41" si="15">ROUND(G37*J37,2)</f>
        <v>9621.44</v>
      </c>
      <c r="N37" s="50">
        <f>SUM(K37:M37)</f>
        <v>56423.960000000006</v>
      </c>
      <c r="O37" s="49">
        <v>0.01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29"/>
      <c r="AD37" t="s">
        <v>51</v>
      </c>
      <c r="AG37" s="29">
        <v>0</v>
      </c>
      <c r="AK37" t="s">
        <v>102</v>
      </c>
    </row>
    <row r="38" spans="2:37" ht="15.75" x14ac:dyDescent="0.25">
      <c r="B38" s="44" t="s">
        <v>103</v>
      </c>
      <c r="C38" s="22" t="s">
        <v>82</v>
      </c>
      <c r="D38" s="45">
        <v>5</v>
      </c>
      <c r="E38" s="11" t="s">
        <v>99</v>
      </c>
      <c r="F38" s="46" t="s">
        <v>100</v>
      </c>
      <c r="G38" s="65">
        <v>-120028</v>
      </c>
      <c r="H38" s="53">
        <f t="shared" si="6"/>
        <v>0.2424</v>
      </c>
      <c r="I38" s="53">
        <f t="shared" si="12"/>
        <v>0.14752999999999999</v>
      </c>
      <c r="J38" s="53">
        <f t="shared" si="7"/>
        <v>8.0160000000000009E-2</v>
      </c>
      <c r="K38" s="49">
        <f t="shared" si="13"/>
        <v>-29094.79</v>
      </c>
      <c r="L38" s="49">
        <f t="shared" si="14"/>
        <v>-17707.73</v>
      </c>
      <c r="M38" s="54">
        <f t="shared" si="15"/>
        <v>-9621.44</v>
      </c>
      <c r="N38" s="50">
        <f t="shared" ref="N38:N42" si="16">SUM(K38:M38)</f>
        <v>-56423.960000000006</v>
      </c>
      <c r="O38" s="49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66"/>
      <c r="AD38" t="s">
        <v>51</v>
      </c>
      <c r="AG38" s="29">
        <v>0</v>
      </c>
      <c r="AK38" t="s">
        <v>101</v>
      </c>
    </row>
    <row r="39" spans="2:37" ht="15.75" x14ac:dyDescent="0.25">
      <c r="B39" s="44" t="s">
        <v>103</v>
      </c>
      <c r="C39" s="22" t="s">
        <v>105</v>
      </c>
      <c r="D39" s="45">
        <v>5</v>
      </c>
      <c r="E39" s="11" t="s">
        <v>99</v>
      </c>
      <c r="F39" s="46" t="s">
        <v>100</v>
      </c>
      <c r="G39" s="65">
        <v>93626</v>
      </c>
      <c r="H39" s="53">
        <f t="shared" si="6"/>
        <v>0.2424</v>
      </c>
      <c r="I39" s="53">
        <f t="shared" si="12"/>
        <v>0.14752999999999999</v>
      </c>
      <c r="J39" s="53">
        <f t="shared" si="7"/>
        <v>8.0160000000000009E-2</v>
      </c>
      <c r="K39" s="49">
        <f t="shared" si="13"/>
        <v>22694.94</v>
      </c>
      <c r="L39" s="49">
        <f t="shared" si="14"/>
        <v>13812.64</v>
      </c>
      <c r="M39" s="54">
        <f t="shared" si="15"/>
        <v>7505.06</v>
      </c>
      <c r="N39" s="50">
        <f t="shared" si="16"/>
        <v>44012.639999999999</v>
      </c>
      <c r="O39" s="49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66"/>
      <c r="AD39" t="s">
        <v>51</v>
      </c>
      <c r="AG39" s="29">
        <v>0</v>
      </c>
      <c r="AK39" t="s">
        <v>101</v>
      </c>
    </row>
    <row r="40" spans="2:37" ht="15" x14ac:dyDescent="0.2">
      <c r="B40" s="44" t="s">
        <v>106</v>
      </c>
      <c r="C40" s="22" t="s">
        <v>107</v>
      </c>
      <c r="D40" s="45">
        <v>5</v>
      </c>
      <c r="E40" s="11" t="s">
        <v>108</v>
      </c>
      <c r="F40" s="46" t="s">
        <v>109</v>
      </c>
      <c r="G40" s="47"/>
      <c r="H40" s="53">
        <f t="shared" si="6"/>
        <v>0.2424</v>
      </c>
      <c r="I40" s="53">
        <f t="shared" si="12"/>
        <v>0.14752999999999999</v>
      </c>
      <c r="J40" s="53">
        <f t="shared" si="7"/>
        <v>8.0160000000000009E-2</v>
      </c>
      <c r="K40" s="49">
        <f t="shared" si="13"/>
        <v>0</v>
      </c>
      <c r="L40" s="49">
        <f t="shared" si="14"/>
        <v>0</v>
      </c>
      <c r="M40" s="54">
        <f t="shared" si="15"/>
        <v>0</v>
      </c>
      <c r="N40" s="50">
        <f t="shared" si="16"/>
        <v>0</v>
      </c>
      <c r="O40" s="49">
        <v>-0.01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29"/>
      <c r="AD40" t="s">
        <v>51</v>
      </c>
      <c r="AG40" s="29">
        <v>0</v>
      </c>
      <c r="AK40" t="s">
        <v>110</v>
      </c>
    </row>
    <row r="41" spans="2:37" ht="15" x14ac:dyDescent="0.2">
      <c r="B41" s="44" t="s">
        <v>103</v>
      </c>
      <c r="C41" s="22" t="s">
        <v>82</v>
      </c>
      <c r="D41" s="45">
        <v>5</v>
      </c>
      <c r="E41" s="11" t="s">
        <v>108</v>
      </c>
      <c r="F41" s="46" t="s">
        <v>109</v>
      </c>
      <c r="G41" s="70">
        <v>0</v>
      </c>
      <c r="H41" s="53">
        <f t="shared" si="6"/>
        <v>0.2424</v>
      </c>
      <c r="I41" s="53">
        <f t="shared" si="12"/>
        <v>0.14752999999999999</v>
      </c>
      <c r="J41" s="53">
        <f t="shared" si="7"/>
        <v>8.0160000000000009E-2</v>
      </c>
      <c r="K41" s="49">
        <f>ROUND(H41*G41,2)</f>
        <v>0</v>
      </c>
      <c r="L41" s="49">
        <f t="shared" si="14"/>
        <v>0</v>
      </c>
      <c r="M41" s="54">
        <f t="shared" si="15"/>
        <v>0</v>
      </c>
      <c r="N41" s="50">
        <f t="shared" si="16"/>
        <v>0</v>
      </c>
      <c r="O41" s="49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66"/>
      <c r="AD41" t="s">
        <v>51</v>
      </c>
      <c r="AG41" s="29">
        <v>0</v>
      </c>
      <c r="AK41" t="s">
        <v>101</v>
      </c>
    </row>
    <row r="42" spans="2:37" ht="15" x14ac:dyDescent="0.2">
      <c r="B42" s="44" t="s">
        <v>103</v>
      </c>
      <c r="C42" s="22" t="s">
        <v>105</v>
      </c>
      <c r="D42" s="45">
        <v>5</v>
      </c>
      <c r="E42" s="11" t="s">
        <v>108</v>
      </c>
      <c r="F42" s="46" t="s">
        <v>109</v>
      </c>
      <c r="G42" s="70">
        <v>0</v>
      </c>
      <c r="H42" s="53">
        <f t="shared" si="6"/>
        <v>0.2424</v>
      </c>
      <c r="I42" s="53">
        <f t="shared" si="12"/>
        <v>0.14752999999999999</v>
      </c>
      <c r="J42" s="53">
        <f t="shared" si="7"/>
        <v>8.0160000000000009E-2</v>
      </c>
      <c r="K42" s="49">
        <f t="shared" si="13"/>
        <v>0</v>
      </c>
      <c r="L42" s="49">
        <f t="shared" si="14"/>
        <v>0</v>
      </c>
      <c r="M42" s="54">
        <f>ROUND(G42*J42,2)</f>
        <v>0</v>
      </c>
      <c r="N42" s="50">
        <f t="shared" si="16"/>
        <v>0</v>
      </c>
      <c r="O42" s="49">
        <v>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66"/>
      <c r="AD42" t="s">
        <v>51</v>
      </c>
      <c r="AG42" s="29">
        <v>0</v>
      </c>
      <c r="AK42" t="s">
        <v>101</v>
      </c>
    </row>
    <row r="43" spans="2:37" ht="12.2" customHeight="1" x14ac:dyDescent="0.2">
      <c r="B43" s="44"/>
      <c r="D43" s="45"/>
      <c r="F43" s="46"/>
      <c r="G43" s="71"/>
      <c r="H43" s="53"/>
      <c r="I43" s="53"/>
      <c r="J43" s="53"/>
      <c r="K43" s="49"/>
      <c r="L43" s="49"/>
      <c r="M43" s="54"/>
      <c r="N43" s="49"/>
      <c r="O43" s="4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66"/>
      <c r="AG43" s="29"/>
    </row>
    <row r="44" spans="2:37" ht="14.25" x14ac:dyDescent="0.2">
      <c r="B44" s="44" t="s">
        <v>106</v>
      </c>
      <c r="C44" s="22" t="s">
        <v>111</v>
      </c>
      <c r="D44" s="45">
        <v>6</v>
      </c>
      <c r="E44" s="11" t="s">
        <v>99</v>
      </c>
      <c r="F44" s="46"/>
      <c r="G44" s="72">
        <f>'[2]Core Billed Therms '!$J$88</f>
        <v>0</v>
      </c>
      <c r="H44" s="53">
        <f t="shared" si="6"/>
        <v>0.2424</v>
      </c>
      <c r="I44" s="53">
        <f>$I$33</f>
        <v>0.14752999999999999</v>
      </c>
      <c r="J44" s="53">
        <f t="shared" si="7"/>
        <v>8.0160000000000009E-2</v>
      </c>
      <c r="K44" s="49">
        <f>ROUND(H44*G44,2)</f>
        <v>0</v>
      </c>
      <c r="L44" s="49">
        <f>ROUND(G44*I44,2)</f>
        <v>0</v>
      </c>
      <c r="M44" s="54">
        <f>ROUND(G44*J44,2)</f>
        <v>0</v>
      </c>
      <c r="N44" s="49">
        <f>SUM(K44:M44)</f>
        <v>0</v>
      </c>
      <c r="O44" s="4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9"/>
      <c r="AD44" t="s">
        <v>51</v>
      </c>
      <c r="AG44" s="29">
        <v>0</v>
      </c>
      <c r="AK44" t="s">
        <v>112</v>
      </c>
    </row>
    <row r="45" spans="2:37" ht="12.2" customHeight="1" x14ac:dyDescent="0.2">
      <c r="B45" s="44"/>
      <c r="D45" s="45"/>
      <c r="G45" s="72"/>
      <c r="J45" s="73"/>
      <c r="K45" s="49"/>
      <c r="L45" s="49"/>
      <c r="M45" s="54"/>
      <c r="N45" s="49"/>
      <c r="O45" s="49"/>
      <c r="AC45" s="29"/>
      <c r="AG45" s="29"/>
    </row>
    <row r="46" spans="2:37" ht="15" x14ac:dyDescent="0.25">
      <c r="B46" s="74"/>
      <c r="D46" s="75"/>
      <c r="E46" s="76"/>
      <c r="F46" s="11" t="s">
        <v>115</v>
      </c>
      <c r="G46" s="77">
        <f>SUM(G9:G45)</f>
        <v>5078924</v>
      </c>
      <c r="H46" s="78" t="s">
        <v>114</v>
      </c>
      <c r="K46" s="79">
        <f>SUM(K9:K45)</f>
        <v>1231131.18</v>
      </c>
      <c r="L46" s="80">
        <f>SUM(L9:L45)</f>
        <v>866887.81</v>
      </c>
      <c r="M46" s="81">
        <f>SUM(M9:M45)</f>
        <v>559258.20000000007</v>
      </c>
      <c r="N46" s="82">
        <f>SUM(N9:N45)</f>
        <v>2657277.19</v>
      </c>
      <c r="O46" s="83">
        <v>0.03</v>
      </c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29"/>
      <c r="AG46" s="29"/>
    </row>
    <row r="47" spans="2:37" ht="14.25" x14ac:dyDescent="0.2">
      <c r="C47" s="3"/>
      <c r="D47" s="75"/>
      <c r="F47" s="11" t="s">
        <v>113</v>
      </c>
      <c r="G47" s="77"/>
      <c r="K47" s="82" t="s">
        <v>116</v>
      </c>
      <c r="L47" s="82" t="s">
        <v>116</v>
      </c>
      <c r="M47" s="82"/>
      <c r="N47" s="82"/>
      <c r="O47" s="82"/>
      <c r="Q47" s="82">
        <f>-N46</f>
        <v>-2657277.19</v>
      </c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3" t="s">
        <v>117</v>
      </c>
      <c r="AD47" t="s">
        <v>51</v>
      </c>
      <c r="AG47" s="29">
        <v>0</v>
      </c>
      <c r="AK47" t="s">
        <v>118</v>
      </c>
    </row>
    <row r="48" spans="2:37" ht="15" x14ac:dyDescent="0.25">
      <c r="F48" s="84" t="s">
        <v>119</v>
      </c>
      <c r="G48" s="85">
        <f>+G46+G47</f>
        <v>5078924</v>
      </c>
      <c r="H48" s="86"/>
      <c r="K48" s="82">
        <f>SUM(K46:K47)</f>
        <v>1231131.18</v>
      </c>
      <c r="L48" s="82">
        <f>SUM(L46:L47)</f>
        <v>866887.81</v>
      </c>
      <c r="M48" s="82">
        <f>SUM(M46:M47)</f>
        <v>559258.20000000007</v>
      </c>
      <c r="N48" s="82">
        <f>SUM(N46:N47)</f>
        <v>2657277.19</v>
      </c>
      <c r="O48" s="82"/>
      <c r="P48" s="49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E48" s="29"/>
    </row>
    <row r="49" spans="6:15" ht="21.75" customHeight="1" x14ac:dyDescent="0.25">
      <c r="G49" s="88" t="s">
        <v>120</v>
      </c>
      <c r="K49" s="82"/>
      <c r="L49" s="89"/>
      <c r="M49" s="82"/>
      <c r="N49" s="82"/>
      <c r="O49" s="82"/>
    </row>
    <row r="50" spans="6:15" ht="21.75" customHeight="1" x14ac:dyDescent="0.2">
      <c r="G50" s="90" t="s">
        <v>121</v>
      </c>
      <c r="H50" s="91"/>
      <c r="L50" s="92"/>
      <c r="M50" s="49"/>
      <c r="N50" s="49"/>
      <c r="O50" s="49"/>
    </row>
    <row r="51" spans="6:15" x14ac:dyDescent="0.2">
      <c r="H51" s="91"/>
      <c r="L51" s="94"/>
      <c r="N51" s="89"/>
      <c r="O51" s="89"/>
    </row>
    <row r="52" spans="6:15" x14ac:dyDescent="0.2">
      <c r="F52" s="11" t="s">
        <v>122</v>
      </c>
      <c r="L52" s="95"/>
      <c r="N52" s="96"/>
      <c r="O52" s="96"/>
    </row>
    <row r="53" spans="6:15" x14ac:dyDescent="0.2">
      <c r="L53" s="95"/>
      <c r="M53" s="97"/>
    </row>
    <row r="54" spans="6:15" x14ac:dyDescent="0.2">
      <c r="L54" s="95"/>
      <c r="M54" s="97"/>
      <c r="N54" s="5"/>
      <c r="O54" s="5"/>
    </row>
    <row r="55" spans="6:15" x14ac:dyDescent="0.2">
      <c r="L55" s="95"/>
      <c r="M55" s="97"/>
      <c r="N55" s="98"/>
      <c r="O55" s="98"/>
    </row>
    <row r="56" spans="6:15" x14ac:dyDescent="0.2">
      <c r="L56" s="95"/>
      <c r="M56" s="97"/>
      <c r="N56" s="98"/>
      <c r="O56" s="98"/>
    </row>
    <row r="57" spans="6:15" x14ac:dyDescent="0.2">
      <c r="L57" s="95"/>
      <c r="M57" s="98"/>
      <c r="N57" s="97"/>
      <c r="O57" s="97"/>
    </row>
    <row r="58" spans="6:15" x14ac:dyDescent="0.2">
      <c r="L58" s="99"/>
      <c r="N58" s="100"/>
      <c r="O58" s="100"/>
    </row>
    <row r="59" spans="6:15" x14ac:dyDescent="0.2">
      <c r="L59" s="94"/>
      <c r="N59" s="101"/>
      <c r="O59" s="101"/>
    </row>
    <row r="71" spans="2:37" s="69" customFormat="1" x14ac:dyDescent="0.2">
      <c r="B71" s="3"/>
      <c r="C71" s="22"/>
      <c r="D71" s="11"/>
      <c r="E71" s="11"/>
      <c r="F71" s="11"/>
      <c r="G71" s="93" t="e">
        <f>+G48+#REF!</f>
        <v>#REF!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106" spans="2:28" x14ac:dyDescent="0.2">
      <c r="B106" s="7"/>
      <c r="D106" s="75"/>
    </row>
    <row r="107" spans="2:28" x14ac:dyDescent="0.2">
      <c r="B107" s="7"/>
      <c r="D107" s="75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</row>
    <row r="108" spans="2:28" x14ac:dyDescent="0.2"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</row>
    <row r="109" spans="2:28" x14ac:dyDescent="0.2">
      <c r="D109" s="75"/>
    </row>
    <row r="110" spans="2:28" x14ac:dyDescent="0.2">
      <c r="D110" s="75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E730-8E32-48D2-8C4D-600A702BA567}">
  <dimension ref="B1:AG71"/>
  <sheetViews>
    <sheetView showGridLines="0" zoomScaleNormal="100" zoomScaleSheetLayoutView="100" workbookViewId="0">
      <pane xSplit="6" topLeftCell="I1" activePane="topRight" state="frozen"/>
      <selection activeCell="B6" sqref="B6"/>
      <selection pane="topRight" activeCell="S8" sqref="S8"/>
    </sheetView>
  </sheetViews>
  <sheetFormatPr defaultColWidth="9.140625" defaultRowHeight="14.1" customHeight="1" x14ac:dyDescent="0.25"/>
  <cols>
    <col min="1" max="1" width="1.7109375" style="8" customWidth="1"/>
    <col min="2" max="2" width="3.42578125" style="112" customWidth="1"/>
    <col min="3" max="3" width="5.5703125" style="112" customWidth="1"/>
    <col min="4" max="4" width="6.42578125" style="112" customWidth="1"/>
    <col min="5" max="5" width="8.85546875" style="237" customWidth="1"/>
    <col min="6" max="6" width="29.5703125" style="8" customWidth="1"/>
    <col min="7" max="7" width="11.140625" style="8" bestFit="1" customWidth="1"/>
    <col min="8" max="8" width="14.5703125" style="115" bestFit="1" customWidth="1"/>
    <col min="9" max="9" width="2.7109375" style="8" customWidth="1"/>
    <col min="10" max="10" width="12.7109375" style="8" bestFit="1" customWidth="1"/>
    <col min="11" max="11" width="16.85546875" style="115" bestFit="1" customWidth="1"/>
    <col min="12" max="12" width="2.7109375" style="8" customWidth="1"/>
    <col min="13" max="13" width="13.42578125" style="8" bestFit="1" customWidth="1"/>
    <col min="14" max="14" width="16.28515625" style="115" customWidth="1"/>
    <col min="15" max="15" width="3" style="8" customWidth="1"/>
    <col min="16" max="16" width="12.85546875" style="128" bestFit="1" customWidth="1"/>
    <col min="17" max="17" width="17.42578125" style="128" customWidth="1"/>
    <col min="18" max="18" width="3.7109375" style="128" customWidth="1"/>
    <col min="19" max="19" width="12.85546875" style="128" bestFit="1" customWidth="1"/>
    <col min="20" max="20" width="16.85546875" style="128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.85546875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4.85546875" style="8" bestFit="1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11" t="s">
        <v>126</v>
      </c>
      <c r="D1" s="113"/>
      <c r="E1" s="113"/>
      <c r="F1" s="113"/>
      <c r="G1" s="114"/>
      <c r="I1" s="116"/>
      <c r="K1" s="117"/>
      <c r="O1" s="116"/>
      <c r="P1" s="118"/>
      <c r="Q1" s="119"/>
      <c r="R1" s="118"/>
      <c r="S1" s="118"/>
      <c r="T1" s="118"/>
      <c r="U1" s="116"/>
      <c r="W1" s="120">
        <f>B2-31</f>
        <v>43671</v>
      </c>
      <c r="X1" s="120"/>
      <c r="Y1" s="120"/>
    </row>
    <row r="2" spans="2:33" ht="15" customHeight="1" x14ac:dyDescent="0.25">
      <c r="B2" s="121">
        <v>43702</v>
      </c>
      <c r="C2" s="121"/>
      <c r="D2" s="121"/>
      <c r="E2" s="121"/>
      <c r="G2" s="122" t="s">
        <v>12</v>
      </c>
      <c r="H2" s="122"/>
      <c r="I2" s="116"/>
      <c r="J2" s="123" t="s">
        <v>127</v>
      </c>
      <c r="K2" s="123"/>
      <c r="L2" s="123"/>
      <c r="M2" s="123"/>
      <c r="N2" s="123"/>
      <c r="O2" s="116"/>
      <c r="P2" s="124" t="s">
        <v>128</v>
      </c>
      <c r="Q2" s="124"/>
      <c r="R2" s="124"/>
      <c r="S2" s="124"/>
      <c r="T2" s="124"/>
      <c r="U2" s="116"/>
      <c r="W2" s="125" t="s">
        <v>129</v>
      </c>
      <c r="X2" s="125"/>
      <c r="Y2" s="125"/>
    </row>
    <row r="3" spans="2:33" ht="15" x14ac:dyDescent="0.25">
      <c r="E3" s="126"/>
      <c r="H3" s="127"/>
      <c r="I3" s="116"/>
      <c r="K3" s="117"/>
      <c r="O3" s="116"/>
      <c r="U3" s="129"/>
      <c r="W3" s="120">
        <f>B2</f>
        <v>43702</v>
      </c>
      <c r="X3" s="120"/>
      <c r="Y3" s="120"/>
      <c r="Z3" s="130"/>
      <c r="AB3" s="131" t="s">
        <v>130</v>
      </c>
      <c r="AC3" s="131"/>
      <c r="AD3" s="132"/>
    </row>
    <row r="4" spans="2:33" ht="16.5" customHeight="1" x14ac:dyDescent="0.25">
      <c r="B4" s="133"/>
      <c r="C4" s="133"/>
      <c r="D4" s="133"/>
      <c r="E4" s="134"/>
      <c r="F4" s="135" t="s">
        <v>131</v>
      </c>
      <c r="I4" s="116"/>
      <c r="J4" s="136" t="s">
        <v>132</v>
      </c>
      <c r="K4" s="136"/>
      <c r="L4" s="137"/>
      <c r="M4" s="136" t="s">
        <v>133</v>
      </c>
      <c r="N4" s="136"/>
      <c r="O4" s="138"/>
      <c r="P4" s="139" t="s">
        <v>132</v>
      </c>
      <c r="Q4" s="139"/>
      <c r="R4" s="140"/>
      <c r="S4" s="139" t="s">
        <v>133</v>
      </c>
      <c r="T4" s="139"/>
      <c r="U4" s="138"/>
      <c r="V4" s="136" t="s">
        <v>132</v>
      </c>
      <c r="W4" s="136"/>
      <c r="X4" s="137"/>
      <c r="Y4" s="136" t="s">
        <v>133</v>
      </c>
      <c r="Z4" s="136"/>
      <c r="AB4" s="141" t="s">
        <v>2</v>
      </c>
      <c r="AC4" s="141" t="s">
        <v>8</v>
      </c>
      <c r="AD4" s="141"/>
    </row>
    <row r="5" spans="2:33" s="7" customFormat="1" ht="15.75" customHeight="1" x14ac:dyDescent="0.2">
      <c r="B5" s="142" t="s">
        <v>134</v>
      </c>
      <c r="C5" s="142"/>
      <c r="D5" s="142"/>
      <c r="E5" s="142"/>
      <c r="F5" s="143"/>
      <c r="G5" s="144" t="s">
        <v>35</v>
      </c>
      <c r="H5" s="145" t="s">
        <v>135</v>
      </c>
      <c r="I5" s="116"/>
      <c r="J5" s="146" t="s">
        <v>35</v>
      </c>
      <c r="K5" s="147" t="s">
        <v>135</v>
      </c>
      <c r="L5" s="148"/>
      <c r="M5" s="146" t="s">
        <v>35</v>
      </c>
      <c r="N5" s="147" t="s">
        <v>135</v>
      </c>
      <c r="O5" s="116"/>
      <c r="P5" s="149" t="s">
        <v>35</v>
      </c>
      <c r="Q5" s="150" t="s">
        <v>135</v>
      </c>
      <c r="R5" s="148"/>
      <c r="S5" s="148" t="s">
        <v>35</v>
      </c>
      <c r="T5" s="151" t="s">
        <v>135</v>
      </c>
      <c r="U5" s="116"/>
      <c r="V5" s="146" t="s">
        <v>136</v>
      </c>
      <c r="W5" s="151" t="s">
        <v>135</v>
      </c>
      <c r="X5" s="148"/>
      <c r="Y5" s="152" t="s">
        <v>136</v>
      </c>
      <c r="Z5" s="151" t="s">
        <v>135</v>
      </c>
      <c r="AB5" s="153" t="s">
        <v>135</v>
      </c>
      <c r="AC5" s="153" t="s">
        <v>135</v>
      </c>
      <c r="AD5" s="153"/>
    </row>
    <row r="6" spans="2:33" ht="14.25" customHeight="1" x14ac:dyDescent="0.25">
      <c r="B6" s="154" t="s">
        <v>137</v>
      </c>
      <c r="C6" s="155">
        <v>6011</v>
      </c>
      <c r="D6" s="155">
        <v>28040</v>
      </c>
      <c r="E6" s="156">
        <v>671010</v>
      </c>
      <c r="F6" s="7" t="s">
        <v>138</v>
      </c>
      <c r="G6" s="157" t="s">
        <v>139</v>
      </c>
      <c r="H6" s="158">
        <f>K6+N6</f>
        <v>0</v>
      </c>
      <c r="I6" s="116"/>
      <c r="J6" s="159"/>
      <c r="K6" s="160">
        <f>+Q6+W6</f>
        <v>0</v>
      </c>
      <c r="L6" s="161" t="s">
        <v>140</v>
      </c>
      <c r="M6" s="159"/>
      <c r="N6" s="160">
        <f>+T6+Z6</f>
        <v>0</v>
      </c>
      <c r="O6" s="116" t="s">
        <v>140</v>
      </c>
      <c r="P6" s="159"/>
      <c r="Q6" s="162"/>
      <c r="R6" s="7"/>
      <c r="S6" s="159"/>
      <c r="T6" s="162"/>
      <c r="U6" s="116"/>
      <c r="V6" s="163"/>
      <c r="W6" s="162"/>
      <c r="Y6" s="114"/>
      <c r="Z6" s="162"/>
      <c r="AE6" s="164">
        <v>671010</v>
      </c>
    </row>
    <row r="7" spans="2:33" ht="14.25" customHeight="1" x14ac:dyDescent="0.25">
      <c r="B7" s="154" t="s">
        <v>137</v>
      </c>
      <c r="C7" s="155">
        <v>6011</v>
      </c>
      <c r="D7" s="155">
        <v>28040</v>
      </c>
      <c r="E7" s="156">
        <v>671030</v>
      </c>
      <c r="F7" s="7" t="s">
        <v>141</v>
      </c>
      <c r="G7" s="157" t="s">
        <v>139</v>
      </c>
      <c r="H7" s="158">
        <f t="shared" ref="H7:H13" si="0">+K7+N7</f>
        <v>422797.38</v>
      </c>
      <c r="I7" s="116"/>
      <c r="J7" s="159"/>
      <c r="K7" s="160">
        <f>+Q7+W7</f>
        <v>262450.52</v>
      </c>
      <c r="L7" s="161" t="s">
        <v>140</v>
      </c>
      <c r="M7" s="159"/>
      <c r="N7" s="160">
        <f>+T7+Z7</f>
        <v>160346.85999999999</v>
      </c>
      <c r="O7" s="116" t="s">
        <v>140</v>
      </c>
      <c r="P7" s="165"/>
      <c r="Q7" s="166">
        <v>248765.51</v>
      </c>
      <c r="R7" s="7"/>
      <c r="S7" s="165"/>
      <c r="T7" s="166">
        <v>161725.4</v>
      </c>
      <c r="U7" s="116"/>
      <c r="V7" s="163"/>
      <c r="W7" s="166">
        <v>13685.01</v>
      </c>
      <c r="X7" s="128"/>
      <c r="Y7" s="167"/>
      <c r="Z7" s="166">
        <v>-1378.54</v>
      </c>
      <c r="AE7" s="164">
        <v>671030</v>
      </c>
    </row>
    <row r="8" spans="2:33" ht="14.25" customHeight="1" x14ac:dyDescent="0.25">
      <c r="B8" s="154" t="s">
        <v>137</v>
      </c>
      <c r="C8" s="155">
        <v>6011</v>
      </c>
      <c r="D8" s="155">
        <v>28040</v>
      </c>
      <c r="E8" s="156">
        <v>671050</v>
      </c>
      <c r="F8" s="7" t="s">
        <v>142</v>
      </c>
      <c r="G8" s="168">
        <f t="shared" ref="G8:G14" si="1">+J8+M8</f>
        <v>12169290</v>
      </c>
      <c r="H8" s="158">
        <f t="shared" si="0"/>
        <v>2596699.3000000003</v>
      </c>
      <c r="I8" s="116"/>
      <c r="J8" s="169">
        <f>+P8+V8</f>
        <v>9957845</v>
      </c>
      <c r="K8" s="170">
        <f>+Q8+W8</f>
        <v>2142485.1</v>
      </c>
      <c r="L8" s="161" t="s">
        <v>143</v>
      </c>
      <c r="M8" s="7">
        <f>+S8+Y8</f>
        <v>2211445</v>
      </c>
      <c r="N8" s="171">
        <f>+T8+Z8</f>
        <v>454214.2</v>
      </c>
      <c r="O8" s="116" t="s">
        <v>143</v>
      </c>
      <c r="P8" s="172">
        <v>9957845</v>
      </c>
      <c r="Q8" s="173">
        <f>2135380.1+7105</f>
        <v>2142485.1</v>
      </c>
      <c r="R8" s="7"/>
      <c r="S8" s="172">
        <v>2211445</v>
      </c>
      <c r="T8" s="173">
        <v>454214.2</v>
      </c>
      <c r="U8" s="116"/>
      <c r="V8" s="174"/>
      <c r="W8" s="175"/>
      <c r="Y8" s="176"/>
      <c r="Z8" s="175"/>
      <c r="AB8" s="177">
        <v>0</v>
      </c>
      <c r="AC8" s="177">
        <v>0</v>
      </c>
      <c r="AE8" s="178">
        <v>671050</v>
      </c>
    </row>
    <row r="9" spans="2:33" ht="14.25" customHeight="1" x14ac:dyDescent="0.25">
      <c r="B9" s="154" t="s">
        <v>137</v>
      </c>
      <c r="C9" s="155">
        <v>6011</v>
      </c>
      <c r="D9" s="155">
        <v>28040</v>
      </c>
      <c r="E9" s="156">
        <v>671051</v>
      </c>
      <c r="F9" s="7" t="s">
        <v>144</v>
      </c>
      <c r="G9" s="157" t="s">
        <v>139</v>
      </c>
      <c r="H9" s="158">
        <f t="shared" si="0"/>
        <v>0</v>
      </c>
      <c r="I9" s="116"/>
      <c r="J9" s="179"/>
      <c r="K9" s="171">
        <f t="shared" ref="J9:K14" si="2">+Q9+W9</f>
        <v>0</v>
      </c>
      <c r="L9" s="161" t="s">
        <v>143</v>
      </c>
      <c r="M9" s="180"/>
      <c r="N9" s="171">
        <f>+T9+Z9</f>
        <v>0</v>
      </c>
      <c r="O9" s="116" t="s">
        <v>143</v>
      </c>
      <c r="P9" s="165"/>
      <c r="Q9" s="181"/>
      <c r="R9" s="7"/>
      <c r="S9" s="165"/>
      <c r="T9" s="181"/>
      <c r="U9" s="116"/>
      <c r="V9" s="182"/>
      <c r="W9" s="175"/>
      <c r="X9" s="114"/>
      <c r="Y9" s="183"/>
      <c r="Z9" s="175"/>
      <c r="AE9" s="178">
        <v>671051</v>
      </c>
    </row>
    <row r="10" spans="2:33" ht="14.25" customHeight="1" x14ac:dyDescent="0.25">
      <c r="B10" s="154" t="s">
        <v>137</v>
      </c>
      <c r="C10" s="155">
        <v>6011</v>
      </c>
      <c r="D10" s="155">
        <v>28040</v>
      </c>
      <c r="E10" s="156">
        <v>671070</v>
      </c>
      <c r="F10" s="7" t="s">
        <v>145</v>
      </c>
      <c r="G10" s="168">
        <f t="shared" si="1"/>
        <v>437150</v>
      </c>
      <c r="H10" s="158">
        <f>+K10+N10</f>
        <v>34674.910000000003</v>
      </c>
      <c r="I10" s="116"/>
      <c r="J10" s="169">
        <f t="shared" si="2"/>
        <v>332672</v>
      </c>
      <c r="K10" s="171">
        <f t="shared" si="2"/>
        <v>26510.22</v>
      </c>
      <c r="L10" s="161" t="s">
        <v>143</v>
      </c>
      <c r="M10" s="7">
        <f>+S10+Y10</f>
        <v>104478</v>
      </c>
      <c r="N10" s="171">
        <f>+T10+Z10</f>
        <v>8164.6900000000023</v>
      </c>
      <c r="O10" s="184" t="s">
        <v>143</v>
      </c>
      <c r="P10" s="172">
        <f>1397528-1064856</f>
        <v>332672</v>
      </c>
      <c r="Q10" s="185">
        <f>245566.56-219056.34</f>
        <v>26510.22</v>
      </c>
      <c r="R10" s="7"/>
      <c r="S10" s="172">
        <f>444272-339794</f>
        <v>104478</v>
      </c>
      <c r="T10" s="181">
        <f>78065.25-69900.56</f>
        <v>8164.6900000000023</v>
      </c>
      <c r="U10" s="116"/>
      <c r="V10" s="182"/>
      <c r="W10" s="175"/>
      <c r="X10" s="114">
        <v>0</v>
      </c>
      <c r="Y10" s="183"/>
      <c r="Z10" s="175"/>
      <c r="AE10" s="178">
        <v>671070</v>
      </c>
    </row>
    <row r="11" spans="2:33" ht="14.25" customHeight="1" x14ac:dyDescent="0.25">
      <c r="B11" s="186" t="s">
        <v>137</v>
      </c>
      <c r="C11" s="187">
        <v>6011</v>
      </c>
      <c r="D11" s="187">
        <v>28081</v>
      </c>
      <c r="E11" s="188">
        <v>671050</v>
      </c>
      <c r="F11" s="189" t="s">
        <v>146</v>
      </c>
      <c r="G11" s="168">
        <f t="shared" si="1"/>
        <v>0</v>
      </c>
      <c r="H11" s="158">
        <f t="shared" si="0"/>
        <v>0</v>
      </c>
      <c r="I11" s="116"/>
      <c r="J11" s="169">
        <f t="shared" si="2"/>
        <v>0</v>
      </c>
      <c r="K11" s="171">
        <f t="shared" si="2"/>
        <v>0</v>
      </c>
      <c r="L11" s="161" t="s">
        <v>143</v>
      </c>
      <c r="M11" s="7">
        <f t="shared" ref="M11:N14" si="3">+S11+Y11</f>
        <v>0</v>
      </c>
      <c r="N11" s="171">
        <f t="shared" si="3"/>
        <v>0</v>
      </c>
      <c r="O11" s="116" t="s">
        <v>143</v>
      </c>
      <c r="P11" s="172">
        <v>0</v>
      </c>
      <c r="Q11" s="190">
        <v>0</v>
      </c>
      <c r="R11" s="191">
        <v>-1</v>
      </c>
      <c r="S11" s="172">
        <v>0</v>
      </c>
      <c r="T11" s="190">
        <v>0</v>
      </c>
      <c r="U11" s="192">
        <v>-4</v>
      </c>
      <c r="V11" s="182"/>
      <c r="W11" s="175"/>
      <c r="X11" s="114"/>
      <c r="Y11" s="183"/>
      <c r="Z11" s="175"/>
      <c r="AE11" s="188">
        <v>671050</v>
      </c>
      <c r="AF11" s="128"/>
    </row>
    <row r="12" spans="2:33" ht="14.25" customHeight="1" x14ac:dyDescent="0.25">
      <c r="B12" s="186" t="s">
        <v>137</v>
      </c>
      <c r="C12" s="187">
        <v>6011</v>
      </c>
      <c r="D12" s="187">
        <v>28082</v>
      </c>
      <c r="E12" s="188">
        <v>671050</v>
      </c>
      <c r="F12" s="189" t="s">
        <v>147</v>
      </c>
      <c r="G12" s="168">
        <f t="shared" si="1"/>
        <v>-3012270</v>
      </c>
      <c r="H12" s="158">
        <f t="shared" si="0"/>
        <v>-742561.85</v>
      </c>
      <c r="I12" s="116"/>
      <c r="J12" s="169">
        <f t="shared" si="2"/>
        <v>-3012270</v>
      </c>
      <c r="K12" s="171">
        <f t="shared" si="2"/>
        <v>-742561.85</v>
      </c>
      <c r="L12" s="161" t="s">
        <v>143</v>
      </c>
      <c r="M12" s="93">
        <f t="shared" si="3"/>
        <v>0</v>
      </c>
      <c r="N12" s="171">
        <f t="shared" si="3"/>
        <v>0</v>
      </c>
      <c r="O12" s="116" t="s">
        <v>143</v>
      </c>
      <c r="P12" s="172">
        <v>-3012270</v>
      </c>
      <c r="Q12" s="190">
        <v>-742561.85</v>
      </c>
      <c r="R12" s="191">
        <v>-2</v>
      </c>
      <c r="S12" s="193"/>
      <c r="T12" s="190"/>
      <c r="U12" s="192"/>
      <c r="V12" s="174"/>
      <c r="W12" s="175"/>
      <c r="X12" s="114"/>
      <c r="Y12" s="183"/>
      <c r="Z12" s="175"/>
      <c r="AE12" s="188">
        <v>671050</v>
      </c>
      <c r="AF12" s="128"/>
      <c r="AG12" s="172"/>
    </row>
    <row r="13" spans="2:33" ht="14.25" customHeight="1" x14ac:dyDescent="0.25">
      <c r="B13" s="186" t="s">
        <v>137</v>
      </c>
      <c r="C13" s="187">
        <v>6011</v>
      </c>
      <c r="D13" s="187">
        <v>28120</v>
      </c>
      <c r="E13" s="188">
        <v>671070</v>
      </c>
      <c r="F13" s="189" t="s">
        <v>148</v>
      </c>
      <c r="G13" s="168">
        <f t="shared" si="1"/>
        <v>-16730</v>
      </c>
      <c r="H13" s="158">
        <f t="shared" si="0"/>
        <v>-3743.55</v>
      </c>
      <c r="I13" s="116"/>
      <c r="J13" s="169">
        <f t="shared" si="2"/>
        <v>-11036</v>
      </c>
      <c r="K13" s="171">
        <f>+Q13+W13</f>
        <v>-2675.02</v>
      </c>
      <c r="L13" s="161" t="s">
        <v>143</v>
      </c>
      <c r="M13" s="7">
        <f t="shared" si="3"/>
        <v>-5694</v>
      </c>
      <c r="N13" s="171">
        <f t="shared" si="3"/>
        <v>-1068.53</v>
      </c>
      <c r="O13" s="116" t="s">
        <v>143</v>
      </c>
      <c r="P13" s="172">
        <v>-11036</v>
      </c>
      <c r="Q13" s="190">
        <v>-2675.02</v>
      </c>
      <c r="R13" s="191">
        <v>-3</v>
      </c>
      <c r="S13" s="194">
        <v>-5694</v>
      </c>
      <c r="T13" s="190">
        <v>-1068.53</v>
      </c>
      <c r="U13" s="192">
        <v>-5</v>
      </c>
      <c r="V13" s="182"/>
      <c r="W13" s="175"/>
      <c r="X13" s="114"/>
      <c r="Y13" s="183">
        <v>0</v>
      </c>
      <c r="Z13" s="175"/>
      <c r="AE13" s="188">
        <v>671070</v>
      </c>
    </row>
    <row r="14" spans="2:33" ht="14.25" customHeight="1" x14ac:dyDescent="0.25">
      <c r="B14" s="154" t="s">
        <v>137</v>
      </c>
      <c r="C14" s="155">
        <v>6011</v>
      </c>
      <c r="D14" s="155">
        <v>28040</v>
      </c>
      <c r="E14" s="156">
        <v>671100</v>
      </c>
      <c r="F14" s="7" t="s">
        <v>149</v>
      </c>
      <c r="G14" s="168">
        <f t="shared" si="1"/>
        <v>0</v>
      </c>
      <c r="H14" s="158">
        <f>+K14+N14</f>
        <v>0</v>
      </c>
      <c r="I14" s="116"/>
      <c r="J14" s="169">
        <f>+P14+V14</f>
        <v>0</v>
      </c>
      <c r="K14" s="171">
        <f t="shared" si="2"/>
        <v>0</v>
      </c>
      <c r="L14" s="161" t="s">
        <v>143</v>
      </c>
      <c r="M14" s="195">
        <f t="shared" si="3"/>
        <v>0</v>
      </c>
      <c r="N14" s="196">
        <f t="shared" si="3"/>
        <v>0</v>
      </c>
      <c r="O14" s="116" t="s">
        <v>143</v>
      </c>
      <c r="P14" s="197"/>
      <c r="Q14" s="198"/>
      <c r="R14" s="7"/>
      <c r="S14" s="197"/>
      <c r="T14" s="175"/>
      <c r="U14" s="116"/>
      <c r="V14" s="182"/>
      <c r="W14" s="175"/>
      <c r="X14" s="114"/>
      <c r="Y14" s="183"/>
      <c r="Z14" s="199"/>
      <c r="AE14" s="178">
        <v>671100</v>
      </c>
    </row>
    <row r="15" spans="2:33" ht="14.25" customHeight="1" x14ac:dyDescent="0.25">
      <c r="B15" s="154"/>
      <c r="C15" s="200"/>
      <c r="D15" s="200"/>
      <c r="E15" s="201"/>
      <c r="F15" s="202" t="s">
        <v>150</v>
      </c>
      <c r="G15" s="203">
        <f>SUM(G6:G14)</f>
        <v>9577440</v>
      </c>
      <c r="H15" s="204">
        <f>SUM(H6:H14)</f>
        <v>2307866.1900000004</v>
      </c>
      <c r="I15" s="116"/>
      <c r="J15" s="205">
        <f>SUM(J6:J14)</f>
        <v>7267211</v>
      </c>
      <c r="K15" s="103">
        <f>SUM(K6:K14)</f>
        <v>1686208.9700000002</v>
      </c>
      <c r="L15" s="161"/>
      <c r="M15" s="7">
        <f>SUM(M6:M14)</f>
        <v>2310229</v>
      </c>
      <c r="N15" s="105">
        <f>SUM(N6:N14)</f>
        <v>621657.22</v>
      </c>
      <c r="O15" s="116"/>
      <c r="P15" s="7">
        <f>SUM(P6:P14)</f>
        <v>7267211</v>
      </c>
      <c r="Q15" s="206">
        <f>SUM(Q6:Q14)</f>
        <v>1672523.9600000004</v>
      </c>
      <c r="R15" s="7"/>
      <c r="S15" s="7">
        <f>SUM(S6:S14)</f>
        <v>2310229</v>
      </c>
      <c r="T15" s="206">
        <f>SUM(T6:T14)</f>
        <v>623035.76</v>
      </c>
      <c r="U15" s="116"/>
      <c r="V15" s="207">
        <f>+SUM(V6:V14)</f>
        <v>0</v>
      </c>
      <c r="W15" s="206">
        <f>SUM(W6:W14)</f>
        <v>13685.01</v>
      </c>
      <c r="X15" s="114"/>
      <c r="Y15" s="207">
        <f>SUM(Y6:Y14)</f>
        <v>0</v>
      </c>
      <c r="Z15" s="206">
        <f>SUM(Z6:Z14)</f>
        <v>-1378.54</v>
      </c>
      <c r="AB15" s="208">
        <f>SUM(AB6:AB14)</f>
        <v>0</v>
      </c>
      <c r="AC15" s="208">
        <f>SUM(AC6:AC14)</f>
        <v>0</v>
      </c>
      <c r="AD15" s="208"/>
      <c r="AE15" s="201"/>
    </row>
    <row r="16" spans="2:33" ht="14.25" customHeight="1" x14ac:dyDescent="0.25">
      <c r="B16" s="154"/>
      <c r="C16" s="200"/>
      <c r="D16" s="200"/>
      <c r="E16" s="201"/>
      <c r="G16" s="203"/>
      <c r="H16" s="209"/>
      <c r="I16" s="116"/>
      <c r="J16" s="203"/>
      <c r="K16" s="209"/>
      <c r="L16" s="210"/>
      <c r="M16" s="203"/>
      <c r="N16" s="211"/>
      <c r="O16" s="116"/>
      <c r="P16" s="205"/>
      <c r="Q16" s="5"/>
      <c r="R16" s="7"/>
      <c r="S16" s="205"/>
      <c r="T16" s="5"/>
      <c r="U16" s="116"/>
      <c r="V16" s="212"/>
      <c r="W16" s="5"/>
      <c r="X16" s="114"/>
      <c r="Y16" s="114"/>
      <c r="Z16" s="5"/>
      <c r="AE16" s="201"/>
    </row>
    <row r="17" spans="2:33" ht="14.25" customHeight="1" x14ac:dyDescent="0.25">
      <c r="B17" s="154" t="s">
        <v>137</v>
      </c>
      <c r="C17" s="155">
        <v>6011</v>
      </c>
      <c r="D17" s="155">
        <v>28040</v>
      </c>
      <c r="E17" s="156">
        <v>672010</v>
      </c>
      <c r="F17" s="7" t="s">
        <v>151</v>
      </c>
      <c r="G17" s="157"/>
      <c r="H17" s="158">
        <f>K17+N17</f>
        <v>5364464.03</v>
      </c>
      <c r="I17" s="116"/>
      <c r="J17" s="213"/>
      <c r="K17" s="160">
        <f>+Q17+W17</f>
        <v>4280372.87</v>
      </c>
      <c r="L17" s="161" t="s">
        <v>140</v>
      </c>
      <c r="M17" s="159"/>
      <c r="N17" s="160">
        <f>+T17+Z17</f>
        <v>1084091.1599999999</v>
      </c>
      <c r="O17" s="116" t="s">
        <v>140</v>
      </c>
      <c r="P17" s="159"/>
      <c r="Q17" s="166">
        <f>91693.04+3813668.8</f>
        <v>3905361.84</v>
      </c>
      <c r="R17" s="214"/>
      <c r="S17" s="165"/>
      <c r="T17" s="166">
        <f>218224.32+636021.37</f>
        <v>854245.69</v>
      </c>
      <c r="U17" s="116"/>
      <c r="V17" s="215"/>
      <c r="W17" s="166">
        <v>375011.03</v>
      </c>
      <c r="X17" s="167"/>
      <c r="Y17" s="216"/>
      <c r="Z17" s="217">
        <v>229845.47</v>
      </c>
      <c r="AE17" s="164">
        <v>672010</v>
      </c>
    </row>
    <row r="18" spans="2:33" ht="14.25" customHeight="1" x14ac:dyDescent="0.25">
      <c r="B18" s="154" t="s">
        <v>137</v>
      </c>
      <c r="C18" s="155">
        <v>6011</v>
      </c>
      <c r="D18" s="155">
        <v>28040</v>
      </c>
      <c r="E18" s="156">
        <v>672020</v>
      </c>
      <c r="F18" s="7" t="s">
        <v>152</v>
      </c>
      <c r="G18" s="157"/>
      <c r="H18" s="158">
        <f>K18+N18</f>
        <v>233965.35</v>
      </c>
      <c r="I18" s="116"/>
      <c r="J18" s="213"/>
      <c r="K18" s="171">
        <f>+Q18+W18</f>
        <v>207102.26</v>
      </c>
      <c r="L18" s="161" t="s">
        <v>143</v>
      </c>
      <c r="M18" s="159"/>
      <c r="N18" s="171">
        <f>+T18+Z18</f>
        <v>26863.09</v>
      </c>
      <c r="O18" s="116" t="s">
        <v>143</v>
      </c>
      <c r="P18" s="159"/>
      <c r="Q18" s="181">
        <v>210559.34</v>
      </c>
      <c r="R18" s="214"/>
      <c r="T18" s="181">
        <v>28170.66</v>
      </c>
      <c r="U18" s="116"/>
      <c r="V18" s="215"/>
      <c r="W18" s="181">
        <v>-3457.08</v>
      </c>
      <c r="X18" s="167"/>
      <c r="Y18" s="216"/>
      <c r="Z18" s="181">
        <v>-1307.57</v>
      </c>
      <c r="AE18" s="178">
        <v>672020</v>
      </c>
      <c r="AF18" s="218"/>
    </row>
    <row r="19" spans="2:33" ht="14.25" customHeight="1" x14ac:dyDescent="0.25">
      <c r="B19" s="154" t="s">
        <v>137</v>
      </c>
      <c r="C19" s="155">
        <v>6011</v>
      </c>
      <c r="D19" s="155">
        <v>28040</v>
      </c>
      <c r="E19" s="156">
        <v>672030</v>
      </c>
      <c r="F19" s="7" t="s">
        <v>153</v>
      </c>
      <c r="G19" s="157"/>
      <c r="H19" s="158">
        <f>K19+N19</f>
        <v>0</v>
      </c>
      <c r="I19" s="116"/>
      <c r="J19" s="213"/>
      <c r="K19" s="160">
        <f>+Q19+W19</f>
        <v>0</v>
      </c>
      <c r="L19" s="161" t="s">
        <v>140</v>
      </c>
      <c r="M19" s="159"/>
      <c r="N19" s="160">
        <f>+T19+Z19</f>
        <v>0</v>
      </c>
      <c r="O19" s="116" t="s">
        <v>140</v>
      </c>
      <c r="P19" s="159"/>
      <c r="Q19" s="166"/>
      <c r="R19" s="214"/>
      <c r="S19" s="165"/>
      <c r="T19" s="166"/>
      <c r="U19" s="116"/>
      <c r="V19" s="215"/>
      <c r="W19" s="166"/>
      <c r="X19" s="167"/>
      <c r="Y19" s="216"/>
      <c r="Z19" s="166"/>
      <c r="AE19" s="164">
        <v>672030</v>
      </c>
      <c r="AF19" s="218"/>
    </row>
    <row r="20" spans="2:33" ht="14.25" customHeight="1" x14ac:dyDescent="0.25">
      <c r="B20" s="154" t="s">
        <v>137</v>
      </c>
      <c r="C20" s="155">
        <v>6011</v>
      </c>
      <c r="D20" s="155">
        <v>28040</v>
      </c>
      <c r="E20" s="156">
        <v>672040</v>
      </c>
      <c r="F20" s="7" t="s">
        <v>154</v>
      </c>
      <c r="G20" s="157"/>
      <c r="H20" s="158">
        <f>K20+N20</f>
        <v>344087.17000000004</v>
      </c>
      <c r="I20" s="116"/>
      <c r="J20" s="213"/>
      <c r="K20" s="160">
        <f>+Q20+W20</f>
        <v>302280.58</v>
      </c>
      <c r="L20" s="161" t="s">
        <v>140</v>
      </c>
      <c r="M20" s="159"/>
      <c r="N20" s="160">
        <f>+T20+Z20</f>
        <v>41806.589999999997</v>
      </c>
      <c r="O20" s="116" t="s">
        <v>140</v>
      </c>
      <c r="P20" s="159"/>
      <c r="Q20" s="166">
        <v>302280.58</v>
      </c>
      <c r="R20" s="214"/>
      <c r="S20" s="165"/>
      <c r="T20" s="166">
        <v>41806.589999999997</v>
      </c>
      <c r="U20" s="116"/>
      <c r="V20" s="215"/>
      <c r="W20" s="166"/>
      <c r="X20" s="167"/>
      <c r="Y20" s="216"/>
      <c r="Z20" s="166"/>
      <c r="AD20" s="8">
        <v>-64.13</v>
      </c>
      <c r="AE20" s="164">
        <v>672040</v>
      </c>
      <c r="AF20" s="218"/>
      <c r="AG20" s="218"/>
    </row>
    <row r="21" spans="2:33" ht="14.25" customHeight="1" x14ac:dyDescent="0.25">
      <c r="B21" s="154" t="s">
        <v>137</v>
      </c>
      <c r="C21" s="155">
        <v>6011</v>
      </c>
      <c r="D21" s="155">
        <v>28040</v>
      </c>
      <c r="E21" s="156">
        <v>672050</v>
      </c>
      <c r="F21" s="7" t="s">
        <v>155</v>
      </c>
      <c r="G21" s="157"/>
      <c r="H21" s="158">
        <f>K21+N21</f>
        <v>-1852943.33</v>
      </c>
      <c r="I21" s="116"/>
      <c r="J21" s="219"/>
      <c r="K21" s="160">
        <f>+Q21+W21</f>
        <v>-1627700.01</v>
      </c>
      <c r="L21" s="161" t="s">
        <v>140</v>
      </c>
      <c r="M21" s="159"/>
      <c r="N21" s="220">
        <f>+T21+Z21</f>
        <v>-225243.32</v>
      </c>
      <c r="O21" s="116" t="s">
        <v>140</v>
      </c>
      <c r="P21" s="159"/>
      <c r="Q21" s="166">
        <f>+-79.69-1097156.03</f>
        <v>-1097235.72</v>
      </c>
      <c r="R21" s="221"/>
      <c r="S21" s="222"/>
      <c r="T21" s="223">
        <f>+-94.94-151783.09</f>
        <v>-151878.03</v>
      </c>
      <c r="U21" s="116"/>
      <c r="V21" s="215"/>
      <c r="W21" s="166">
        <v>-530464.29</v>
      </c>
      <c r="X21" s="167"/>
      <c r="Y21" s="216"/>
      <c r="Z21" s="166">
        <v>-73365.289999999994</v>
      </c>
      <c r="AE21" s="164">
        <v>672050</v>
      </c>
      <c r="AF21" s="218"/>
      <c r="AG21" s="218"/>
    </row>
    <row r="22" spans="2:33" ht="14.25" customHeight="1" x14ac:dyDescent="0.25">
      <c r="B22" s="154"/>
      <c r="C22" s="200"/>
      <c r="D22" s="200"/>
      <c r="E22" s="201"/>
      <c r="F22" s="205" t="s">
        <v>156</v>
      </c>
      <c r="G22" s="224"/>
      <c r="H22" s="225">
        <f>SUM(H17:H21)</f>
        <v>4089573.2199999997</v>
      </c>
      <c r="I22" s="116"/>
      <c r="J22" s="226"/>
      <c r="K22" s="105">
        <f>SUM(K17:K21)</f>
        <v>3162055.7</v>
      </c>
      <c r="L22" s="161"/>
      <c r="M22" s="227"/>
      <c r="N22" s="105">
        <f>SUM(N17:N21)</f>
        <v>927517.52</v>
      </c>
      <c r="O22" s="116"/>
      <c r="P22" s="205"/>
      <c r="Q22" s="206">
        <f>SUM(Q17:Q21)</f>
        <v>3320966.04</v>
      </c>
      <c r="R22" s="161"/>
      <c r="S22" s="104"/>
      <c r="T22" s="206">
        <f>SUM(T17:T21)</f>
        <v>772344.90999999992</v>
      </c>
      <c r="U22" s="116"/>
      <c r="V22" s="228"/>
      <c r="W22" s="229">
        <f>SUM(W17:W21)</f>
        <v>-158910.34000000003</v>
      </c>
      <c r="X22" s="114"/>
      <c r="Y22" s="163"/>
      <c r="Z22" s="206">
        <f>SUM(Z17:Z21)</f>
        <v>155172.60999999999</v>
      </c>
      <c r="AB22" s="208">
        <f>SUM(AB17:AB21)</f>
        <v>0</v>
      </c>
      <c r="AC22" s="208">
        <f>SUM(AC17:AC21)</f>
        <v>0</v>
      </c>
      <c r="AD22" s="208"/>
      <c r="AE22" s="201"/>
    </row>
    <row r="23" spans="2:33" ht="14.25" customHeight="1" x14ac:dyDescent="0.25">
      <c r="B23" s="154"/>
      <c r="C23" s="200"/>
      <c r="D23" s="200"/>
      <c r="E23" s="201"/>
      <c r="F23" s="230"/>
      <c r="G23" s="168"/>
      <c r="H23" s="209"/>
      <c r="I23" s="116"/>
      <c r="J23" s="213"/>
      <c r="K23" s="211"/>
      <c r="L23" s="210"/>
      <c r="M23" s="231"/>
      <c r="N23" s="211"/>
      <c r="O23" s="116"/>
      <c r="P23" s="205"/>
      <c r="Q23" s="5"/>
      <c r="R23" s="7"/>
      <c r="S23" s="7"/>
      <c r="T23" s="5"/>
      <c r="U23" s="116"/>
      <c r="V23" s="215"/>
      <c r="W23" s="103"/>
      <c r="X23" s="114"/>
      <c r="Y23" s="163"/>
      <c r="Z23" s="5"/>
      <c r="AE23" s="201"/>
    </row>
    <row r="24" spans="2:33" ht="14.25" customHeight="1" x14ac:dyDescent="0.25">
      <c r="B24" s="154" t="s">
        <v>137</v>
      </c>
      <c r="C24" s="155">
        <v>6011</v>
      </c>
      <c r="D24" s="155">
        <v>28040</v>
      </c>
      <c r="E24" s="156">
        <v>673020</v>
      </c>
      <c r="F24" s="7" t="s">
        <v>157</v>
      </c>
      <c r="G24" s="157"/>
      <c r="H24" s="158">
        <f>K24+N24</f>
        <v>65805.63</v>
      </c>
      <c r="I24" s="116"/>
      <c r="J24" s="213"/>
      <c r="K24" s="160">
        <f t="shared" ref="K24:K37" si="4">+Q24+W24</f>
        <v>57810.239999999998</v>
      </c>
      <c r="L24" s="161" t="s">
        <v>140</v>
      </c>
      <c r="M24" s="159"/>
      <c r="N24" s="160">
        <f t="shared" ref="N24:N33" si="5">+T24+Z24</f>
        <v>7995.3899999999994</v>
      </c>
      <c r="O24" s="116" t="s">
        <v>140</v>
      </c>
      <c r="P24" s="159"/>
      <c r="Q24" s="166">
        <v>57954.09</v>
      </c>
      <c r="R24" s="214"/>
      <c r="S24" s="165"/>
      <c r="T24" s="166">
        <v>8015.28</v>
      </c>
      <c r="U24" s="116"/>
      <c r="V24" s="215"/>
      <c r="W24" s="166">
        <v>-143.85</v>
      </c>
      <c r="X24" s="232"/>
      <c r="Y24" s="232"/>
      <c r="Z24" s="166">
        <v>-19.89</v>
      </c>
      <c r="AE24" s="164">
        <v>673020</v>
      </c>
    </row>
    <row r="25" spans="2:33" ht="14.25" customHeight="1" x14ac:dyDescent="0.25">
      <c r="B25" s="154" t="s">
        <v>137</v>
      </c>
      <c r="C25" s="155">
        <v>6011</v>
      </c>
      <c r="D25" s="155">
        <v>28040</v>
      </c>
      <c r="E25" s="156">
        <v>673030</v>
      </c>
      <c r="F25" s="7" t="s">
        <v>158</v>
      </c>
      <c r="G25" s="157"/>
      <c r="H25" s="158">
        <f t="shared" ref="H25:H37" si="6">K25+N25</f>
        <v>67271.14</v>
      </c>
      <c r="I25" s="116"/>
      <c r="J25" s="213"/>
      <c r="K25" s="160">
        <f t="shared" si="4"/>
        <v>60671.840000000004</v>
      </c>
      <c r="L25" s="161" t="s">
        <v>140</v>
      </c>
      <c r="M25" s="159"/>
      <c r="N25" s="160">
        <f t="shared" si="5"/>
        <v>6599.2999999999993</v>
      </c>
      <c r="O25" s="116" t="s">
        <v>140</v>
      </c>
      <c r="P25" s="159"/>
      <c r="Q25" s="166">
        <v>61282.61</v>
      </c>
      <c r="R25" s="214"/>
      <c r="S25" s="165"/>
      <c r="T25" s="166">
        <v>6665.73</v>
      </c>
      <c r="U25" s="116"/>
      <c r="V25" s="215"/>
      <c r="W25" s="166">
        <v>-610.77</v>
      </c>
      <c r="X25" s="232"/>
      <c r="Y25" s="232"/>
      <c r="Z25" s="166">
        <v>-66.430000000000007</v>
      </c>
      <c r="AE25" s="164">
        <v>673030</v>
      </c>
    </row>
    <row r="26" spans="2:33" ht="14.25" customHeight="1" x14ac:dyDescent="0.25">
      <c r="B26" s="154" t="s">
        <v>137</v>
      </c>
      <c r="C26" s="155">
        <v>6011</v>
      </c>
      <c r="D26" s="155">
        <v>28040</v>
      </c>
      <c r="E26" s="156">
        <v>673040</v>
      </c>
      <c r="F26" s="7" t="s">
        <v>159</v>
      </c>
      <c r="G26" s="157"/>
      <c r="H26" s="158">
        <f t="shared" si="6"/>
        <v>0</v>
      </c>
      <c r="I26" s="116"/>
      <c r="J26" s="213"/>
      <c r="K26" s="171">
        <f t="shared" si="4"/>
        <v>0</v>
      </c>
      <c r="L26" s="161" t="s">
        <v>143</v>
      </c>
      <c r="M26" s="159"/>
      <c r="N26" s="171">
        <f>+T26+Z26</f>
        <v>0</v>
      </c>
      <c r="O26" s="116" t="s">
        <v>143</v>
      </c>
      <c r="P26" s="159"/>
      <c r="Q26" s="181"/>
      <c r="R26" s="214"/>
      <c r="S26" s="165"/>
      <c r="T26" s="181"/>
      <c r="U26" s="116"/>
      <c r="V26" s="215"/>
      <c r="W26" s="175"/>
      <c r="X26" s="233"/>
      <c r="Y26" s="233"/>
      <c r="Z26" s="175"/>
      <c r="AE26" s="178">
        <v>673040</v>
      </c>
    </row>
    <row r="27" spans="2:33" ht="14.25" customHeight="1" x14ac:dyDescent="0.25">
      <c r="B27" s="154" t="s">
        <v>137</v>
      </c>
      <c r="C27" s="155">
        <v>6011</v>
      </c>
      <c r="D27" s="155">
        <v>28040</v>
      </c>
      <c r="E27" s="156">
        <v>673050</v>
      </c>
      <c r="F27" s="7" t="s">
        <v>160</v>
      </c>
      <c r="G27" s="157"/>
      <c r="H27" s="158">
        <f t="shared" si="6"/>
        <v>82298.280000000013</v>
      </c>
      <c r="I27" s="116"/>
      <c r="J27" s="213"/>
      <c r="K27" s="171">
        <f t="shared" si="4"/>
        <v>74224.820000000007</v>
      </c>
      <c r="L27" s="161" t="s">
        <v>143</v>
      </c>
      <c r="M27" s="159"/>
      <c r="N27" s="171">
        <f t="shared" si="5"/>
        <v>8073.46</v>
      </c>
      <c r="O27" s="116" t="s">
        <v>140</v>
      </c>
      <c r="P27" s="159"/>
      <c r="Q27" s="181">
        <v>74224.820000000007</v>
      </c>
      <c r="R27" s="214"/>
      <c r="S27" s="165"/>
      <c r="T27" s="181">
        <v>8073.46</v>
      </c>
      <c r="U27" s="116"/>
      <c r="V27" s="215"/>
      <c r="W27" s="175"/>
      <c r="X27" s="233"/>
      <c r="Y27" s="233"/>
      <c r="Z27" s="175"/>
      <c r="AE27" s="178">
        <v>673050</v>
      </c>
    </row>
    <row r="28" spans="2:33" ht="14.25" customHeight="1" x14ac:dyDescent="0.25">
      <c r="B28" s="154" t="s">
        <v>137</v>
      </c>
      <c r="C28" s="155">
        <v>6011</v>
      </c>
      <c r="D28" s="155">
        <v>28040</v>
      </c>
      <c r="E28" s="156">
        <v>673060</v>
      </c>
      <c r="F28" s="7" t="s">
        <v>161</v>
      </c>
      <c r="G28" s="157"/>
      <c r="H28" s="158">
        <f t="shared" si="6"/>
        <v>0</v>
      </c>
      <c r="I28" s="116"/>
      <c r="J28" s="213"/>
      <c r="K28" s="171">
        <f t="shared" si="4"/>
        <v>0</v>
      </c>
      <c r="L28" s="161" t="s">
        <v>143</v>
      </c>
      <c r="M28" s="159"/>
      <c r="N28" s="171">
        <f t="shared" si="5"/>
        <v>0</v>
      </c>
      <c r="O28" s="116" t="s">
        <v>140</v>
      </c>
      <c r="P28" s="159"/>
      <c r="Q28" s="181"/>
      <c r="R28" s="214"/>
      <c r="S28" s="165"/>
      <c r="T28" s="181"/>
      <c r="U28" s="116"/>
      <c r="V28" s="215"/>
      <c r="W28" s="175"/>
      <c r="X28" s="233"/>
      <c r="Y28" s="233"/>
      <c r="Z28" s="175"/>
      <c r="AE28" s="178">
        <v>673060</v>
      </c>
    </row>
    <row r="29" spans="2:33" ht="14.25" customHeight="1" x14ac:dyDescent="0.25">
      <c r="B29" s="154" t="s">
        <v>137</v>
      </c>
      <c r="C29" s="155">
        <v>6011</v>
      </c>
      <c r="D29" s="155">
        <v>28040</v>
      </c>
      <c r="E29" s="156">
        <v>673070</v>
      </c>
      <c r="F29" s="7" t="s">
        <v>162</v>
      </c>
      <c r="G29" s="157"/>
      <c r="H29" s="158">
        <f t="shared" si="6"/>
        <v>-677.2</v>
      </c>
      <c r="I29" s="116"/>
      <c r="J29" s="213"/>
      <c r="K29" s="160">
        <f t="shared" si="4"/>
        <v>-610.77</v>
      </c>
      <c r="L29" s="161" t="s">
        <v>143</v>
      </c>
      <c r="M29" s="159"/>
      <c r="N29" s="160">
        <f t="shared" si="5"/>
        <v>-66.430000000000007</v>
      </c>
      <c r="O29" s="116" t="s">
        <v>140</v>
      </c>
      <c r="P29" s="159"/>
      <c r="Q29" s="166"/>
      <c r="R29" s="214"/>
      <c r="S29" s="165"/>
      <c r="T29" s="166"/>
      <c r="U29" s="116"/>
      <c r="V29" s="215"/>
      <c r="W29" s="166">
        <v>-610.77</v>
      </c>
      <c r="X29" s="232"/>
      <c r="Y29" s="232"/>
      <c r="Z29" s="166">
        <v>-66.430000000000007</v>
      </c>
      <c r="AE29" s="164">
        <v>673070</v>
      </c>
    </row>
    <row r="30" spans="2:33" ht="14.25" customHeight="1" x14ac:dyDescent="0.25">
      <c r="B30" s="154" t="s">
        <v>137</v>
      </c>
      <c r="C30" s="155">
        <v>6011</v>
      </c>
      <c r="D30" s="155">
        <v>28040</v>
      </c>
      <c r="E30" s="156">
        <v>673080</v>
      </c>
      <c r="F30" s="7" t="s">
        <v>163</v>
      </c>
      <c r="G30" s="157"/>
      <c r="H30" s="158">
        <f t="shared" si="6"/>
        <v>19289.310000000001</v>
      </c>
      <c r="I30" s="116"/>
      <c r="J30" s="213"/>
      <c r="K30" s="160">
        <f t="shared" si="4"/>
        <v>17510.84</v>
      </c>
      <c r="L30" s="161" t="s">
        <v>140</v>
      </c>
      <c r="M30" s="159"/>
      <c r="N30" s="160">
        <f t="shared" si="5"/>
        <v>1778.47</v>
      </c>
      <c r="O30" s="116" t="s">
        <v>140</v>
      </c>
      <c r="P30" s="159"/>
      <c r="Q30" s="166">
        <v>17064.91</v>
      </c>
      <c r="R30" s="214"/>
      <c r="S30" s="165"/>
      <c r="T30" s="166">
        <v>1733.18</v>
      </c>
      <c r="U30" s="116"/>
      <c r="V30" s="215"/>
      <c r="W30" s="166">
        <v>445.93</v>
      </c>
      <c r="X30" s="232"/>
      <c r="Y30" s="232"/>
      <c r="Z30" s="166">
        <v>45.29</v>
      </c>
      <c r="AE30" s="164">
        <v>673080</v>
      </c>
    </row>
    <row r="31" spans="2:33" ht="14.25" customHeight="1" x14ac:dyDescent="0.25">
      <c r="B31" s="154" t="s">
        <v>137</v>
      </c>
      <c r="C31" s="155">
        <v>6011</v>
      </c>
      <c r="D31" s="155">
        <v>28040</v>
      </c>
      <c r="E31" s="156">
        <v>673090</v>
      </c>
      <c r="F31" s="7" t="s">
        <v>164</v>
      </c>
      <c r="G31" s="157"/>
      <c r="H31" s="158">
        <f t="shared" si="6"/>
        <v>0</v>
      </c>
      <c r="I31" s="116"/>
      <c r="J31" s="213"/>
      <c r="K31" s="171">
        <f t="shared" si="4"/>
        <v>0</v>
      </c>
      <c r="L31" s="161" t="s">
        <v>143</v>
      </c>
      <c r="M31" s="159"/>
      <c r="N31" s="171">
        <f>+T31+Z31</f>
        <v>0</v>
      </c>
      <c r="O31" s="116" t="s">
        <v>143</v>
      </c>
      <c r="P31" s="159"/>
      <c r="Q31" s="181"/>
      <c r="R31" s="214"/>
      <c r="S31" s="165"/>
      <c r="T31" s="181"/>
      <c r="U31" s="116"/>
      <c r="V31" s="215"/>
      <c r="W31" s="175"/>
      <c r="X31" s="233"/>
      <c r="Y31" s="233"/>
      <c r="Z31" s="175"/>
      <c r="AE31" s="178">
        <v>673090</v>
      </c>
    </row>
    <row r="32" spans="2:33" ht="14.25" customHeight="1" x14ac:dyDescent="0.25">
      <c r="B32" s="154" t="s">
        <v>137</v>
      </c>
      <c r="C32" s="155">
        <v>6011</v>
      </c>
      <c r="D32" s="155">
        <v>28040</v>
      </c>
      <c r="E32" s="156">
        <v>673120</v>
      </c>
      <c r="F32" s="7" t="s">
        <v>165</v>
      </c>
      <c r="G32" s="157"/>
      <c r="H32" s="158">
        <f t="shared" si="6"/>
        <v>149740.38999999998</v>
      </c>
      <c r="I32" s="116"/>
      <c r="J32" s="213"/>
      <c r="K32" s="160">
        <f t="shared" si="4"/>
        <v>131546.93</v>
      </c>
      <c r="L32" s="161" t="s">
        <v>140</v>
      </c>
      <c r="M32" s="159"/>
      <c r="N32" s="160">
        <f t="shared" si="5"/>
        <v>18193.46</v>
      </c>
      <c r="O32" s="116" t="s">
        <v>140</v>
      </c>
      <c r="P32" s="159"/>
      <c r="Q32" s="166">
        <v>131546.93</v>
      </c>
      <c r="R32" s="214"/>
      <c r="S32" s="165"/>
      <c r="T32" s="166">
        <v>18193.46</v>
      </c>
      <c r="U32" s="116"/>
      <c r="V32" s="215"/>
      <c r="W32" s="162"/>
      <c r="X32" s="233"/>
      <c r="Y32" s="233"/>
      <c r="Z32" s="162"/>
      <c r="AE32" s="164">
        <v>673120</v>
      </c>
    </row>
    <row r="33" spans="2:32" ht="14.25" customHeight="1" x14ac:dyDescent="0.25">
      <c r="B33" s="154" t="s">
        <v>137</v>
      </c>
      <c r="C33" s="155">
        <v>6011</v>
      </c>
      <c r="D33" s="155">
        <v>28040</v>
      </c>
      <c r="E33" s="156">
        <v>673130</v>
      </c>
      <c r="F33" s="7" t="s">
        <v>166</v>
      </c>
      <c r="G33" s="157"/>
      <c r="H33" s="158">
        <f t="shared" si="6"/>
        <v>0</v>
      </c>
      <c r="I33" s="116"/>
      <c r="J33" s="213"/>
      <c r="K33" s="160">
        <f t="shared" si="4"/>
        <v>0</v>
      </c>
      <c r="L33" s="161" t="s">
        <v>140</v>
      </c>
      <c r="M33" s="159"/>
      <c r="N33" s="160">
        <f t="shared" si="5"/>
        <v>0</v>
      </c>
      <c r="O33" s="116" t="s">
        <v>140</v>
      </c>
      <c r="P33" s="159"/>
      <c r="Q33" s="166"/>
      <c r="R33" s="214"/>
      <c r="S33" s="165"/>
      <c r="T33" s="166"/>
      <c r="U33" s="116"/>
      <c r="V33" s="215"/>
      <c r="W33" s="162"/>
      <c r="X33" s="114"/>
      <c r="Y33" s="163"/>
      <c r="Z33" s="162"/>
      <c r="AE33" s="164">
        <v>673130</v>
      </c>
    </row>
    <row r="34" spans="2:32" ht="14.25" customHeight="1" x14ac:dyDescent="0.25">
      <c r="B34" s="154" t="s">
        <v>137</v>
      </c>
      <c r="C34" s="155">
        <v>6011</v>
      </c>
      <c r="D34" s="155">
        <v>28040</v>
      </c>
      <c r="E34" s="156">
        <v>673140</v>
      </c>
      <c r="F34" s="7" t="s">
        <v>167</v>
      </c>
      <c r="G34" s="157"/>
      <c r="H34" s="158">
        <f t="shared" si="6"/>
        <v>0</v>
      </c>
      <c r="I34" s="116"/>
      <c r="J34" s="213"/>
      <c r="K34" s="171">
        <f t="shared" si="4"/>
        <v>0</v>
      </c>
      <c r="L34" s="161" t="s">
        <v>143</v>
      </c>
      <c r="M34" s="159"/>
      <c r="N34" s="171">
        <f>+T34+Z34</f>
        <v>0</v>
      </c>
      <c r="O34" s="116" t="s">
        <v>143</v>
      </c>
      <c r="P34" s="159"/>
      <c r="Q34" s="181"/>
      <c r="R34" s="214"/>
      <c r="S34" s="165"/>
      <c r="T34" s="181"/>
      <c r="U34" s="116"/>
      <c r="V34" s="215"/>
      <c r="W34" s="175"/>
      <c r="X34" s="114"/>
      <c r="Y34" s="163"/>
      <c r="Z34" s="175"/>
      <c r="AE34" s="178">
        <v>673140</v>
      </c>
    </row>
    <row r="35" spans="2:32" ht="14.25" customHeight="1" x14ac:dyDescent="0.25">
      <c r="B35" s="154" t="s">
        <v>137</v>
      </c>
      <c r="C35" s="155">
        <v>6011</v>
      </c>
      <c r="D35" s="155">
        <v>28040</v>
      </c>
      <c r="E35" s="156">
        <v>673160</v>
      </c>
      <c r="F35" s="7" t="s">
        <v>168</v>
      </c>
      <c r="G35" s="157"/>
      <c r="H35" s="158">
        <f t="shared" si="6"/>
        <v>0</v>
      </c>
      <c r="I35" s="116"/>
      <c r="J35" s="213"/>
      <c r="K35" s="171">
        <f t="shared" si="4"/>
        <v>0</v>
      </c>
      <c r="L35" s="161" t="s">
        <v>143</v>
      </c>
      <c r="M35" s="159"/>
      <c r="N35" s="171">
        <f>+T35+Z35</f>
        <v>0</v>
      </c>
      <c r="O35" s="116" t="s">
        <v>143</v>
      </c>
      <c r="P35" s="159"/>
      <c r="Q35" s="181"/>
      <c r="R35" s="214"/>
      <c r="S35" s="165"/>
      <c r="T35" s="181"/>
      <c r="U35" s="116"/>
      <c r="V35" s="215"/>
      <c r="W35" s="175"/>
      <c r="X35" s="114"/>
      <c r="Y35" s="163"/>
      <c r="Z35" s="175"/>
      <c r="AE35" s="178">
        <v>673160</v>
      </c>
    </row>
    <row r="36" spans="2:32" ht="14.25" customHeight="1" x14ac:dyDescent="0.25">
      <c r="B36" s="154" t="s">
        <v>137</v>
      </c>
      <c r="C36" s="155">
        <v>6011</v>
      </c>
      <c r="D36" s="155">
        <v>28040</v>
      </c>
      <c r="E36" s="156">
        <v>673180</v>
      </c>
      <c r="F36" s="7" t="s">
        <v>169</v>
      </c>
      <c r="G36" s="157"/>
      <c r="H36" s="158">
        <f t="shared" si="6"/>
        <v>20032.849999999999</v>
      </c>
      <c r="I36" s="116"/>
      <c r="J36" s="213"/>
      <c r="K36" s="160">
        <f>+Q36+W36</f>
        <v>18185.82</v>
      </c>
      <c r="L36" s="161" t="s">
        <v>140</v>
      </c>
      <c r="M36" s="159"/>
      <c r="N36" s="160">
        <f>+T36+Z36</f>
        <v>1847.03</v>
      </c>
      <c r="O36" s="116" t="s">
        <v>140</v>
      </c>
      <c r="P36" s="159"/>
      <c r="Q36" s="166">
        <v>18185.82</v>
      </c>
      <c r="R36" s="214"/>
      <c r="S36" s="165"/>
      <c r="T36" s="166">
        <v>1847.03</v>
      </c>
      <c r="U36" s="116"/>
      <c r="V36" s="215"/>
      <c r="W36" s="166"/>
      <c r="X36" s="232"/>
      <c r="Y36" s="232"/>
      <c r="Z36" s="166"/>
      <c r="AE36" s="164">
        <v>673180</v>
      </c>
    </row>
    <row r="37" spans="2:32" ht="14.25" customHeight="1" x14ac:dyDescent="0.25">
      <c r="B37" s="154" t="s">
        <v>137</v>
      </c>
      <c r="C37" s="155">
        <v>6011</v>
      </c>
      <c r="D37" s="155">
        <v>28040</v>
      </c>
      <c r="E37" s="156">
        <v>673190</v>
      </c>
      <c r="F37" s="195" t="s">
        <v>170</v>
      </c>
      <c r="G37" s="157"/>
      <c r="H37" s="234">
        <f t="shared" si="6"/>
        <v>0</v>
      </c>
      <c r="I37" s="116"/>
      <c r="J37" s="213"/>
      <c r="K37" s="171">
        <f t="shared" si="4"/>
        <v>0</v>
      </c>
      <c r="L37" s="161" t="s">
        <v>143</v>
      </c>
      <c r="M37" s="235"/>
      <c r="N37" s="171">
        <f>+T37+Z37</f>
        <v>0</v>
      </c>
      <c r="O37" s="116" t="s">
        <v>143</v>
      </c>
      <c r="P37" s="235"/>
      <c r="Q37" s="175"/>
      <c r="R37" s="7"/>
      <c r="S37" s="235"/>
      <c r="T37" s="199"/>
      <c r="U37" s="116"/>
      <c r="V37" s="236"/>
      <c r="W37" s="181"/>
      <c r="X37" s="167"/>
      <c r="Y37" s="216"/>
      <c r="Z37" s="181"/>
      <c r="AE37" s="178">
        <v>673190</v>
      </c>
    </row>
    <row r="38" spans="2:32" ht="15" x14ac:dyDescent="0.25">
      <c r="F38" s="7" t="s">
        <v>171</v>
      </c>
      <c r="G38" s="224"/>
      <c r="H38" s="158">
        <f>SUM(H24:H37)</f>
        <v>403760.4</v>
      </c>
      <c r="I38" s="116"/>
      <c r="J38" s="224"/>
      <c r="K38" s="105">
        <f>SUM(K24:K37)</f>
        <v>359339.72000000003</v>
      </c>
      <c r="L38" s="161"/>
      <c r="M38" s="7"/>
      <c r="N38" s="105">
        <f>SUM(N24:N37)</f>
        <v>44420.679999999993</v>
      </c>
      <c r="O38" s="116"/>
      <c r="P38" s="214"/>
      <c r="Q38" s="206">
        <f>SUM(Q24:Q37)</f>
        <v>360259.18</v>
      </c>
      <c r="R38" s="161"/>
      <c r="S38" s="104"/>
      <c r="T38" s="206">
        <f>SUM(T24:T37)</f>
        <v>44528.14</v>
      </c>
      <c r="U38" s="116"/>
      <c r="W38" s="206">
        <f>SUM(W24:W37)</f>
        <v>-919.45999999999981</v>
      </c>
      <c r="Y38" s="238"/>
      <c r="Z38" s="206">
        <f>SUM(Z24:Z37)</f>
        <v>-107.46000000000001</v>
      </c>
      <c r="AB38" s="208">
        <f>SUM(AB24:AB37)</f>
        <v>0</v>
      </c>
      <c r="AC38" s="208">
        <f>SUM(AC24:AC37)</f>
        <v>0</v>
      </c>
      <c r="AD38" s="208"/>
    </row>
    <row r="39" spans="2:32" ht="14.1" customHeight="1" x14ac:dyDescent="0.25">
      <c r="F39" s="230"/>
      <c r="H39" s="239"/>
      <c r="I39" s="116"/>
      <c r="J39" s="224"/>
      <c r="K39" s="240"/>
      <c r="L39" s="241"/>
      <c r="M39" s="224"/>
      <c r="N39" s="240"/>
      <c r="O39" s="116"/>
      <c r="P39" s="242"/>
      <c r="Q39" s="243"/>
      <c r="R39" s="214"/>
      <c r="S39" s="242"/>
      <c r="T39" s="243"/>
      <c r="U39" s="116"/>
      <c r="V39" s="244"/>
      <c r="W39" s="202"/>
      <c r="Z39" s="106"/>
      <c r="AB39" s="115"/>
      <c r="AC39" s="115"/>
      <c r="AD39" s="115"/>
    </row>
    <row r="40" spans="2:32" ht="15.75" customHeight="1" x14ac:dyDescent="0.25">
      <c r="F40" s="104" t="s">
        <v>172</v>
      </c>
      <c r="G40" s="224">
        <f>+G38+G22+G15</f>
        <v>9577440</v>
      </c>
      <c r="H40" s="158">
        <f>+H38+H22+H15</f>
        <v>6801199.8100000005</v>
      </c>
      <c r="I40" s="116"/>
      <c r="J40" s="245">
        <f>+J38+J22+J15</f>
        <v>7267211</v>
      </c>
      <c r="K40" s="206">
        <f>+K38+K22+K15</f>
        <v>5207604.3900000006</v>
      </c>
      <c r="L40" s="246"/>
      <c r="M40" s="245">
        <f>+M38+M22+M15</f>
        <v>2310229</v>
      </c>
      <c r="N40" s="206">
        <f>+N38+N22+N15</f>
        <v>1593595.42</v>
      </c>
      <c r="O40" s="138"/>
      <c r="P40" s="247">
        <f>+P38+P22+P15</f>
        <v>7267211</v>
      </c>
      <c r="Q40" s="248">
        <f>+Q38+Q22+Q15</f>
        <v>5353749.1800000006</v>
      </c>
      <c r="R40" s="78"/>
      <c r="S40" s="247">
        <f>+S38+S22+S15</f>
        <v>2310229</v>
      </c>
      <c r="T40" s="248">
        <f>+T38+T22+T15</f>
        <v>1439908.81</v>
      </c>
      <c r="U40" s="116"/>
      <c r="V40" s="249">
        <f>+V38+V22+V15</f>
        <v>0</v>
      </c>
      <c r="W40" s="206">
        <f>+W38+W22+W15</f>
        <v>-146144.79</v>
      </c>
      <c r="Y40" s="8">
        <f>+Y38+Y22+Y15</f>
        <v>0</v>
      </c>
      <c r="Z40" s="206">
        <f>+Z38+Z22+Z15</f>
        <v>153686.60999999999</v>
      </c>
      <c r="AB40" s="208">
        <f>+AB38+AB22+AB15</f>
        <v>0</v>
      </c>
      <c r="AC40" s="208">
        <f>+AC38+AC22+AC15</f>
        <v>0</v>
      </c>
      <c r="AD40" s="208"/>
      <c r="AE40" s="218"/>
    </row>
    <row r="41" spans="2:32" ht="14.1" customHeight="1" x14ac:dyDescent="0.25">
      <c r="H41" s="250"/>
      <c r="I41" s="116"/>
      <c r="J41" s="168"/>
      <c r="K41" s="211"/>
      <c r="L41" s="241"/>
      <c r="M41" s="168"/>
      <c r="N41" s="211"/>
      <c r="O41" s="116"/>
      <c r="P41" s="214"/>
      <c r="Q41" s="102"/>
      <c r="R41" s="214"/>
      <c r="S41" s="214"/>
      <c r="T41" s="102"/>
      <c r="U41" s="116"/>
      <c r="W41" s="106"/>
      <c r="Z41" s="106"/>
    </row>
    <row r="42" spans="2:32" ht="14.1" customHeight="1" x14ac:dyDescent="0.25">
      <c r="C42" s="168" t="s">
        <v>173</v>
      </c>
      <c r="I42" s="116"/>
      <c r="J42" s="221" t="s">
        <v>116</v>
      </c>
      <c r="K42" s="251">
        <f>+K8+K9+K10+K11+K12+K13+K14+K18+K26+K27+K28+K31+K34+K35+K37</f>
        <v>1705085.5300000003</v>
      </c>
      <c r="L42" s="241" t="s">
        <v>143</v>
      </c>
      <c r="M42" s="168"/>
      <c r="N42" s="252">
        <f>+N8+N9+N10+N11+N12+N13+N14+N18+N26+N31+N34+N35+N37+N27+N28</f>
        <v>496246.91000000003</v>
      </c>
      <c r="O42" s="253" t="s">
        <v>143</v>
      </c>
      <c r="P42" s="214"/>
      <c r="Q42" s="254">
        <f>+Q8+Q9+Q10+Q11+Q12+Q13+Q14+Q18+Q26+Q27+Q28+Q31+Q34+Q35+Q37</f>
        <v>1708542.6100000003</v>
      </c>
      <c r="R42" s="214"/>
      <c r="S42" s="221" t="s">
        <v>123</v>
      </c>
      <c r="T42" s="254">
        <f>+T8+T10+T9+T11+T12+T13+T14+T18+T26+T31+T34+T35+T37+T27+T28</f>
        <v>497554.48</v>
      </c>
      <c r="U42" s="116"/>
      <c r="W42" s="255">
        <f>+W8+W9+W10+W11+W12+W13+W14+W18+W26+W27+W28+W31+W34+W35+W37</f>
        <v>-3457.08</v>
      </c>
      <c r="Z42" s="255">
        <f>Z9+Z10+Z11+Z12+Z13+Z14+Z18+Z26+Z31+Z34+Z35+Z37+Z8+Z27+Z28</f>
        <v>-1307.57</v>
      </c>
      <c r="AB42" s="256">
        <f>+AB8+AB9+AB10+AB11+AB12+AB13+AB14+AB18+AB26+AB27+AB28+AB29+AB31+AB34+AB35+AB37</f>
        <v>0</v>
      </c>
      <c r="AC42" s="256">
        <f>+AC6+AC8+AC9+AC10+AC11+AC12+AC13+AC14+AC18+AC26+AC31+AC34+AC35+AC37</f>
        <v>0</v>
      </c>
    </row>
    <row r="43" spans="2:32" ht="14.1" customHeight="1" x14ac:dyDescent="0.25">
      <c r="C43" s="168" t="s">
        <v>174</v>
      </c>
      <c r="I43" s="116"/>
      <c r="J43" s="221" t="s">
        <v>116</v>
      </c>
      <c r="K43" s="251">
        <f>+K6+K7+K17+K24+K25+K30+K32+K33+K36+K19+K20+K21+K29</f>
        <v>3502518.8600000008</v>
      </c>
      <c r="L43" s="241" t="s">
        <v>140</v>
      </c>
      <c r="M43" s="168"/>
      <c r="N43" s="252">
        <f>N6+N7+N17+N24+N25+N30+N32+N33+N36+N19+N20+N21+N29</f>
        <v>1097348.51</v>
      </c>
      <c r="O43" s="253" t="s">
        <v>140</v>
      </c>
      <c r="P43" s="214"/>
      <c r="Q43" s="257">
        <f>Q6+Q7+Q17+Q24+Q25+Q30+Q32+Q33+Q36+Q19+Q20+Q21+Q29</f>
        <v>3645206.5700000003</v>
      </c>
      <c r="R43" s="214"/>
      <c r="S43" s="221" t="s">
        <v>123</v>
      </c>
      <c r="T43" s="257">
        <f>+T7+T6+T17+T24+T25+T30+T32+T33+T36+T19+T20+T21+T29</f>
        <v>942354.33000000007</v>
      </c>
      <c r="U43" s="116"/>
      <c r="W43" s="258">
        <f>W6+W7+W17+W24+W25+W30+W32+W33+W36+W19+W20+W21+W29</f>
        <v>-142687.71</v>
      </c>
      <c r="Z43" s="258">
        <f>+Z7+Z17+Z24+Z25+Z30+Z32+Z33+Z36+Z19+Z20+Z21+Z29+Z6</f>
        <v>154994.18</v>
      </c>
      <c r="AB43" s="259">
        <f>AB6+AB7+AB17+AB24+AB25+AB30+AB32+AB33+AB36</f>
        <v>0</v>
      </c>
      <c r="AC43" s="259">
        <f>+AC7+AC17+AC24+AC25+AC27+AC28+AC29+AC30+AC32+AC33+AC36</f>
        <v>0</v>
      </c>
    </row>
    <row r="44" spans="2:32" ht="15" customHeight="1" x14ac:dyDescent="0.25">
      <c r="C44" s="168" t="s">
        <v>12</v>
      </c>
      <c r="I44" s="116"/>
      <c r="J44" s="168"/>
      <c r="K44" s="206">
        <f>SUM(K42:K43)</f>
        <v>5207604.3900000006</v>
      </c>
      <c r="L44" s="260"/>
      <c r="M44" s="168"/>
      <c r="N44" s="206">
        <f>SUM(N42:N43)</f>
        <v>1593595.42</v>
      </c>
      <c r="O44" s="116"/>
      <c r="P44" s="214"/>
      <c r="Q44" s="248">
        <f>SUM(Q42:Q43)</f>
        <v>5353749.1800000006</v>
      </c>
      <c r="R44" s="214"/>
      <c r="S44" s="214"/>
      <c r="T44" s="248">
        <f>SUM(T42:T43)</f>
        <v>1439908.81</v>
      </c>
      <c r="U44" s="116"/>
      <c r="W44" s="206">
        <f>SUM(W42:W43)</f>
        <v>-146144.78999999998</v>
      </c>
      <c r="Z44" s="206">
        <f>SUM(Z42:Z43)</f>
        <v>153686.60999999999</v>
      </c>
      <c r="AB44" s="261">
        <f>SUM(AB42:AB43)</f>
        <v>0</v>
      </c>
      <c r="AC44" s="261">
        <f>SUM(AC42:AC43)</f>
        <v>0</v>
      </c>
      <c r="AD44" s="262"/>
      <c r="AE44" s="263">
        <f>+Z44+W44</f>
        <v>7541.820000000007</v>
      </c>
    </row>
    <row r="45" spans="2:32" ht="15" customHeight="1" x14ac:dyDescent="0.25">
      <c r="L45" s="110"/>
      <c r="AE45" s="263">
        <f>+'[3]Supplier Invoices'!$Q$95</f>
        <v>7541.8228649996654</v>
      </c>
      <c r="AF45" s="77" t="s">
        <v>175</v>
      </c>
    </row>
    <row r="46" spans="2:32" ht="15" customHeight="1" x14ac:dyDescent="0.25">
      <c r="J46" s="7" t="s">
        <v>176</v>
      </c>
      <c r="K46" s="264">
        <f>K44+N44</f>
        <v>6801199.8100000005</v>
      </c>
      <c r="P46" s="265" t="s">
        <v>177</v>
      </c>
      <c r="Q46" s="266">
        <f>Q44-Q11-Q12-Q13</f>
        <v>6098986.0499999998</v>
      </c>
      <c r="R46" s="118"/>
      <c r="S46" s="265" t="s">
        <v>177</v>
      </c>
      <c r="T46" s="266">
        <f>T44-T11-T12-T13</f>
        <v>1440977.34</v>
      </c>
      <c r="W46" s="218"/>
      <c r="AE46" s="267">
        <f>+AE44-AE45</f>
        <v>-2.8649996584135806E-3</v>
      </c>
    </row>
    <row r="47" spans="2:32" ht="15" customHeight="1" x14ac:dyDescent="0.25">
      <c r="F47" s="268"/>
      <c r="K47" s="269"/>
      <c r="P47" s="270" t="s">
        <v>178</v>
      </c>
      <c r="Q47" s="271">
        <f>W44</f>
        <v>-146144.78999999998</v>
      </c>
      <c r="R47" s="191"/>
      <c r="S47" s="270" t="s">
        <v>178</v>
      </c>
      <c r="T47" s="271">
        <f>Z44</f>
        <v>153686.60999999999</v>
      </c>
      <c r="W47" s="272"/>
    </row>
    <row r="48" spans="2:32" ht="15" customHeight="1" x14ac:dyDescent="0.25">
      <c r="F48" s="268"/>
      <c r="G48" s="8" t="s">
        <v>179</v>
      </c>
      <c r="Q48" s="273">
        <f>Q46+Q47</f>
        <v>5952841.2599999998</v>
      </c>
      <c r="R48" s="274"/>
      <c r="S48" s="274"/>
      <c r="T48" s="273">
        <f>T46+T47</f>
        <v>1594663.9500000002</v>
      </c>
      <c r="U48" s="272"/>
      <c r="V48" s="272"/>
      <c r="W48" s="275"/>
      <c r="Z48" s="276"/>
    </row>
    <row r="49" spans="2:26" ht="15" customHeight="1" x14ac:dyDescent="0.25">
      <c r="F49" s="268"/>
      <c r="L49" s="277"/>
      <c r="M49" s="278" t="s">
        <v>1</v>
      </c>
      <c r="N49" s="279" t="s">
        <v>180</v>
      </c>
      <c r="Q49" s="280"/>
      <c r="T49" s="280"/>
      <c r="Z49" s="276"/>
    </row>
    <row r="50" spans="2:26" ht="14.1" customHeight="1" x14ac:dyDescent="0.25">
      <c r="L50" s="129"/>
      <c r="M50" s="278" t="s">
        <v>181</v>
      </c>
      <c r="N50" s="279" t="s">
        <v>182</v>
      </c>
      <c r="P50" s="78"/>
      <c r="Z50" s="276"/>
    </row>
    <row r="51" spans="2:26" ht="14.1" customHeight="1" x14ac:dyDescent="0.25">
      <c r="B51" s="8"/>
      <c r="L51" s="129"/>
      <c r="M51" s="278" t="s">
        <v>183</v>
      </c>
      <c r="N51" s="279" t="s">
        <v>184</v>
      </c>
    </row>
    <row r="52" spans="2:26" ht="14.1" customHeight="1" x14ac:dyDescent="0.25">
      <c r="B52" s="281"/>
      <c r="L52" s="129"/>
      <c r="M52" s="278" t="s">
        <v>185</v>
      </c>
      <c r="N52" s="279" t="s">
        <v>186</v>
      </c>
      <c r="W52" s="282"/>
    </row>
    <row r="53" spans="2:26" ht="14.1" customHeight="1" x14ac:dyDescent="0.25">
      <c r="L53" s="129"/>
      <c r="M53" s="278" t="s">
        <v>187</v>
      </c>
      <c r="N53" s="283" t="s">
        <v>188</v>
      </c>
    </row>
    <row r="54" spans="2:26" ht="14.1" customHeight="1" x14ac:dyDescent="0.25">
      <c r="L54" s="129"/>
      <c r="M54" s="278" t="s">
        <v>189</v>
      </c>
      <c r="N54" s="279" t="s">
        <v>190</v>
      </c>
    </row>
    <row r="55" spans="2:26" ht="14.1" customHeight="1" x14ac:dyDescent="0.25">
      <c r="L55" s="129"/>
      <c r="M55" s="278" t="s">
        <v>191</v>
      </c>
      <c r="N55" s="279" t="s">
        <v>192</v>
      </c>
    </row>
    <row r="56" spans="2:26" ht="14.1" customHeight="1" x14ac:dyDescent="0.25">
      <c r="L56" s="129"/>
      <c r="M56" s="278" t="s">
        <v>193</v>
      </c>
      <c r="N56" s="279" t="s">
        <v>194</v>
      </c>
    </row>
    <row r="57" spans="2:26" ht="14.1" customHeight="1" x14ac:dyDescent="0.25">
      <c r="L57" s="110"/>
      <c r="M57" s="284"/>
      <c r="N57" s="279" t="s">
        <v>195</v>
      </c>
    </row>
    <row r="58" spans="2:26" ht="14.1" customHeight="1" thickBot="1" x14ac:dyDescent="0.3">
      <c r="P58" s="285" t="s">
        <v>136</v>
      </c>
      <c r="Q58" s="286"/>
      <c r="R58" s="285"/>
      <c r="S58" s="285" t="s">
        <v>136</v>
      </c>
      <c r="T58" s="286"/>
    </row>
    <row r="59" spans="2:26" ht="14.1" customHeight="1" x14ac:dyDescent="0.25">
      <c r="B59" s="8"/>
      <c r="J59" s="287" t="s">
        <v>196</v>
      </c>
      <c r="K59" s="288" t="s">
        <v>197</v>
      </c>
      <c r="L59" s="77"/>
      <c r="M59" s="1">
        <v>6011</v>
      </c>
      <c r="N59" s="279" t="s">
        <v>198</v>
      </c>
      <c r="P59" s="78" t="e">
        <f ca="1">_xll.GXL(1, N$49,"CURRENCY="&amp;N$54&amp;";"&amp;"WEEKLY=FALSE",N$51,N$52,N$53,N$55,J59,$M59,$N59)</f>
        <v>#NAME?</v>
      </c>
      <c r="Q59" s="289" t="e">
        <f ca="1">_xll.GXL(1, N$50,"CURRENCY="&amp;N$54&amp;";"&amp;"WEEKLY=FALSE",N$51,N$52,N$53,N$55,J59,$M59,$N59)</f>
        <v>#NAME?</v>
      </c>
      <c r="R59" s="191">
        <v>-1</v>
      </c>
      <c r="S59" s="78" t="e">
        <f ca="1">_xll.GXL(1, N$49,"CURRENCY="&amp;N$54&amp;";"&amp;"WEEKLY=FALSE",N$51,N$52,N$53,N$55,K59,$M59,$N59)</f>
        <v>#NAME?</v>
      </c>
      <c r="T59" s="289" t="e">
        <f ca="1">_xll.GXL(1, N$50,"CURRENCY="&amp;N$54&amp;";"&amp;"WEEKLY=FALSE",N$51,N$52,N$53,N$55,K59,$M59,$N59)</f>
        <v>#NAME?</v>
      </c>
      <c r="U59" s="290">
        <v>-4</v>
      </c>
    </row>
    <row r="60" spans="2:26" ht="14.1" customHeight="1" x14ac:dyDescent="0.25">
      <c r="J60" s="287" t="s">
        <v>196</v>
      </c>
      <c r="K60" s="288" t="s">
        <v>197</v>
      </c>
      <c r="L60" s="77"/>
      <c r="M60" s="1">
        <v>6011</v>
      </c>
      <c r="N60" s="1">
        <v>28082</v>
      </c>
      <c r="P60" s="78" t="e">
        <f ca="1">_xll.GXL(1, N$49,"CURRENCY="&amp;N$54&amp;";"&amp;"WEEKLY=FALSE",N$51,N$52,N$53,N$55,J60,$M60,$N60)</f>
        <v>#NAME?</v>
      </c>
      <c r="Q60" s="291" t="e">
        <f ca="1">_xll.GXL(1, N$50,"CURRENCY="&amp;N$54&amp;";"&amp;"WEEKLY=FALSE",N$51,N$52,N$53,N$55,N$56,$M60,$N60)</f>
        <v>#NAME?</v>
      </c>
      <c r="R60" s="191">
        <v>-2</v>
      </c>
      <c r="S60" s="289"/>
      <c r="T60" s="291"/>
      <c r="U60" s="290"/>
    </row>
    <row r="61" spans="2:26" ht="15" x14ac:dyDescent="0.25">
      <c r="J61" s="287" t="s">
        <v>196</v>
      </c>
      <c r="K61" s="288" t="s">
        <v>197</v>
      </c>
      <c r="L61" s="77"/>
      <c r="M61" s="1">
        <v>6011</v>
      </c>
      <c r="N61" s="1">
        <v>28120</v>
      </c>
      <c r="P61" s="78" t="e">
        <f ca="1">_xll.GXL(1, N$49,"CURRENCY="&amp;N$54&amp;";"&amp;"WEEKLY=FALSE",N$51,N$52,N$53,N$55,J61,$M61,$N61)</f>
        <v>#NAME?</v>
      </c>
      <c r="Q61" s="289" t="e">
        <f ca="1">_xll.GXL(1, N$50,"CURRENCY="&amp;N$54&amp;";"&amp;"WEEKLY=FALSE",N$51,N$52,N$53,N$55,J61,$M61,$N61)</f>
        <v>#NAME?</v>
      </c>
      <c r="R61" s="191">
        <v>-3</v>
      </c>
      <c r="S61" s="78" t="e">
        <f ca="1">_xll.GXL(1, N$49,"CURRENCY="&amp;N$54&amp;";"&amp;"WEEKLY=FALSE",N$51,N$52,N$53,N$55,K61,$M61,$N61)</f>
        <v>#NAME?</v>
      </c>
      <c r="T61" s="289" t="e">
        <f ca="1">_xll.GXL(1, N$50,"CURRENCY="&amp;N$54&amp;";"&amp;"WEEKLY=FALSE",N$51,N$52,N$53,N$55,K61,$M61,$N61)</f>
        <v>#NAME?</v>
      </c>
      <c r="U61" s="290">
        <v>-5</v>
      </c>
    </row>
    <row r="62" spans="2:26" ht="14.1" customHeight="1" x14ac:dyDescent="0.25">
      <c r="B62" s="6"/>
      <c r="P62" s="78"/>
      <c r="Q62" s="292" t="e">
        <f ca="1">SUM(Q59:Q61)</f>
        <v>#NAME?</v>
      </c>
      <c r="R62" s="140"/>
      <c r="S62" s="140"/>
      <c r="T62" s="292" t="e">
        <f ca="1">SUM(T59:T61)</f>
        <v>#NAME?</v>
      </c>
      <c r="U62" s="77"/>
    </row>
    <row r="63" spans="2:26" ht="14.1" customHeight="1" x14ac:dyDescent="0.25">
      <c r="P63" s="293"/>
      <c r="Q63" s="294"/>
      <c r="R63" s="293"/>
      <c r="S63" s="293"/>
      <c r="T63" s="294"/>
      <c r="U63" s="77"/>
    </row>
    <row r="69" spans="17:22" ht="14.1" customHeight="1" x14ac:dyDescent="0.25">
      <c r="Q69" s="128">
        <v>9776852</v>
      </c>
      <c r="S69" s="128">
        <v>2278617.61</v>
      </c>
      <c r="T69" s="128">
        <v>2102518</v>
      </c>
      <c r="V69" s="8">
        <v>317389.78000000003</v>
      </c>
    </row>
    <row r="71" spans="17:22" ht="14.1" customHeight="1" x14ac:dyDescent="0.25">
      <c r="S71" s="295">
        <f>+S69/Q69</f>
        <v>0.23306250416800825</v>
      </c>
      <c r="V71" s="296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2570-740F-475C-BEF8-F2F154C080D6}">
  <dimension ref="A1:I28"/>
  <sheetViews>
    <sheetView showGridLines="0" tabSelected="1" view="pageBreakPreview" zoomScale="60" zoomScaleNormal="100" workbookViewId="0">
      <selection activeCell="J84" sqref="J84"/>
    </sheetView>
  </sheetViews>
  <sheetFormatPr defaultRowHeight="12.75" x14ac:dyDescent="0.2"/>
  <cols>
    <col min="1" max="1" width="1.7109375" style="297" customWidth="1"/>
    <col min="2" max="2" width="10" style="297" customWidth="1"/>
    <col min="3" max="3" width="23.7109375" style="297" customWidth="1"/>
    <col min="4" max="4" width="20.42578125" style="297" customWidth="1"/>
    <col min="5" max="6" width="21.140625" style="297" customWidth="1"/>
    <col min="7" max="7" width="21.42578125" style="297" customWidth="1"/>
    <col min="8" max="8" width="3.7109375" style="297" customWidth="1"/>
    <col min="9" max="16384" width="9.140625" style="297"/>
  </cols>
  <sheetData>
    <row r="1" spans="1:9" ht="18" customHeight="1" x14ac:dyDescent="0.2">
      <c r="A1" s="298"/>
      <c r="B1" s="346" t="s">
        <v>9</v>
      </c>
      <c r="C1" s="346"/>
      <c r="D1" s="346"/>
      <c r="E1" s="346"/>
      <c r="F1" s="346"/>
      <c r="G1" s="348"/>
      <c r="H1" s="347"/>
      <c r="I1" s="298"/>
    </row>
    <row r="2" spans="1:9" ht="15" x14ac:dyDescent="0.2">
      <c r="A2" s="298"/>
      <c r="B2" s="346" t="s">
        <v>10</v>
      </c>
      <c r="C2" s="345">
        <f>'[1]Core Cost Incurred'!B2</f>
        <v>43702</v>
      </c>
      <c r="D2" s="344"/>
      <c r="E2" s="344"/>
      <c r="F2" s="344"/>
      <c r="G2" s="344"/>
      <c r="H2" s="298"/>
      <c r="I2" s="298"/>
    </row>
    <row r="3" spans="1:9" x14ac:dyDescent="0.2">
      <c r="A3" s="298"/>
      <c r="B3" s="298"/>
      <c r="C3" s="298"/>
      <c r="D3" s="298"/>
      <c r="E3" s="298"/>
      <c r="F3" s="298"/>
      <c r="G3" s="298"/>
      <c r="H3" s="298"/>
      <c r="I3" s="298"/>
    </row>
    <row r="4" spans="1:9" ht="15" customHeight="1" thickBot="1" x14ac:dyDescent="0.25">
      <c r="A4" s="298"/>
      <c r="B4" s="343"/>
      <c r="C4" s="343"/>
      <c r="D4" s="343"/>
      <c r="E4" s="343"/>
      <c r="F4" s="342"/>
      <c r="G4" s="341"/>
      <c r="H4" s="298"/>
      <c r="I4" s="298"/>
    </row>
    <row r="5" spans="1:9" ht="14.25" x14ac:dyDescent="0.2">
      <c r="A5" s="298"/>
      <c r="B5" s="107"/>
      <c r="C5" s="107"/>
      <c r="D5" s="339" t="s">
        <v>3</v>
      </c>
      <c r="E5" s="339" t="s">
        <v>6</v>
      </c>
      <c r="F5" s="340" t="s">
        <v>11</v>
      </c>
      <c r="G5" s="339" t="s">
        <v>12</v>
      </c>
      <c r="H5" s="298"/>
      <c r="I5" s="298"/>
    </row>
    <row r="6" spans="1:9" ht="15" x14ac:dyDescent="0.25">
      <c r="A6" s="298"/>
      <c r="B6" s="324" t="s">
        <v>13</v>
      </c>
      <c r="C6" s="338"/>
      <c r="D6" s="336">
        <v>692010</v>
      </c>
      <c r="E6" s="336">
        <v>691010</v>
      </c>
      <c r="F6" s="337">
        <v>693010</v>
      </c>
      <c r="G6" s="336"/>
      <c r="H6" s="109"/>
      <c r="I6" s="298"/>
    </row>
    <row r="7" spans="1:9" ht="16.5" customHeight="1" x14ac:dyDescent="0.2">
      <c r="A7" s="298"/>
      <c r="B7" s="328" t="s">
        <v>14</v>
      </c>
      <c r="C7" s="309"/>
      <c r="D7" s="335">
        <v>1231131.18</v>
      </c>
      <c r="E7" s="335">
        <v>866887.81</v>
      </c>
      <c r="F7" s="334">
        <v>559258.20000000007</v>
      </c>
      <c r="G7" s="333">
        <v>2657277.1900000004</v>
      </c>
      <c r="H7" s="298"/>
      <c r="I7" s="298"/>
    </row>
    <row r="8" spans="1:9" ht="16.5" customHeight="1" x14ac:dyDescent="0.2">
      <c r="A8" s="298"/>
      <c r="B8" s="328" t="s">
        <v>16</v>
      </c>
      <c r="C8" s="309"/>
      <c r="D8" s="332">
        <f>'[1]Core Cost Incurred'!K42</f>
        <v>1705085.5300000003</v>
      </c>
      <c r="E8" s="332">
        <f>'[1]Core Cost Incurred'!K43</f>
        <v>3502518.8600000008</v>
      </c>
      <c r="F8" s="331">
        <v>0</v>
      </c>
      <c r="G8" s="330">
        <f>SUM(D8:E8)</f>
        <v>5207604.3900000006</v>
      </c>
      <c r="H8" s="298"/>
      <c r="I8" s="298"/>
    </row>
    <row r="9" spans="1:9" ht="16.5" customHeight="1" x14ac:dyDescent="0.2">
      <c r="A9" s="298"/>
      <c r="B9" s="328" t="s">
        <v>17</v>
      </c>
      <c r="C9" s="309"/>
      <c r="D9" s="321">
        <f>D7-D8</f>
        <v>-473954.35000000033</v>
      </c>
      <c r="E9" s="329">
        <f>E7-E8</f>
        <v>-2635631.0500000007</v>
      </c>
      <c r="F9" s="329">
        <f>F7-F8</f>
        <v>559258.20000000007</v>
      </c>
      <c r="G9" s="321">
        <f>G7-G8</f>
        <v>-2550327.2000000002</v>
      </c>
      <c r="H9" s="298"/>
      <c r="I9" s="298"/>
    </row>
    <row r="10" spans="1:9" ht="16.5" customHeight="1" x14ac:dyDescent="0.2">
      <c r="A10" s="298"/>
      <c r="B10" s="328" t="s">
        <v>18</v>
      </c>
      <c r="C10" s="309"/>
      <c r="D10" s="325">
        <v>2193.13</v>
      </c>
      <c r="E10" s="327"/>
      <c r="F10" s="326"/>
      <c r="G10" s="325">
        <v>2193.13</v>
      </c>
      <c r="H10" s="298"/>
      <c r="I10" s="298"/>
    </row>
    <row r="11" spans="1:9" ht="16.5" customHeight="1" x14ac:dyDescent="0.2">
      <c r="A11" s="298"/>
      <c r="B11" s="324" t="s">
        <v>19</v>
      </c>
      <c r="C11" s="323"/>
      <c r="D11" s="321"/>
      <c r="E11" s="321">
        <v>352350.7</v>
      </c>
      <c r="F11" s="322"/>
      <c r="G11" s="321">
        <v>352350.7</v>
      </c>
      <c r="H11" s="298"/>
      <c r="I11" s="298"/>
    </row>
    <row r="12" spans="1:9" ht="16.5" customHeight="1" x14ac:dyDescent="0.25">
      <c r="A12" s="298"/>
      <c r="B12" s="320" t="s">
        <v>20</v>
      </c>
      <c r="C12" s="319"/>
      <c r="D12" s="317">
        <f>+D7-D8+D10</f>
        <v>-471761.22000000032</v>
      </c>
      <c r="E12" s="317">
        <f>+E9+E11</f>
        <v>-2283280.3500000006</v>
      </c>
      <c r="F12" s="318">
        <f>+F7-F8</f>
        <v>559258.20000000007</v>
      </c>
      <c r="G12" s="317">
        <f>G9+G11+G10</f>
        <v>-2195783.37</v>
      </c>
      <c r="H12" s="298"/>
      <c r="I12" s="298"/>
    </row>
    <row r="13" spans="1:9" ht="14.25" customHeight="1" x14ac:dyDescent="0.2">
      <c r="A13" s="298"/>
      <c r="B13" s="298"/>
      <c r="C13" s="298"/>
      <c r="D13" s="309"/>
      <c r="E13" s="309"/>
      <c r="F13" s="315"/>
      <c r="G13" s="309"/>
      <c r="H13" s="298"/>
      <c r="I13" s="298"/>
    </row>
    <row r="14" spans="1:9" ht="14.25" customHeight="1" x14ac:dyDescent="0.2">
      <c r="A14" s="298"/>
      <c r="B14" s="298"/>
      <c r="C14" s="298"/>
      <c r="D14" s="309" t="s">
        <v>21</v>
      </c>
      <c r="E14" s="309"/>
      <c r="F14" s="315"/>
      <c r="G14" s="309"/>
      <c r="H14" s="298"/>
      <c r="I14" s="298"/>
    </row>
    <row r="15" spans="1:9" ht="14.25" customHeight="1" x14ac:dyDescent="0.2">
      <c r="A15" s="298"/>
      <c r="B15" s="298"/>
      <c r="C15" s="298"/>
      <c r="D15" s="309"/>
      <c r="E15" s="316"/>
      <c r="F15" s="315"/>
      <c r="G15" s="309"/>
      <c r="H15" s="298"/>
      <c r="I15" s="298"/>
    </row>
    <row r="16" spans="1:9" ht="14.25" customHeight="1" x14ac:dyDescent="0.2">
      <c r="A16" s="298"/>
      <c r="B16" s="306" t="s">
        <v>22</v>
      </c>
      <c r="C16" s="306"/>
      <c r="D16" s="314" t="s">
        <v>4</v>
      </c>
      <c r="E16" s="313" t="s">
        <v>4</v>
      </c>
      <c r="F16" s="312"/>
      <c r="G16" s="302"/>
      <c r="H16" s="298"/>
      <c r="I16" s="298"/>
    </row>
    <row r="17" spans="1:9" ht="14.25" customHeight="1" x14ac:dyDescent="0.2">
      <c r="A17" s="298"/>
      <c r="B17" s="109"/>
      <c r="C17" s="109"/>
      <c r="D17" s="311"/>
      <c r="E17" s="311"/>
      <c r="F17" s="310"/>
      <c r="G17" s="309"/>
      <c r="H17" s="298"/>
      <c r="I17" s="298"/>
    </row>
    <row r="18" spans="1:9" ht="14.25" customHeight="1" x14ac:dyDescent="0.2">
      <c r="A18" s="298"/>
      <c r="B18" s="109"/>
      <c r="C18" s="109"/>
      <c r="D18" s="307">
        <f>-D12</f>
        <v>471761.22000000032</v>
      </c>
      <c r="E18" s="307">
        <f>-E9-E11</f>
        <v>2283280.3500000006</v>
      </c>
      <c r="F18" s="308">
        <f>-F12</f>
        <v>-559258.20000000007</v>
      </c>
      <c r="G18" s="307">
        <f>SUM(D18:F18)</f>
        <v>2195783.3700000006</v>
      </c>
      <c r="H18" s="298"/>
      <c r="I18" s="298"/>
    </row>
    <row r="19" spans="1:9" ht="14.25" customHeight="1" thickBot="1" x14ac:dyDescent="0.25">
      <c r="A19" s="298"/>
      <c r="B19" s="306" t="s">
        <v>23</v>
      </c>
      <c r="C19" s="306"/>
      <c r="D19" s="305" t="s">
        <v>5</v>
      </c>
      <c r="E19" s="304" t="s">
        <v>7</v>
      </c>
      <c r="F19" s="303"/>
      <c r="G19" s="302"/>
      <c r="H19" s="298"/>
      <c r="I19" s="298"/>
    </row>
    <row r="20" spans="1:9" x14ac:dyDescent="0.2">
      <c r="A20" s="298"/>
      <c r="B20" s="109"/>
      <c r="C20" s="109"/>
      <c r="D20" s="298"/>
      <c r="E20" s="108"/>
      <c r="F20" s="108"/>
      <c r="G20" s="108"/>
      <c r="H20" s="298"/>
      <c r="I20" s="298"/>
    </row>
    <row r="21" spans="1:9" x14ac:dyDescent="0.2">
      <c r="A21" s="298"/>
      <c r="B21" s="298"/>
      <c r="C21" s="298"/>
      <c r="D21" s="109"/>
      <c r="E21" s="301"/>
      <c r="F21" s="300"/>
      <c r="G21" s="298"/>
      <c r="H21" s="298"/>
      <c r="I21" s="298"/>
    </row>
    <row r="22" spans="1:9" x14ac:dyDescent="0.2">
      <c r="A22" s="298"/>
      <c r="B22" s="298"/>
      <c r="C22" s="298"/>
      <c r="D22" s="298"/>
      <c r="E22" s="301"/>
      <c r="F22" s="300"/>
      <c r="G22" s="298"/>
      <c r="H22" s="298"/>
      <c r="I22" s="298"/>
    </row>
    <row r="23" spans="1:9" x14ac:dyDescent="0.2">
      <c r="A23" s="298"/>
      <c r="B23" s="298"/>
      <c r="C23" s="298"/>
      <c r="D23" s="298"/>
      <c r="E23" s="301"/>
      <c r="F23" s="300"/>
      <c r="G23" s="298"/>
      <c r="H23" s="298"/>
      <c r="I23" s="298"/>
    </row>
    <row r="24" spans="1:9" x14ac:dyDescent="0.2">
      <c r="A24" s="298"/>
      <c r="B24" s="298"/>
      <c r="C24" s="298"/>
      <c r="D24" s="298"/>
      <c r="E24" s="298"/>
      <c r="F24" s="300"/>
      <c r="G24" s="298"/>
      <c r="H24" s="298"/>
      <c r="I24" s="298"/>
    </row>
    <row r="25" spans="1:9" x14ac:dyDescent="0.2">
      <c r="A25" s="298"/>
      <c r="B25" s="298"/>
      <c r="C25" s="298"/>
      <c r="D25" s="298"/>
      <c r="E25" s="298"/>
      <c r="F25" s="298"/>
      <c r="G25" s="298"/>
      <c r="H25" s="298"/>
      <c r="I25" s="298"/>
    </row>
    <row r="26" spans="1:9" x14ac:dyDescent="0.2">
      <c r="A26" s="298"/>
      <c r="B26" s="298"/>
      <c r="C26" s="298"/>
      <c r="D26" s="298"/>
      <c r="E26" s="298"/>
      <c r="F26" s="298"/>
      <c r="G26" s="298"/>
      <c r="H26" s="298"/>
      <c r="I26" s="298"/>
    </row>
    <row r="27" spans="1:9" x14ac:dyDescent="0.2">
      <c r="A27" s="298"/>
      <c r="B27" s="299"/>
      <c r="C27" s="299"/>
      <c r="D27" s="298"/>
      <c r="E27" s="298"/>
      <c r="F27" s="298"/>
      <c r="G27" s="298"/>
      <c r="H27" s="298"/>
      <c r="I27" s="298"/>
    </row>
    <row r="28" spans="1:9" x14ac:dyDescent="0.2">
      <c r="A28" s="298"/>
      <c r="B28" s="298"/>
      <c r="C28" s="298"/>
      <c r="D28" s="298"/>
      <c r="E28" s="298"/>
      <c r="F28" s="298"/>
      <c r="G28" s="298"/>
      <c r="H28" s="298"/>
      <c r="I28" s="298"/>
    </row>
  </sheetData>
  <mergeCells count="1">
    <mergeCell ref="B4:E4"/>
  </mergeCells>
  <pageMargins left="0.75" right="0.75" top="0.7" bottom="1" header="0.7" footer="0.5"/>
  <pageSetup scale="69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1B9EE9-1549-455F-B907-D841CA1D4C8C}"/>
</file>

<file path=customXml/itemProps2.xml><?xml version="1.0" encoding="utf-8"?>
<ds:datastoreItem xmlns:ds="http://schemas.openxmlformats.org/officeDocument/2006/customXml" ds:itemID="{B20B3917-9840-47EA-B60F-E718EC8A6FD0}"/>
</file>

<file path=customXml/itemProps3.xml><?xml version="1.0" encoding="utf-8"?>
<ds:datastoreItem xmlns:ds="http://schemas.openxmlformats.org/officeDocument/2006/customXml" ds:itemID="{F6119E7A-6CF6-4EC3-A076-EFF9CE06A053}"/>
</file>

<file path=customXml/itemProps4.xml><?xml version="1.0" encoding="utf-8"?>
<ds:datastoreItem xmlns:ds="http://schemas.openxmlformats.org/officeDocument/2006/customXml" ds:itemID="{3F791E73-2E35-44CD-A4C7-39CC7D132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 New Rates</vt:lpstr>
      <vt:lpstr>Core Cost Incurred</vt:lpstr>
      <vt:lpstr>DEFERRALS</vt:lpstr>
      <vt:lpstr>'Core Cost Incurred'!Print_Area</vt:lpstr>
      <vt:lpstr>DEFERRALS!Print_Area</vt:lpstr>
      <vt:lpstr>'WA Rates New Rates'!Print_Area</vt:lpstr>
      <vt:lpstr>'Core Cost Incurred'!Print_Titles</vt:lpstr>
      <vt:lpstr>'WA Rates New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2019-09-30T21:34:21Z</dcterms:created>
  <dcterms:modified xsi:type="dcterms:W3CDTF">2019-09-30T21:35:50Z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