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7.xml" ContentType="application/vnd.openxmlformats-officedocument.spreadsheetml.worksheet+xml"/>
  <Override PartName="/xl/sharedStrings.xml" ContentType="application/vnd.openxmlformats-officedocument.spreadsheetml.sharedStrings+xml"/>
  <Override PartName="/xl/worksheets/sheet5.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45" windowWidth="15450" windowHeight="11385"/>
  </bookViews>
  <sheets>
    <sheet name="WAID Act vs Budget savings" sheetId="12" r:id="rId1"/>
    <sheet name="WA-Sch91 Bal Projection" sheetId="21" state="hidden" r:id="rId2"/>
    <sheet name="WA-Sch91 Rider Balance" sheetId="9" r:id="rId3"/>
    <sheet name="WA-Sch91 Budget-Act Exp" sheetId="10" r:id="rId4"/>
    <sheet name="WA-Sch191 Bal Projection " sheetId="22" state="hidden" r:id="rId5"/>
    <sheet name="WA-Sch191 Rider Balance" sheetId="3" r:id="rId6"/>
    <sheet name="WA-Sch191 Budget-Act Exp " sheetId="11" r:id="rId7"/>
    <sheet name="ID-Sch91 Bal Projection " sheetId="23" state="hidden" r:id="rId8"/>
    <sheet name="ID-Sch91 Rider Balance" sheetId="2" r:id="rId9"/>
    <sheet name="ID-Sch91 Budget-Act Exp" sheetId="19" r:id="rId10"/>
    <sheet name="ID-Sch191 Bal Projection" sheetId="24" state="hidden" r:id="rId11"/>
    <sheet name="ID-Sch191 Rider Balance" sheetId="4" r:id="rId12"/>
    <sheet name="ID-Sch191 Budget-Act Exp" sheetId="14" r:id="rId13"/>
  </sheets>
  <definedNames>
    <definedName name="DSMFlag" localSheetId="9">'ID-Sch91 Budget-Act Exp'!$F$117</definedName>
    <definedName name="DSMFlag" localSheetId="6">'WA-Sch191 Budget-Act Exp '!$F$117</definedName>
    <definedName name="DSMFlag" localSheetId="3">'WA-Sch91 Budget-Act Exp'!$F$117</definedName>
    <definedName name="DSMFlag" localSheetId="2">'WA-Sch91 Rider Balance'!$F$35</definedName>
    <definedName name="DSMFlag">#REF!</definedName>
    <definedName name="_xlnm.Print_Area" localSheetId="3">'WA-Sch91 Budget-Act Exp'!$B$1:$O$113</definedName>
    <definedName name="_xlnm.Print_Titles" localSheetId="11">'ID-Sch191 Rider Balance'!$A:$B</definedName>
    <definedName name="_xlnm.Print_Titles" localSheetId="8">'ID-Sch91 Rider Balance'!$A:$B</definedName>
    <definedName name="_xlnm.Print_Titles" localSheetId="5">'WA-Sch191 Rider Balance'!$A:$B</definedName>
    <definedName name="_xlnm.Print_Titles" localSheetId="2">'WA-Sch91 Rider Balance'!$A:$B</definedName>
  </definedNames>
  <calcPr calcId="125725"/>
</workbook>
</file>

<file path=xl/calcChain.xml><?xml version="1.0" encoding="utf-8"?>
<calcChain xmlns="http://schemas.openxmlformats.org/spreadsheetml/2006/main">
  <c r="N101" i="19"/>
  <c r="N99"/>
  <c r="N98"/>
  <c r="N97"/>
  <c r="N96"/>
  <c r="N95"/>
  <c r="N94"/>
  <c r="N93"/>
  <c r="N92"/>
  <c r="N89"/>
  <c r="N88"/>
  <c r="N87"/>
  <c r="N86"/>
  <c r="N85"/>
  <c r="N84"/>
  <c r="N83"/>
  <c r="N82"/>
  <c r="N79"/>
  <c r="N78"/>
  <c r="N77"/>
  <c r="N76"/>
  <c r="N75"/>
  <c r="N74"/>
  <c r="N73"/>
  <c r="N72"/>
  <c r="M101"/>
  <c r="M99"/>
  <c r="M98"/>
  <c r="M97"/>
  <c r="M96"/>
  <c r="M95"/>
  <c r="M94"/>
  <c r="M93"/>
  <c r="M92"/>
  <c r="M89"/>
  <c r="M88"/>
  <c r="M87"/>
  <c r="M86"/>
  <c r="M85"/>
  <c r="M84"/>
  <c r="M83"/>
  <c r="M82"/>
  <c r="M79"/>
  <c r="M78"/>
  <c r="M77"/>
  <c r="M76"/>
  <c r="M75"/>
  <c r="M74"/>
  <c r="M73"/>
  <c r="M72"/>
  <c r="L101"/>
  <c r="L99"/>
  <c r="L98"/>
  <c r="L97"/>
  <c r="L96"/>
  <c r="L95"/>
  <c r="L94"/>
  <c r="L93"/>
  <c r="L92"/>
  <c r="L89"/>
  <c r="L88"/>
  <c r="L87"/>
  <c r="L86"/>
  <c r="L85"/>
  <c r="L84"/>
  <c r="L83"/>
  <c r="L82"/>
  <c r="L79"/>
  <c r="L78"/>
  <c r="L77"/>
  <c r="L76"/>
  <c r="L75"/>
  <c r="L74"/>
  <c r="L73"/>
  <c r="L72"/>
  <c r="K101"/>
  <c r="K99"/>
  <c r="K98"/>
  <c r="K97"/>
  <c r="K96"/>
  <c r="K95"/>
  <c r="K94"/>
  <c r="K93"/>
  <c r="K92"/>
  <c r="K89"/>
  <c r="K88"/>
  <c r="K87"/>
  <c r="K86"/>
  <c r="K85"/>
  <c r="K84"/>
  <c r="K83"/>
  <c r="K82"/>
  <c r="K79"/>
  <c r="K78"/>
  <c r="K77"/>
  <c r="K76"/>
  <c r="K75"/>
  <c r="K74"/>
  <c r="K73"/>
  <c r="K72"/>
  <c r="K92" i="14"/>
  <c r="K74"/>
  <c r="K73"/>
  <c r="K72"/>
  <c r="K66"/>
  <c r="N98"/>
  <c r="M98"/>
  <c r="L98"/>
  <c r="K98"/>
  <c r="N97"/>
  <c r="M97"/>
  <c r="L97"/>
  <c r="K97"/>
  <c r="N96"/>
  <c r="M96"/>
  <c r="L96"/>
  <c r="K96"/>
  <c r="N95"/>
  <c r="M95"/>
  <c r="L95"/>
  <c r="K95"/>
  <c r="N94"/>
  <c r="M94"/>
  <c r="L94"/>
  <c r="K94"/>
  <c r="N93"/>
  <c r="M93"/>
  <c r="L93"/>
  <c r="K93"/>
  <c r="N92"/>
  <c r="M92"/>
  <c r="L92"/>
  <c r="N89"/>
  <c r="M89"/>
  <c r="L89"/>
  <c r="N88"/>
  <c r="M88"/>
  <c r="L88"/>
  <c r="K88"/>
  <c r="N87"/>
  <c r="M87"/>
  <c r="L87"/>
  <c r="K87"/>
  <c r="N86"/>
  <c r="M86"/>
  <c r="L86"/>
  <c r="K86"/>
  <c r="N85"/>
  <c r="M85"/>
  <c r="L85"/>
  <c r="K85"/>
  <c r="N84"/>
  <c r="M84"/>
  <c r="L84"/>
  <c r="K84"/>
  <c r="N83"/>
  <c r="M83"/>
  <c r="L83"/>
  <c r="K83"/>
  <c r="N82"/>
  <c r="M82"/>
  <c r="L82"/>
  <c r="K82"/>
  <c r="N78"/>
  <c r="M78"/>
  <c r="L78"/>
  <c r="K78"/>
  <c r="N77"/>
  <c r="M77"/>
  <c r="L77"/>
  <c r="K77"/>
  <c r="N76"/>
  <c r="M76"/>
  <c r="L76"/>
  <c r="K76"/>
  <c r="N75"/>
  <c r="M75"/>
  <c r="L75"/>
  <c r="K75"/>
  <c r="N74"/>
  <c r="M74"/>
  <c r="L74"/>
  <c r="N73"/>
  <c r="M73"/>
  <c r="L73"/>
  <c r="N72"/>
  <c r="M72"/>
  <c r="L72"/>
  <c r="N101" i="11"/>
  <c r="N99"/>
  <c r="N98"/>
  <c r="N97"/>
  <c r="N96"/>
  <c r="N95"/>
  <c r="N94"/>
  <c r="N93"/>
  <c r="N92"/>
  <c r="N89"/>
  <c r="N88"/>
  <c r="N87"/>
  <c r="N86"/>
  <c r="N85"/>
  <c r="N84"/>
  <c r="N83"/>
  <c r="N82"/>
  <c r="N79"/>
  <c r="N78"/>
  <c r="N77"/>
  <c r="N76"/>
  <c r="N75"/>
  <c r="N74"/>
  <c r="N73"/>
  <c r="N72"/>
  <c r="M101"/>
  <c r="M99"/>
  <c r="M98"/>
  <c r="M97"/>
  <c r="M96"/>
  <c r="M95"/>
  <c r="M94"/>
  <c r="M93"/>
  <c r="M92"/>
  <c r="M89"/>
  <c r="M88"/>
  <c r="M87"/>
  <c r="M86"/>
  <c r="M85"/>
  <c r="M84"/>
  <c r="M83"/>
  <c r="M82"/>
  <c r="M79"/>
  <c r="M78"/>
  <c r="M77"/>
  <c r="M76"/>
  <c r="M75"/>
  <c r="M74"/>
  <c r="M73"/>
  <c r="M72"/>
  <c r="L101"/>
  <c r="L99"/>
  <c r="L98"/>
  <c r="L97"/>
  <c r="L96"/>
  <c r="L95"/>
  <c r="L94"/>
  <c r="L93"/>
  <c r="L92"/>
  <c r="L89"/>
  <c r="L88"/>
  <c r="L87"/>
  <c r="L86"/>
  <c r="L85"/>
  <c r="L84"/>
  <c r="L83"/>
  <c r="L82"/>
  <c r="L79"/>
  <c r="L78"/>
  <c r="L77"/>
  <c r="L76"/>
  <c r="L75"/>
  <c r="L74"/>
  <c r="L73"/>
  <c r="L72"/>
  <c r="K98"/>
  <c r="K97"/>
  <c r="K96"/>
  <c r="K95"/>
  <c r="K94"/>
  <c r="K93"/>
  <c r="K92"/>
  <c r="K88"/>
  <c r="K87"/>
  <c r="K86"/>
  <c r="K85"/>
  <c r="K84"/>
  <c r="K83"/>
  <c r="K82"/>
  <c r="K78"/>
  <c r="K77"/>
  <c r="K76"/>
  <c r="K75"/>
  <c r="K74"/>
  <c r="K73"/>
  <c r="K72"/>
  <c r="N101" i="10"/>
  <c r="M101"/>
  <c r="L101"/>
  <c r="N99"/>
  <c r="N98"/>
  <c r="N97"/>
  <c r="N96"/>
  <c r="N95"/>
  <c r="N94"/>
  <c r="N93"/>
  <c r="N92"/>
  <c r="N89"/>
  <c r="N88"/>
  <c r="N87"/>
  <c r="N86"/>
  <c r="N85"/>
  <c r="N84"/>
  <c r="N83"/>
  <c r="N82"/>
  <c r="N79"/>
  <c r="N78"/>
  <c r="N77"/>
  <c r="N76"/>
  <c r="N75"/>
  <c r="N74"/>
  <c r="N73"/>
  <c r="N72"/>
  <c r="M99"/>
  <c r="M98"/>
  <c r="M97"/>
  <c r="M96"/>
  <c r="M95"/>
  <c r="M94"/>
  <c r="M93"/>
  <c r="M92"/>
  <c r="M89"/>
  <c r="M88"/>
  <c r="M87"/>
  <c r="M86"/>
  <c r="M85"/>
  <c r="M84"/>
  <c r="M83"/>
  <c r="M82"/>
  <c r="M79"/>
  <c r="M78"/>
  <c r="M77"/>
  <c r="M76"/>
  <c r="M75"/>
  <c r="M74"/>
  <c r="M73"/>
  <c r="M72"/>
  <c r="L99"/>
  <c r="L98"/>
  <c r="L97"/>
  <c r="L96"/>
  <c r="L95"/>
  <c r="L94"/>
  <c r="L93"/>
  <c r="L92"/>
  <c r="L89"/>
  <c r="L88"/>
  <c r="L87"/>
  <c r="L86"/>
  <c r="L85"/>
  <c r="L84"/>
  <c r="L83"/>
  <c r="L82"/>
  <c r="L79"/>
  <c r="L78"/>
  <c r="L77"/>
  <c r="L76"/>
  <c r="L75"/>
  <c r="L74"/>
  <c r="L73"/>
  <c r="L72"/>
  <c r="K98"/>
  <c r="K97"/>
  <c r="K96"/>
  <c r="K95"/>
  <c r="K94"/>
  <c r="K93"/>
  <c r="K92"/>
  <c r="K88"/>
  <c r="K87"/>
  <c r="K86"/>
  <c r="K85"/>
  <c r="K84"/>
  <c r="K83"/>
  <c r="K82"/>
  <c r="K78"/>
  <c r="K77"/>
  <c r="K76"/>
  <c r="K75"/>
  <c r="K74"/>
  <c r="K73"/>
  <c r="K72"/>
  <c r="G31" i="12" l="1"/>
  <c r="G27"/>
  <c r="G22"/>
  <c r="G25"/>
  <c r="G20"/>
  <c r="B5" i="24"/>
  <c r="B6" s="1"/>
  <c r="B12"/>
  <c r="B5" i="23"/>
  <c r="B6" s="1"/>
  <c r="B12"/>
  <c r="B5" i="22" l="1"/>
  <c r="B6" s="1"/>
  <c r="B2"/>
  <c r="B12"/>
  <c r="B12" i="21"/>
  <c r="J98" i="14"/>
  <c r="J97"/>
  <c r="J96"/>
  <c r="J95"/>
  <c r="J94"/>
  <c r="J93"/>
  <c r="J92"/>
  <c r="J89"/>
  <c r="J88"/>
  <c r="J87"/>
  <c r="J86"/>
  <c r="J85"/>
  <c r="J84"/>
  <c r="J83"/>
  <c r="J82"/>
  <c r="J78"/>
  <c r="J77"/>
  <c r="J76"/>
  <c r="J75"/>
  <c r="J74"/>
  <c r="J73"/>
  <c r="J72"/>
  <c r="J99" i="19"/>
  <c r="J98"/>
  <c r="J97"/>
  <c r="J96"/>
  <c r="J95"/>
  <c r="J94"/>
  <c r="J93"/>
  <c r="J92"/>
  <c r="J89"/>
  <c r="J88"/>
  <c r="J87"/>
  <c r="J86"/>
  <c r="J85"/>
  <c r="J84"/>
  <c r="J83"/>
  <c r="J82"/>
  <c r="J78"/>
  <c r="J77"/>
  <c r="J76"/>
  <c r="J75"/>
  <c r="J74"/>
  <c r="J73"/>
  <c r="J72"/>
  <c r="G21" i="12"/>
  <c r="G23"/>
  <c r="G26"/>
  <c r="G28"/>
  <c r="B8" i="22" l="1"/>
  <c r="B14" s="1"/>
  <c r="J101" i="11"/>
  <c r="J99"/>
  <c r="J98"/>
  <c r="J97"/>
  <c r="J96"/>
  <c r="J95"/>
  <c r="J94"/>
  <c r="J93"/>
  <c r="J92"/>
  <c r="J89"/>
  <c r="J88"/>
  <c r="J87"/>
  <c r="J86"/>
  <c r="J85"/>
  <c r="J84"/>
  <c r="J83"/>
  <c r="J82"/>
  <c r="J79"/>
  <c r="J78"/>
  <c r="J77"/>
  <c r="J76"/>
  <c r="J75"/>
  <c r="J74"/>
  <c r="J73"/>
  <c r="J72"/>
  <c r="J101" i="10"/>
  <c r="J99"/>
  <c r="J98"/>
  <c r="J97"/>
  <c r="J96"/>
  <c r="J95"/>
  <c r="J94"/>
  <c r="J93"/>
  <c r="J92"/>
  <c r="J89"/>
  <c r="J88"/>
  <c r="J87"/>
  <c r="J86"/>
  <c r="J85"/>
  <c r="J84"/>
  <c r="J83"/>
  <c r="J82"/>
  <c r="J79"/>
  <c r="J78"/>
  <c r="J77"/>
  <c r="J76"/>
  <c r="J75"/>
  <c r="J74"/>
  <c r="J73"/>
  <c r="J72"/>
  <c r="I98" i="14" l="1"/>
  <c r="I97"/>
  <c r="I96"/>
  <c r="I95"/>
  <c r="I94"/>
  <c r="I93"/>
  <c r="I92"/>
  <c r="I88"/>
  <c r="I87"/>
  <c r="I86"/>
  <c r="I85"/>
  <c r="I84"/>
  <c r="I83"/>
  <c r="I82"/>
  <c r="I78"/>
  <c r="I77"/>
  <c r="I76"/>
  <c r="I75"/>
  <c r="I74"/>
  <c r="I73"/>
  <c r="I72"/>
  <c r="I101" i="11"/>
  <c r="I99"/>
  <c r="I98"/>
  <c r="I97"/>
  <c r="I96"/>
  <c r="I95"/>
  <c r="I94"/>
  <c r="I93"/>
  <c r="I92"/>
  <c r="I89"/>
  <c r="I88"/>
  <c r="I87"/>
  <c r="I86"/>
  <c r="I85"/>
  <c r="I84"/>
  <c r="I83"/>
  <c r="I82"/>
  <c r="I79"/>
  <c r="I78"/>
  <c r="I77"/>
  <c r="I76"/>
  <c r="I75"/>
  <c r="I74"/>
  <c r="I73"/>
  <c r="I72"/>
  <c r="I101" i="19"/>
  <c r="I99"/>
  <c r="I98"/>
  <c r="I97"/>
  <c r="I96"/>
  <c r="I95"/>
  <c r="I94"/>
  <c r="I93"/>
  <c r="I92"/>
  <c r="I89"/>
  <c r="I88"/>
  <c r="I87"/>
  <c r="I86"/>
  <c r="I85"/>
  <c r="I84"/>
  <c r="I83"/>
  <c r="I82"/>
  <c r="I79"/>
  <c r="I78"/>
  <c r="I77"/>
  <c r="I76"/>
  <c r="I75"/>
  <c r="I74"/>
  <c r="I73"/>
  <c r="I72"/>
  <c r="I101" i="10"/>
  <c r="I99"/>
  <c r="I98"/>
  <c r="I97"/>
  <c r="I96"/>
  <c r="I95"/>
  <c r="I94"/>
  <c r="I93"/>
  <c r="I92"/>
  <c r="I89"/>
  <c r="I88"/>
  <c r="I87"/>
  <c r="I86"/>
  <c r="I85"/>
  <c r="I84"/>
  <c r="I83"/>
  <c r="I82"/>
  <c r="I79"/>
  <c r="I78"/>
  <c r="I77"/>
  <c r="I76"/>
  <c r="I75"/>
  <c r="I74"/>
  <c r="I73"/>
  <c r="I72"/>
  <c r="H101" l="1"/>
  <c r="H99"/>
  <c r="H98"/>
  <c r="H97"/>
  <c r="H96"/>
  <c r="H95"/>
  <c r="H94"/>
  <c r="H93"/>
  <c r="H92"/>
  <c r="H89"/>
  <c r="H88"/>
  <c r="H87"/>
  <c r="H86"/>
  <c r="H85"/>
  <c r="H84"/>
  <c r="H83"/>
  <c r="H82"/>
  <c r="H79"/>
  <c r="H78"/>
  <c r="H77"/>
  <c r="H76"/>
  <c r="H75"/>
  <c r="H74"/>
  <c r="H73"/>
  <c r="H72"/>
  <c r="H98" i="14" l="1"/>
  <c r="H97"/>
  <c r="H96"/>
  <c r="H95"/>
  <c r="H94"/>
  <c r="H93"/>
  <c r="H92"/>
  <c r="H88"/>
  <c r="H87"/>
  <c r="H86"/>
  <c r="H85"/>
  <c r="H84"/>
  <c r="H83"/>
  <c r="H82"/>
  <c r="H78"/>
  <c r="H77"/>
  <c r="H76"/>
  <c r="H75"/>
  <c r="H74"/>
  <c r="H73"/>
  <c r="H72"/>
  <c r="H101" i="19"/>
  <c r="H99"/>
  <c r="H98"/>
  <c r="H97"/>
  <c r="H96"/>
  <c r="H95"/>
  <c r="H94"/>
  <c r="H93"/>
  <c r="H92"/>
  <c r="H89"/>
  <c r="H88"/>
  <c r="H87"/>
  <c r="H86"/>
  <c r="H85"/>
  <c r="H84"/>
  <c r="H83"/>
  <c r="H82"/>
  <c r="H79"/>
  <c r="H78"/>
  <c r="H77"/>
  <c r="H76"/>
  <c r="H75"/>
  <c r="H74"/>
  <c r="H73"/>
  <c r="H72"/>
  <c r="H101" i="11"/>
  <c r="H99"/>
  <c r="H98"/>
  <c r="H97"/>
  <c r="H96"/>
  <c r="H95"/>
  <c r="H94"/>
  <c r="H93"/>
  <c r="H92"/>
  <c r="H89"/>
  <c r="H88"/>
  <c r="H87"/>
  <c r="H86"/>
  <c r="H85"/>
  <c r="H84"/>
  <c r="H83"/>
  <c r="H82"/>
  <c r="H79"/>
  <c r="H78"/>
  <c r="H77"/>
  <c r="H76"/>
  <c r="H75"/>
  <c r="H74"/>
  <c r="H73"/>
  <c r="H72"/>
  <c r="G30" i="12" l="1"/>
  <c r="G98" i="14" l="1"/>
  <c r="G97"/>
  <c r="G96"/>
  <c r="G95"/>
  <c r="G94"/>
  <c r="G93"/>
  <c r="G92"/>
  <c r="G88"/>
  <c r="G87"/>
  <c r="G86"/>
  <c r="G85"/>
  <c r="G84"/>
  <c r="G83"/>
  <c r="G82"/>
  <c r="G78"/>
  <c r="G77"/>
  <c r="G76"/>
  <c r="G75"/>
  <c r="G74"/>
  <c r="G73"/>
  <c r="G72"/>
  <c r="G98" i="19"/>
  <c r="G97"/>
  <c r="G96"/>
  <c r="G95"/>
  <c r="G94"/>
  <c r="G93"/>
  <c r="G92"/>
  <c r="G88"/>
  <c r="G87"/>
  <c r="G86"/>
  <c r="G85"/>
  <c r="G84"/>
  <c r="G83"/>
  <c r="G82"/>
  <c r="G78"/>
  <c r="G77"/>
  <c r="G76"/>
  <c r="G75"/>
  <c r="G74"/>
  <c r="G73"/>
  <c r="G72"/>
  <c r="G98" i="11"/>
  <c r="G97"/>
  <c r="G96"/>
  <c r="G95"/>
  <c r="G94"/>
  <c r="G93"/>
  <c r="G92"/>
  <c r="G88"/>
  <c r="G87"/>
  <c r="G86"/>
  <c r="G85"/>
  <c r="G84"/>
  <c r="G83"/>
  <c r="G82"/>
  <c r="G78"/>
  <c r="G77"/>
  <c r="G76"/>
  <c r="G75"/>
  <c r="G74"/>
  <c r="G73"/>
  <c r="G72"/>
  <c r="G101" i="10"/>
  <c r="G99"/>
  <c r="G98"/>
  <c r="G97"/>
  <c r="G96"/>
  <c r="G95"/>
  <c r="G94"/>
  <c r="G93"/>
  <c r="G92"/>
  <c r="G89"/>
  <c r="G88"/>
  <c r="G87"/>
  <c r="G86"/>
  <c r="G85"/>
  <c r="G84"/>
  <c r="G83"/>
  <c r="G82"/>
  <c r="G79"/>
  <c r="G78"/>
  <c r="G77"/>
  <c r="G76"/>
  <c r="G75"/>
  <c r="G74"/>
  <c r="G73"/>
  <c r="G72"/>
  <c r="F98" i="14" l="1"/>
  <c r="F97"/>
  <c r="F96"/>
  <c r="F95"/>
  <c r="F94"/>
  <c r="F93"/>
  <c r="F92"/>
  <c r="F88"/>
  <c r="F87"/>
  <c r="F86"/>
  <c r="F85"/>
  <c r="F84"/>
  <c r="F83"/>
  <c r="F82"/>
  <c r="F78"/>
  <c r="F77"/>
  <c r="F76"/>
  <c r="F75"/>
  <c r="F74"/>
  <c r="F73"/>
  <c r="F72"/>
  <c r="F66" i="19"/>
  <c r="F56"/>
  <c r="F46"/>
  <c r="F98"/>
  <c r="F97"/>
  <c r="F96"/>
  <c r="F95"/>
  <c r="F94"/>
  <c r="F93"/>
  <c r="F92"/>
  <c r="F89"/>
  <c r="F88"/>
  <c r="F87"/>
  <c r="F86"/>
  <c r="F85"/>
  <c r="F84"/>
  <c r="F83"/>
  <c r="F82"/>
  <c r="F79"/>
  <c r="F78"/>
  <c r="F77"/>
  <c r="F76"/>
  <c r="F75"/>
  <c r="F74"/>
  <c r="F73"/>
  <c r="F72"/>
  <c r="F101" i="11"/>
  <c r="F99"/>
  <c r="F98"/>
  <c r="F97"/>
  <c r="F96"/>
  <c r="F95"/>
  <c r="F94"/>
  <c r="F93"/>
  <c r="F92"/>
  <c r="F89"/>
  <c r="F88"/>
  <c r="F87"/>
  <c r="F86"/>
  <c r="F85"/>
  <c r="F84"/>
  <c r="F83"/>
  <c r="F82"/>
  <c r="F79"/>
  <c r="F78"/>
  <c r="F77"/>
  <c r="F76"/>
  <c r="F75"/>
  <c r="F74"/>
  <c r="F73"/>
  <c r="F72"/>
  <c r="F101" i="10"/>
  <c r="F99"/>
  <c r="F98"/>
  <c r="F97"/>
  <c r="F96"/>
  <c r="F95"/>
  <c r="F94"/>
  <c r="F93"/>
  <c r="F92"/>
  <c r="F89"/>
  <c r="F88"/>
  <c r="F87"/>
  <c r="F86"/>
  <c r="F85"/>
  <c r="F84"/>
  <c r="F83"/>
  <c r="F82"/>
  <c r="F79"/>
  <c r="F78"/>
  <c r="F77"/>
  <c r="F76"/>
  <c r="F75"/>
  <c r="F74"/>
  <c r="F73"/>
  <c r="F72"/>
  <c r="I31" i="12" l="1"/>
  <c r="I30"/>
  <c r="I28"/>
  <c r="I27"/>
  <c r="I26"/>
  <c r="I25"/>
  <c r="I23"/>
  <c r="I22"/>
  <c r="I21"/>
  <c r="I20"/>
  <c r="G16"/>
  <c r="I16" s="1"/>
  <c r="G17"/>
  <c r="I17" s="1"/>
  <c r="G18"/>
  <c r="I18" s="1"/>
  <c r="G15"/>
  <c r="I15" s="1"/>
  <c r="G32"/>
  <c r="I32" s="1"/>
  <c r="E32"/>
  <c r="D25"/>
  <c r="D20"/>
  <c r="C25"/>
  <c r="C20"/>
  <c r="C27"/>
  <c r="E28"/>
  <c r="E27"/>
  <c r="E26"/>
  <c r="E25"/>
  <c r="E16"/>
  <c r="E17"/>
  <c r="E18"/>
  <c r="E20"/>
  <c r="E21"/>
  <c r="E22"/>
  <c r="E23"/>
  <c r="E15"/>
  <c r="M28" i="19" l="1"/>
  <c r="L28"/>
  <c r="K28"/>
  <c r="J28"/>
  <c r="I28"/>
  <c r="H28"/>
  <c r="G28"/>
  <c r="F28"/>
  <c r="E28"/>
  <c r="D28"/>
  <c r="C28"/>
  <c r="N28"/>
  <c r="N33"/>
  <c r="M33"/>
  <c r="L33"/>
  <c r="K33"/>
  <c r="J33"/>
  <c r="I33"/>
  <c r="H33"/>
  <c r="G33"/>
  <c r="F33"/>
  <c r="E33"/>
  <c r="D33"/>
  <c r="N29"/>
  <c r="M29"/>
  <c r="L29"/>
  <c r="K29"/>
  <c r="J29"/>
  <c r="I29"/>
  <c r="H29"/>
  <c r="G29"/>
  <c r="F29"/>
  <c r="E29"/>
  <c r="D29"/>
  <c r="N27"/>
  <c r="M27"/>
  <c r="L27"/>
  <c r="K27"/>
  <c r="J27"/>
  <c r="I27"/>
  <c r="H27"/>
  <c r="G27"/>
  <c r="F27"/>
  <c r="E27"/>
  <c r="D27"/>
  <c r="C33"/>
  <c r="C29"/>
  <c r="C27"/>
  <c r="N22"/>
  <c r="M22"/>
  <c r="L22"/>
  <c r="K22"/>
  <c r="J22"/>
  <c r="I22"/>
  <c r="H22"/>
  <c r="G22"/>
  <c r="F22"/>
  <c r="E22"/>
  <c r="D22"/>
  <c r="C22"/>
  <c r="N23"/>
  <c r="M23"/>
  <c r="L23"/>
  <c r="K23"/>
  <c r="J23"/>
  <c r="I23"/>
  <c r="H23"/>
  <c r="G23"/>
  <c r="F23"/>
  <c r="E23"/>
  <c r="D23"/>
  <c r="C23"/>
  <c r="N20"/>
  <c r="M20"/>
  <c r="L20"/>
  <c r="K20"/>
  <c r="J20"/>
  <c r="I20"/>
  <c r="H20"/>
  <c r="G20"/>
  <c r="F20"/>
  <c r="E20"/>
  <c r="D20"/>
  <c r="C20"/>
  <c r="N18"/>
  <c r="M18"/>
  <c r="L18"/>
  <c r="K18"/>
  <c r="J18"/>
  <c r="I18"/>
  <c r="H18"/>
  <c r="G18"/>
  <c r="F18"/>
  <c r="E18"/>
  <c r="D18"/>
  <c r="C18"/>
  <c r="N17"/>
  <c r="M17"/>
  <c r="L17"/>
  <c r="K17"/>
  <c r="J17"/>
  <c r="I17"/>
  <c r="H17"/>
  <c r="G17"/>
  <c r="F17"/>
  <c r="E17"/>
  <c r="C17"/>
  <c r="D17"/>
  <c r="N9"/>
  <c r="M9"/>
  <c r="L9"/>
  <c r="K9"/>
  <c r="J9"/>
  <c r="I9"/>
  <c r="H9"/>
  <c r="G9"/>
  <c r="F9"/>
  <c r="E9"/>
  <c r="D9"/>
  <c r="C9"/>
  <c r="N8"/>
  <c r="M8"/>
  <c r="L8"/>
  <c r="K8"/>
  <c r="J8"/>
  <c r="I8"/>
  <c r="H8"/>
  <c r="G8"/>
  <c r="F8"/>
  <c r="E8"/>
  <c r="D8"/>
  <c r="C8"/>
  <c r="N7"/>
  <c r="M7"/>
  <c r="L7"/>
  <c r="K7"/>
  <c r="J7"/>
  <c r="I7"/>
  <c r="H7"/>
  <c r="G7"/>
  <c r="F7"/>
  <c r="E7"/>
  <c r="D7"/>
  <c r="C7"/>
  <c r="E97" l="1"/>
  <c r="D97"/>
  <c r="O97" s="1"/>
  <c r="C97"/>
  <c r="E96"/>
  <c r="D96"/>
  <c r="C96"/>
  <c r="E95"/>
  <c r="D95"/>
  <c r="O95" s="1"/>
  <c r="C95"/>
  <c r="E86"/>
  <c r="D86"/>
  <c r="C86"/>
  <c r="E85"/>
  <c r="D85"/>
  <c r="O85" s="1"/>
  <c r="C85"/>
  <c r="E84"/>
  <c r="D84"/>
  <c r="C84"/>
  <c r="E78"/>
  <c r="D78"/>
  <c r="O78" s="1"/>
  <c r="C78"/>
  <c r="E77"/>
  <c r="D77"/>
  <c r="C77"/>
  <c r="E76"/>
  <c r="D76"/>
  <c r="O76" s="1"/>
  <c r="C76"/>
  <c r="E75"/>
  <c r="D75"/>
  <c r="C75"/>
  <c r="N66"/>
  <c r="M66"/>
  <c r="L66"/>
  <c r="K66"/>
  <c r="J66"/>
  <c r="I66"/>
  <c r="H66"/>
  <c r="G66"/>
  <c r="G99" s="1"/>
  <c r="F99"/>
  <c r="E66"/>
  <c r="D66"/>
  <c r="C66"/>
  <c r="O65"/>
  <c r="P65" s="1"/>
  <c r="O64"/>
  <c r="P64" s="1"/>
  <c r="O63"/>
  <c r="P63" s="1"/>
  <c r="O62"/>
  <c r="P62" s="1"/>
  <c r="O61"/>
  <c r="P61" s="1"/>
  <c r="O60"/>
  <c r="P60" s="1"/>
  <c r="O59"/>
  <c r="N56"/>
  <c r="M56"/>
  <c r="L56"/>
  <c r="K56"/>
  <c r="J56"/>
  <c r="I56"/>
  <c r="H56"/>
  <c r="G56"/>
  <c r="G89" s="1"/>
  <c r="E56"/>
  <c r="D56"/>
  <c r="C56"/>
  <c r="O55"/>
  <c r="P55" s="1"/>
  <c r="O54"/>
  <c r="P54" s="1"/>
  <c r="O53"/>
  <c r="P53" s="1"/>
  <c r="O52"/>
  <c r="P52" s="1"/>
  <c r="O51"/>
  <c r="P51" s="1"/>
  <c r="O50"/>
  <c r="P50" s="1"/>
  <c r="O49"/>
  <c r="N46"/>
  <c r="M46"/>
  <c r="L46"/>
  <c r="K46"/>
  <c r="J46"/>
  <c r="J79" s="1"/>
  <c r="I46"/>
  <c r="H46"/>
  <c r="G46"/>
  <c r="G79" s="1"/>
  <c r="E46"/>
  <c r="D46"/>
  <c r="C46"/>
  <c r="O45"/>
  <c r="P45" s="1"/>
  <c r="O44"/>
  <c r="P44" s="1"/>
  <c r="O43"/>
  <c r="P43" s="1"/>
  <c r="O42"/>
  <c r="P42" s="1"/>
  <c r="O41"/>
  <c r="P41" s="1"/>
  <c r="O40"/>
  <c r="P40" s="1"/>
  <c r="O39"/>
  <c r="E98"/>
  <c r="D98"/>
  <c r="C98"/>
  <c r="O32"/>
  <c r="O31"/>
  <c r="O30"/>
  <c r="E94"/>
  <c r="D94"/>
  <c r="C94"/>
  <c r="O94" s="1"/>
  <c r="E93"/>
  <c r="D93"/>
  <c r="C93"/>
  <c r="N34"/>
  <c r="M34"/>
  <c r="L34"/>
  <c r="K34"/>
  <c r="J34"/>
  <c r="I34"/>
  <c r="H34"/>
  <c r="G34"/>
  <c r="F34"/>
  <c r="E92"/>
  <c r="D92"/>
  <c r="C92"/>
  <c r="E88"/>
  <c r="D88"/>
  <c r="C88"/>
  <c r="E87"/>
  <c r="D87"/>
  <c r="C87"/>
  <c r="O21"/>
  <c r="O20"/>
  <c r="O19"/>
  <c r="E83"/>
  <c r="D83"/>
  <c r="C83"/>
  <c r="N24"/>
  <c r="M24"/>
  <c r="L24"/>
  <c r="K24"/>
  <c r="J24"/>
  <c r="I24"/>
  <c r="H24"/>
  <c r="G24"/>
  <c r="F24"/>
  <c r="E82"/>
  <c r="D82"/>
  <c r="C82"/>
  <c r="O13"/>
  <c r="O12"/>
  <c r="O11"/>
  <c r="O10"/>
  <c r="E74"/>
  <c r="D74"/>
  <c r="C74"/>
  <c r="E73"/>
  <c r="D73"/>
  <c r="C73"/>
  <c r="N14"/>
  <c r="M14"/>
  <c r="L14"/>
  <c r="K14"/>
  <c r="J14"/>
  <c r="I14"/>
  <c r="H14"/>
  <c r="G14"/>
  <c r="F14"/>
  <c r="E72"/>
  <c r="D72"/>
  <c r="C72"/>
  <c r="O56" l="1"/>
  <c r="O66"/>
  <c r="O92"/>
  <c r="O93"/>
  <c r="O88"/>
  <c r="O87"/>
  <c r="C68"/>
  <c r="E68"/>
  <c r="G68"/>
  <c r="I68"/>
  <c r="K68"/>
  <c r="M68"/>
  <c r="O46"/>
  <c r="P49"/>
  <c r="P56" s="1"/>
  <c r="P59"/>
  <c r="P66" s="1"/>
  <c r="D68"/>
  <c r="F68"/>
  <c r="F101" s="1"/>
  <c r="H68"/>
  <c r="J68"/>
  <c r="L68"/>
  <c r="N68"/>
  <c r="O75"/>
  <c r="O77"/>
  <c r="O84"/>
  <c r="O86"/>
  <c r="O96"/>
  <c r="O72"/>
  <c r="O73"/>
  <c r="O74"/>
  <c r="O82"/>
  <c r="O83"/>
  <c r="F36"/>
  <c r="H36"/>
  <c r="J36"/>
  <c r="L36"/>
  <c r="N36"/>
  <c r="O98"/>
  <c r="G36"/>
  <c r="I36"/>
  <c r="K36"/>
  <c r="M36"/>
  <c r="O7"/>
  <c r="O9"/>
  <c r="D14"/>
  <c r="D79" s="1"/>
  <c r="O17"/>
  <c r="O23"/>
  <c r="D24"/>
  <c r="D89" s="1"/>
  <c r="O27"/>
  <c r="O29"/>
  <c r="O33"/>
  <c r="D34"/>
  <c r="P39"/>
  <c r="P46" s="1"/>
  <c r="O8"/>
  <c r="C14"/>
  <c r="C79" s="1"/>
  <c r="E14"/>
  <c r="E79" s="1"/>
  <c r="O18"/>
  <c r="O22"/>
  <c r="C24"/>
  <c r="C89" s="1"/>
  <c r="E24"/>
  <c r="E89" s="1"/>
  <c r="O28"/>
  <c r="C34"/>
  <c r="E34"/>
  <c r="J101" l="1"/>
  <c r="G101"/>
  <c r="O68"/>
  <c r="P68"/>
  <c r="O99"/>
  <c r="O89"/>
  <c r="E99"/>
  <c r="E36"/>
  <c r="E101" s="1"/>
  <c r="O34"/>
  <c r="O14"/>
  <c r="O79"/>
  <c r="C99"/>
  <c r="C36"/>
  <c r="C101" s="1"/>
  <c r="D36"/>
  <c r="D101" s="1"/>
  <c r="D99"/>
  <c r="O24"/>
  <c r="O101" l="1"/>
  <c r="O36"/>
  <c r="E97" i="14" l="1"/>
  <c r="D97"/>
  <c r="C97"/>
  <c r="E96"/>
  <c r="D96"/>
  <c r="O96" s="1"/>
  <c r="C96"/>
  <c r="E95"/>
  <c r="D95"/>
  <c r="C95"/>
  <c r="E87"/>
  <c r="D87"/>
  <c r="C87"/>
  <c r="E86"/>
  <c r="D86"/>
  <c r="O86" s="1"/>
  <c r="C86"/>
  <c r="E85"/>
  <c r="D85"/>
  <c r="C85"/>
  <c r="E84"/>
  <c r="D84"/>
  <c r="O84" s="1"/>
  <c r="C84"/>
  <c r="E78"/>
  <c r="D78"/>
  <c r="O78" s="1"/>
  <c r="C78"/>
  <c r="E77"/>
  <c r="D77"/>
  <c r="C77"/>
  <c r="E76"/>
  <c r="D76"/>
  <c r="O76" s="1"/>
  <c r="C76"/>
  <c r="E75"/>
  <c r="D75"/>
  <c r="C75"/>
  <c r="E97" i="11"/>
  <c r="D97"/>
  <c r="C97"/>
  <c r="O97" s="1"/>
  <c r="E96"/>
  <c r="D96"/>
  <c r="C96"/>
  <c r="E95"/>
  <c r="D95"/>
  <c r="C95"/>
  <c r="E87"/>
  <c r="D87"/>
  <c r="C87"/>
  <c r="E86"/>
  <c r="D86"/>
  <c r="O86" s="1"/>
  <c r="C86"/>
  <c r="E85"/>
  <c r="D85"/>
  <c r="C85"/>
  <c r="E84"/>
  <c r="D84"/>
  <c r="C84"/>
  <c r="E78"/>
  <c r="D78"/>
  <c r="O78" s="1"/>
  <c r="C78"/>
  <c r="E77"/>
  <c r="D77"/>
  <c r="C77"/>
  <c r="E76"/>
  <c r="D76"/>
  <c r="O76" s="1"/>
  <c r="C76"/>
  <c r="E75"/>
  <c r="D75"/>
  <c r="C75"/>
  <c r="O65" i="10"/>
  <c r="P65" s="1"/>
  <c r="O64"/>
  <c r="O63"/>
  <c r="P63" s="1"/>
  <c r="O62"/>
  <c r="O61"/>
  <c r="P61" s="1"/>
  <c r="O60"/>
  <c r="P60" s="1"/>
  <c r="O59"/>
  <c r="O55"/>
  <c r="O54"/>
  <c r="P54" s="1"/>
  <c r="O53"/>
  <c r="O52"/>
  <c r="P52" s="1"/>
  <c r="O51"/>
  <c r="O50"/>
  <c r="P50" s="1"/>
  <c r="O49"/>
  <c r="P49" s="1"/>
  <c r="O45"/>
  <c r="O44"/>
  <c r="O43"/>
  <c r="O42"/>
  <c r="O41"/>
  <c r="O40"/>
  <c r="P40" s="1"/>
  <c r="O39"/>
  <c r="E97"/>
  <c r="D97"/>
  <c r="C97"/>
  <c r="O97" s="1"/>
  <c r="E96"/>
  <c r="D96"/>
  <c r="C96"/>
  <c r="O96" s="1"/>
  <c r="E95"/>
  <c r="D95"/>
  <c r="C95"/>
  <c r="O95" s="1"/>
  <c r="E86"/>
  <c r="D86"/>
  <c r="O86" s="1"/>
  <c r="C86"/>
  <c r="E85"/>
  <c r="D85"/>
  <c r="C85"/>
  <c r="O85" s="1"/>
  <c r="E84"/>
  <c r="D84"/>
  <c r="O84" s="1"/>
  <c r="C84"/>
  <c r="E78"/>
  <c r="D78"/>
  <c r="E77"/>
  <c r="D77"/>
  <c r="E76"/>
  <c r="D76"/>
  <c r="E75"/>
  <c r="D75"/>
  <c r="C75"/>
  <c r="O75" s="1"/>
  <c r="C76"/>
  <c r="O76" s="1"/>
  <c r="C77"/>
  <c r="O77" s="1"/>
  <c r="C78"/>
  <c r="O78" s="1"/>
  <c r="N33" i="14"/>
  <c r="M33"/>
  <c r="L33"/>
  <c r="K33"/>
  <c r="J33"/>
  <c r="I33"/>
  <c r="H33"/>
  <c r="G33"/>
  <c r="F33"/>
  <c r="E33"/>
  <c r="E98" s="1"/>
  <c r="D33"/>
  <c r="D98" s="1"/>
  <c r="N29"/>
  <c r="M29"/>
  <c r="L29"/>
  <c r="K29"/>
  <c r="J29"/>
  <c r="I29"/>
  <c r="H29"/>
  <c r="G29"/>
  <c r="F29"/>
  <c r="E29"/>
  <c r="E94" s="1"/>
  <c r="D29"/>
  <c r="D94" s="1"/>
  <c r="N28"/>
  <c r="M28"/>
  <c r="L28"/>
  <c r="K28"/>
  <c r="J28"/>
  <c r="I28"/>
  <c r="H28"/>
  <c r="G28"/>
  <c r="F28"/>
  <c r="E28"/>
  <c r="E93" s="1"/>
  <c r="D28"/>
  <c r="D93" s="1"/>
  <c r="N27"/>
  <c r="M27"/>
  <c r="L27"/>
  <c r="K27"/>
  <c r="J27"/>
  <c r="I27"/>
  <c r="H27"/>
  <c r="G27"/>
  <c r="F27"/>
  <c r="E27"/>
  <c r="E92" s="1"/>
  <c r="D27"/>
  <c r="D92" s="1"/>
  <c r="C33"/>
  <c r="C98" s="1"/>
  <c r="C29"/>
  <c r="C94" s="1"/>
  <c r="C28"/>
  <c r="C93" s="1"/>
  <c r="C27"/>
  <c r="C92" s="1"/>
  <c r="N23"/>
  <c r="M23"/>
  <c r="L23"/>
  <c r="K23"/>
  <c r="J23"/>
  <c r="I23"/>
  <c r="H23"/>
  <c r="G23"/>
  <c r="F23"/>
  <c r="E23"/>
  <c r="E88" s="1"/>
  <c r="D23"/>
  <c r="D88" s="1"/>
  <c r="O88" s="1"/>
  <c r="N18"/>
  <c r="M18"/>
  <c r="L18"/>
  <c r="K18"/>
  <c r="J18"/>
  <c r="I18"/>
  <c r="H18"/>
  <c r="G18"/>
  <c r="F18"/>
  <c r="E18"/>
  <c r="E83" s="1"/>
  <c r="D18"/>
  <c r="D83" s="1"/>
  <c r="N17"/>
  <c r="M17"/>
  <c r="L17"/>
  <c r="K17"/>
  <c r="J17"/>
  <c r="I17"/>
  <c r="H17"/>
  <c r="G17"/>
  <c r="F17"/>
  <c r="E17"/>
  <c r="E82" s="1"/>
  <c r="D17"/>
  <c r="D82" s="1"/>
  <c r="O82" s="1"/>
  <c r="C23"/>
  <c r="C88" s="1"/>
  <c r="C18"/>
  <c r="C83" s="1"/>
  <c r="C17"/>
  <c r="C82" s="1"/>
  <c r="N9"/>
  <c r="M9"/>
  <c r="L9"/>
  <c r="K9"/>
  <c r="J9"/>
  <c r="I9"/>
  <c r="H9"/>
  <c r="G9"/>
  <c r="F9"/>
  <c r="E9"/>
  <c r="E74" s="1"/>
  <c r="D9"/>
  <c r="D74" s="1"/>
  <c r="O74" s="1"/>
  <c r="C9"/>
  <c r="C74" s="1"/>
  <c r="N8"/>
  <c r="M8"/>
  <c r="L8"/>
  <c r="K8"/>
  <c r="J8"/>
  <c r="I8"/>
  <c r="H8"/>
  <c r="G8"/>
  <c r="F8"/>
  <c r="E8"/>
  <c r="E73" s="1"/>
  <c r="D8"/>
  <c r="D73" s="1"/>
  <c r="N7"/>
  <c r="M7"/>
  <c r="L7"/>
  <c r="K7"/>
  <c r="J7"/>
  <c r="I7"/>
  <c r="H7"/>
  <c r="G7"/>
  <c r="F7"/>
  <c r="E7"/>
  <c r="E72" s="1"/>
  <c r="D7"/>
  <c r="D72" s="1"/>
  <c r="C8"/>
  <c r="C73" s="1"/>
  <c r="C7"/>
  <c r="C72" s="1"/>
  <c r="O66"/>
  <c r="N66"/>
  <c r="N99" s="1"/>
  <c r="M66"/>
  <c r="M99" s="1"/>
  <c r="L66"/>
  <c r="L99" s="1"/>
  <c r="J66"/>
  <c r="J99" s="1"/>
  <c r="I66"/>
  <c r="I99" s="1"/>
  <c r="H66"/>
  <c r="H99" s="1"/>
  <c r="G66"/>
  <c r="G99" s="1"/>
  <c r="F66"/>
  <c r="F99" s="1"/>
  <c r="E66"/>
  <c r="D66"/>
  <c r="C66"/>
  <c r="P65"/>
  <c r="P64"/>
  <c r="P63"/>
  <c r="P62"/>
  <c r="P61"/>
  <c r="P60"/>
  <c r="P59"/>
  <c r="O56"/>
  <c r="N56"/>
  <c r="M56"/>
  <c r="L56"/>
  <c r="K56"/>
  <c r="K89" s="1"/>
  <c r="J56"/>
  <c r="I56"/>
  <c r="I89" s="1"/>
  <c r="H56"/>
  <c r="H89" s="1"/>
  <c r="G56"/>
  <c r="G89" s="1"/>
  <c r="F56"/>
  <c r="F89" s="1"/>
  <c r="E56"/>
  <c r="D56"/>
  <c r="C56"/>
  <c r="P55"/>
  <c r="P54"/>
  <c r="P53"/>
  <c r="P52"/>
  <c r="P51"/>
  <c r="P50"/>
  <c r="P49"/>
  <c r="O46"/>
  <c r="N46"/>
  <c r="N79" s="1"/>
  <c r="M46"/>
  <c r="M79" s="1"/>
  <c r="L46"/>
  <c r="L79" s="1"/>
  <c r="K46"/>
  <c r="K79" s="1"/>
  <c r="J46"/>
  <c r="J79" s="1"/>
  <c r="I46"/>
  <c r="I79" s="1"/>
  <c r="H46"/>
  <c r="H79" s="1"/>
  <c r="G46"/>
  <c r="G79" s="1"/>
  <c r="F46"/>
  <c r="F79" s="1"/>
  <c r="E46"/>
  <c r="D46"/>
  <c r="C46"/>
  <c r="P45"/>
  <c r="P44"/>
  <c r="P43"/>
  <c r="P42"/>
  <c r="P41"/>
  <c r="P40"/>
  <c r="P39"/>
  <c r="O32"/>
  <c r="O31"/>
  <c r="O30"/>
  <c r="M34"/>
  <c r="K34"/>
  <c r="I34"/>
  <c r="G34"/>
  <c r="E34"/>
  <c r="C34"/>
  <c r="C99" s="1"/>
  <c r="O21"/>
  <c r="O19"/>
  <c r="M24"/>
  <c r="K24"/>
  <c r="I24"/>
  <c r="G24"/>
  <c r="E24"/>
  <c r="E89" s="1"/>
  <c r="C24"/>
  <c r="C89" s="1"/>
  <c r="O13"/>
  <c r="O12"/>
  <c r="O11"/>
  <c r="O10"/>
  <c r="M14"/>
  <c r="K14"/>
  <c r="I14"/>
  <c r="G14"/>
  <c r="E14"/>
  <c r="C14"/>
  <c r="C79" s="1"/>
  <c r="C66" i="10"/>
  <c r="E56"/>
  <c r="D56"/>
  <c r="C56"/>
  <c r="E46"/>
  <c r="D46"/>
  <c r="C46"/>
  <c r="N66"/>
  <c r="M66"/>
  <c r="L66"/>
  <c r="K66"/>
  <c r="K99" s="1"/>
  <c r="J66"/>
  <c r="I66"/>
  <c r="H66"/>
  <c r="G66"/>
  <c r="F66"/>
  <c r="E66"/>
  <c r="D66"/>
  <c r="D68" s="1"/>
  <c r="P64"/>
  <c r="P62"/>
  <c r="N56"/>
  <c r="M56"/>
  <c r="L56"/>
  <c r="K56"/>
  <c r="K89" s="1"/>
  <c r="J56"/>
  <c r="I56"/>
  <c r="H56"/>
  <c r="G56"/>
  <c r="F56"/>
  <c r="P55"/>
  <c r="P53"/>
  <c r="P51"/>
  <c r="N46"/>
  <c r="M46"/>
  <c r="L46"/>
  <c r="K46"/>
  <c r="K79" s="1"/>
  <c r="J46"/>
  <c r="I46"/>
  <c r="H46"/>
  <c r="G46"/>
  <c r="F46"/>
  <c r="P45"/>
  <c r="P44"/>
  <c r="P43"/>
  <c r="P42"/>
  <c r="P41"/>
  <c r="P39"/>
  <c r="O65" i="11"/>
  <c r="O64"/>
  <c r="O63"/>
  <c r="O62"/>
  <c r="O61"/>
  <c r="O60"/>
  <c r="O59"/>
  <c r="N66"/>
  <c r="N68" s="1"/>
  <c r="M66"/>
  <c r="M68" s="1"/>
  <c r="L66"/>
  <c r="L68" s="1"/>
  <c r="K66"/>
  <c r="K99" s="1"/>
  <c r="J66"/>
  <c r="I66"/>
  <c r="H66"/>
  <c r="G66"/>
  <c r="G99" s="1"/>
  <c r="F66"/>
  <c r="E66"/>
  <c r="D66"/>
  <c r="C66"/>
  <c r="O55"/>
  <c r="O54"/>
  <c r="O53"/>
  <c r="O52"/>
  <c r="O51"/>
  <c r="O50"/>
  <c r="O49"/>
  <c r="N56"/>
  <c r="M56"/>
  <c r="L56"/>
  <c r="K56"/>
  <c r="K89" s="1"/>
  <c r="J56"/>
  <c r="I56"/>
  <c r="H56"/>
  <c r="G56"/>
  <c r="G89" s="1"/>
  <c r="F56"/>
  <c r="E56"/>
  <c r="D56"/>
  <c r="C56"/>
  <c r="O45"/>
  <c r="O44"/>
  <c r="O43"/>
  <c r="O42"/>
  <c r="O41"/>
  <c r="O40"/>
  <c r="O39"/>
  <c r="N46"/>
  <c r="M46"/>
  <c r="L46"/>
  <c r="K46"/>
  <c r="K79" s="1"/>
  <c r="J46"/>
  <c r="I46"/>
  <c r="H46"/>
  <c r="G46"/>
  <c r="G79" s="1"/>
  <c r="F46"/>
  <c r="E46"/>
  <c r="D46"/>
  <c r="C46"/>
  <c r="E79" i="14" l="1"/>
  <c r="K99"/>
  <c r="E99"/>
  <c r="K68" i="11"/>
  <c r="K101" s="1"/>
  <c r="J68"/>
  <c r="I68"/>
  <c r="H68"/>
  <c r="O56" i="10"/>
  <c r="G68" i="11"/>
  <c r="O66" i="10"/>
  <c r="F68" i="11"/>
  <c r="O46" i="10"/>
  <c r="O72" i="14"/>
  <c r="O83"/>
  <c r="O92"/>
  <c r="O94"/>
  <c r="O73"/>
  <c r="O93"/>
  <c r="O98"/>
  <c r="P46"/>
  <c r="P66"/>
  <c r="O75"/>
  <c r="O77"/>
  <c r="O85"/>
  <c r="O87"/>
  <c r="O95"/>
  <c r="O97"/>
  <c r="O84" i="11"/>
  <c r="O75"/>
  <c r="O77"/>
  <c r="O85"/>
  <c r="O87"/>
  <c r="O95"/>
  <c r="O96"/>
  <c r="E68" i="10"/>
  <c r="C68"/>
  <c r="H68"/>
  <c r="J68"/>
  <c r="L68"/>
  <c r="N68"/>
  <c r="G68"/>
  <c r="I68"/>
  <c r="K68"/>
  <c r="M68"/>
  <c r="P59"/>
  <c r="P66" s="1"/>
  <c r="O68"/>
  <c r="P46"/>
  <c r="P56" i="14"/>
  <c r="D68"/>
  <c r="F68"/>
  <c r="H68"/>
  <c r="J68"/>
  <c r="L68"/>
  <c r="N68"/>
  <c r="C36"/>
  <c r="E36"/>
  <c r="G36"/>
  <c r="I36"/>
  <c r="K36"/>
  <c r="M36"/>
  <c r="O7"/>
  <c r="O9"/>
  <c r="D14"/>
  <c r="D79" s="1"/>
  <c r="F14"/>
  <c r="H14"/>
  <c r="J14"/>
  <c r="L14"/>
  <c r="N14"/>
  <c r="O17"/>
  <c r="O23"/>
  <c r="D24"/>
  <c r="D89" s="1"/>
  <c r="F24"/>
  <c r="H24"/>
  <c r="J24"/>
  <c r="L24"/>
  <c r="N24"/>
  <c r="O27"/>
  <c r="O29"/>
  <c r="O33"/>
  <c r="D34"/>
  <c r="D99" s="1"/>
  <c r="F34"/>
  <c r="H34"/>
  <c r="J34"/>
  <c r="L34"/>
  <c r="N34"/>
  <c r="C68"/>
  <c r="E68"/>
  <c r="G68"/>
  <c r="I68"/>
  <c r="K68"/>
  <c r="M68"/>
  <c r="O68"/>
  <c r="O8"/>
  <c r="O18"/>
  <c r="O20"/>
  <c r="O22"/>
  <c r="O28"/>
  <c r="E68" i="11"/>
  <c r="D68"/>
  <c r="C68"/>
  <c r="F68" i="10"/>
  <c r="P56"/>
  <c r="O66" i="11"/>
  <c r="O56"/>
  <c r="O46"/>
  <c r="N101" i="14" l="1"/>
  <c r="F101"/>
  <c r="M101"/>
  <c r="L101"/>
  <c r="J101"/>
  <c r="K101"/>
  <c r="K101" i="10"/>
  <c r="I101" i="14"/>
  <c r="H101"/>
  <c r="G101"/>
  <c r="G101" i="11"/>
  <c r="P68" i="14"/>
  <c r="O89"/>
  <c r="C101"/>
  <c r="E101"/>
  <c r="O99"/>
  <c r="O79"/>
  <c r="P68" i="10"/>
  <c r="N36" i="14"/>
  <c r="J36"/>
  <c r="F36"/>
  <c r="O34"/>
  <c r="O24"/>
  <c r="O14"/>
  <c r="L36"/>
  <c r="H36"/>
  <c r="D36"/>
  <c r="D101" s="1"/>
  <c r="O68" i="11"/>
  <c r="N4" i="12"/>
  <c r="M4"/>
  <c r="L4"/>
  <c r="K4"/>
  <c r="J4"/>
  <c r="I4"/>
  <c r="H4"/>
  <c r="G4"/>
  <c r="F4"/>
  <c r="E4"/>
  <c r="D4"/>
  <c r="C4"/>
  <c r="O9"/>
  <c r="O5"/>
  <c r="O6" s="1"/>
  <c r="N33" i="11"/>
  <c r="M33"/>
  <c r="L33"/>
  <c r="K33"/>
  <c r="J33"/>
  <c r="I33"/>
  <c r="H33"/>
  <c r="G33"/>
  <c r="F33"/>
  <c r="E33"/>
  <c r="E98" s="1"/>
  <c r="D33"/>
  <c r="D98" s="1"/>
  <c r="N29"/>
  <c r="M29"/>
  <c r="L29"/>
  <c r="K29"/>
  <c r="J29"/>
  <c r="I29"/>
  <c r="H29"/>
  <c r="G29"/>
  <c r="F29"/>
  <c r="E29"/>
  <c r="E94" s="1"/>
  <c r="D29"/>
  <c r="D94" s="1"/>
  <c r="N28"/>
  <c r="M28"/>
  <c r="L28"/>
  <c r="K28"/>
  <c r="J28"/>
  <c r="I28"/>
  <c r="H28"/>
  <c r="G28"/>
  <c r="F28"/>
  <c r="E28"/>
  <c r="E93" s="1"/>
  <c r="D28"/>
  <c r="D93" s="1"/>
  <c r="N27"/>
  <c r="M27"/>
  <c r="L27"/>
  <c r="K27"/>
  <c r="J27"/>
  <c r="I27"/>
  <c r="H27"/>
  <c r="G27"/>
  <c r="F27"/>
  <c r="E27"/>
  <c r="E92" s="1"/>
  <c r="D27"/>
  <c r="D92" s="1"/>
  <c r="C33"/>
  <c r="C98" s="1"/>
  <c r="O98" s="1"/>
  <c r="C29"/>
  <c r="C94" s="1"/>
  <c r="C28"/>
  <c r="C93" s="1"/>
  <c r="C27"/>
  <c r="C92" s="1"/>
  <c r="N23"/>
  <c r="M23"/>
  <c r="L23"/>
  <c r="K23"/>
  <c r="J23"/>
  <c r="I23"/>
  <c r="H23"/>
  <c r="G23"/>
  <c r="F23"/>
  <c r="E23"/>
  <c r="E88" s="1"/>
  <c r="D23"/>
  <c r="D88" s="1"/>
  <c r="N18"/>
  <c r="M18"/>
  <c r="L18"/>
  <c r="K18"/>
  <c r="J18"/>
  <c r="I18"/>
  <c r="H18"/>
  <c r="G18"/>
  <c r="F18"/>
  <c r="E18"/>
  <c r="E83" s="1"/>
  <c r="D18"/>
  <c r="D83" s="1"/>
  <c r="N17"/>
  <c r="M17"/>
  <c r="L17"/>
  <c r="K17"/>
  <c r="J17"/>
  <c r="I17"/>
  <c r="H17"/>
  <c r="G17"/>
  <c r="F17"/>
  <c r="E17"/>
  <c r="E82" s="1"/>
  <c r="D17"/>
  <c r="D82" s="1"/>
  <c r="O82" s="1"/>
  <c r="C23"/>
  <c r="C88" s="1"/>
  <c r="C18"/>
  <c r="C83" s="1"/>
  <c r="C17"/>
  <c r="C82" s="1"/>
  <c r="N9"/>
  <c r="M9"/>
  <c r="L9"/>
  <c r="K9"/>
  <c r="J9"/>
  <c r="I9"/>
  <c r="H9"/>
  <c r="G9"/>
  <c r="F9"/>
  <c r="E9"/>
  <c r="E74" s="1"/>
  <c r="D9"/>
  <c r="D74" s="1"/>
  <c r="N8"/>
  <c r="M8"/>
  <c r="L8"/>
  <c r="K8"/>
  <c r="J8"/>
  <c r="I8"/>
  <c r="H8"/>
  <c r="G8"/>
  <c r="F8"/>
  <c r="E8"/>
  <c r="E73" s="1"/>
  <c r="D8"/>
  <c r="D73" s="1"/>
  <c r="N7"/>
  <c r="M7"/>
  <c r="L7"/>
  <c r="K7"/>
  <c r="J7"/>
  <c r="I7"/>
  <c r="H7"/>
  <c r="G7"/>
  <c r="F7"/>
  <c r="E7"/>
  <c r="E72" s="1"/>
  <c r="D7"/>
  <c r="D72" s="1"/>
  <c r="O72" s="1"/>
  <c r="C9"/>
  <c r="C74" s="1"/>
  <c r="C8"/>
  <c r="C73" s="1"/>
  <c r="C7"/>
  <c r="C72" s="1"/>
  <c r="N6" i="12"/>
  <c r="M6"/>
  <c r="L6"/>
  <c r="K6"/>
  <c r="J6"/>
  <c r="I6"/>
  <c r="H6"/>
  <c r="G6"/>
  <c r="F6"/>
  <c r="E6"/>
  <c r="D6"/>
  <c r="C6"/>
  <c r="O33" i="11"/>
  <c r="O32"/>
  <c r="O31"/>
  <c r="O30"/>
  <c r="O29"/>
  <c r="O28"/>
  <c r="N34"/>
  <c r="M34"/>
  <c r="L34"/>
  <c r="K34"/>
  <c r="J34"/>
  <c r="I34"/>
  <c r="H34"/>
  <c r="G34"/>
  <c r="F34"/>
  <c r="E34"/>
  <c r="E99" s="1"/>
  <c r="D34"/>
  <c r="D99" s="1"/>
  <c r="C34"/>
  <c r="C99" s="1"/>
  <c r="O23"/>
  <c r="O22"/>
  <c r="O21"/>
  <c r="O20"/>
  <c r="O19"/>
  <c r="O18"/>
  <c r="N24"/>
  <c r="M24"/>
  <c r="L24"/>
  <c r="K24"/>
  <c r="J24"/>
  <c r="I24"/>
  <c r="H24"/>
  <c r="G24"/>
  <c r="F24"/>
  <c r="E24"/>
  <c r="E89" s="1"/>
  <c r="D24"/>
  <c r="D89" s="1"/>
  <c r="C24"/>
  <c r="C89" s="1"/>
  <c r="O13"/>
  <c r="O12"/>
  <c r="O11"/>
  <c r="O10"/>
  <c r="O8"/>
  <c r="N14"/>
  <c r="M14"/>
  <c r="L14"/>
  <c r="K14"/>
  <c r="J14"/>
  <c r="I14"/>
  <c r="H14"/>
  <c r="G14"/>
  <c r="F14"/>
  <c r="E14"/>
  <c r="E79" s="1"/>
  <c r="D14"/>
  <c r="D79" s="1"/>
  <c r="O101" i="14" l="1"/>
  <c r="O74" i="11"/>
  <c r="O88"/>
  <c r="O93"/>
  <c r="O73"/>
  <c r="O83"/>
  <c r="O92"/>
  <c r="O94"/>
  <c r="O36" i="14"/>
  <c r="O9" i="11"/>
  <c r="C14"/>
  <c r="C79" s="1"/>
  <c r="C36"/>
  <c r="C101" s="1"/>
  <c r="E36"/>
  <c r="E101" s="1"/>
  <c r="G36"/>
  <c r="I36"/>
  <c r="K36"/>
  <c r="M36"/>
  <c r="D36"/>
  <c r="D101" s="1"/>
  <c r="F36"/>
  <c r="H36"/>
  <c r="J36"/>
  <c r="L36"/>
  <c r="N36"/>
  <c r="O7"/>
  <c r="O14" s="1"/>
  <c r="O17"/>
  <c r="O24" s="1"/>
  <c r="O27"/>
  <c r="O34" s="1"/>
  <c r="O99" l="1"/>
  <c r="O79"/>
  <c r="O89"/>
  <c r="O36"/>
  <c r="O101" l="1"/>
  <c r="N7" i="10" l="1"/>
  <c r="N22"/>
  <c r="N24" s="1"/>
  <c r="N33"/>
  <c r="M33"/>
  <c r="L33"/>
  <c r="K33"/>
  <c r="J33"/>
  <c r="I33"/>
  <c r="H33"/>
  <c r="G33"/>
  <c r="F33"/>
  <c r="E33"/>
  <c r="E98" s="1"/>
  <c r="D33"/>
  <c r="D98" s="1"/>
  <c r="N29"/>
  <c r="M29"/>
  <c r="L29"/>
  <c r="K29"/>
  <c r="J29"/>
  <c r="I29"/>
  <c r="H29"/>
  <c r="G29"/>
  <c r="F29"/>
  <c r="E29"/>
  <c r="E94" s="1"/>
  <c r="D29"/>
  <c r="D94" s="1"/>
  <c r="C29"/>
  <c r="C94" s="1"/>
  <c r="N28"/>
  <c r="N34" s="1"/>
  <c r="M28"/>
  <c r="L28"/>
  <c r="L34" s="1"/>
  <c r="K28"/>
  <c r="J28"/>
  <c r="J34" s="1"/>
  <c r="I28"/>
  <c r="H28"/>
  <c r="H34" s="1"/>
  <c r="G28"/>
  <c r="F28"/>
  <c r="F34" s="1"/>
  <c r="E28"/>
  <c r="E93" s="1"/>
  <c r="D28"/>
  <c r="D93" s="1"/>
  <c r="C28"/>
  <c r="C93" s="1"/>
  <c r="O32"/>
  <c r="O31"/>
  <c r="O30"/>
  <c r="O28"/>
  <c r="N27"/>
  <c r="M27"/>
  <c r="L27"/>
  <c r="K27"/>
  <c r="J27"/>
  <c r="I27"/>
  <c r="H27"/>
  <c r="G27"/>
  <c r="F27"/>
  <c r="E27"/>
  <c r="E92" s="1"/>
  <c r="D27"/>
  <c r="D92" s="1"/>
  <c r="C27"/>
  <c r="C33"/>
  <c r="N23"/>
  <c r="M23"/>
  <c r="L23"/>
  <c r="K23"/>
  <c r="J23"/>
  <c r="I23"/>
  <c r="H23"/>
  <c r="G23"/>
  <c r="F23"/>
  <c r="E23"/>
  <c r="E88" s="1"/>
  <c r="D23"/>
  <c r="D88" s="1"/>
  <c r="M22"/>
  <c r="L22"/>
  <c r="L24" s="1"/>
  <c r="K22"/>
  <c r="J22"/>
  <c r="J24" s="1"/>
  <c r="I22"/>
  <c r="H22"/>
  <c r="H24" s="1"/>
  <c r="G22"/>
  <c r="F22"/>
  <c r="F24" s="1"/>
  <c r="E22"/>
  <c r="E87" s="1"/>
  <c r="D22"/>
  <c r="D87" s="1"/>
  <c r="C23"/>
  <c r="C88" s="1"/>
  <c r="C22"/>
  <c r="C87" s="1"/>
  <c r="O87" s="1"/>
  <c r="N18"/>
  <c r="M18"/>
  <c r="L18"/>
  <c r="K18"/>
  <c r="J18"/>
  <c r="I18"/>
  <c r="H18"/>
  <c r="G18"/>
  <c r="F18"/>
  <c r="E18"/>
  <c r="E83" s="1"/>
  <c r="D18"/>
  <c r="D83" s="1"/>
  <c r="C18"/>
  <c r="C83" s="1"/>
  <c r="O83" s="1"/>
  <c r="O22"/>
  <c r="O21"/>
  <c r="O20"/>
  <c r="O19"/>
  <c r="O18"/>
  <c r="N17"/>
  <c r="M17"/>
  <c r="L17"/>
  <c r="K17"/>
  <c r="J17"/>
  <c r="I17"/>
  <c r="H17"/>
  <c r="G17"/>
  <c r="F17"/>
  <c r="E17"/>
  <c r="E82" s="1"/>
  <c r="D17"/>
  <c r="D82" s="1"/>
  <c r="C17"/>
  <c r="M34"/>
  <c r="K34"/>
  <c r="I34"/>
  <c r="G34"/>
  <c r="E34"/>
  <c r="E99" s="1"/>
  <c r="C34"/>
  <c r="C99" s="1"/>
  <c r="M24"/>
  <c r="K24"/>
  <c r="I24"/>
  <c r="G24"/>
  <c r="E24"/>
  <c r="E89" s="1"/>
  <c r="C24"/>
  <c r="C89" s="1"/>
  <c r="N9"/>
  <c r="M9"/>
  <c r="L9"/>
  <c r="K9"/>
  <c r="J9"/>
  <c r="I9"/>
  <c r="H9"/>
  <c r="G9"/>
  <c r="F9"/>
  <c r="E9"/>
  <c r="E74" s="1"/>
  <c r="D9"/>
  <c r="D74" s="1"/>
  <c r="C9"/>
  <c r="C74" s="1"/>
  <c r="O74" s="1"/>
  <c r="O13"/>
  <c r="O12"/>
  <c r="O11"/>
  <c r="O10"/>
  <c r="N8"/>
  <c r="N14" s="1"/>
  <c r="M8"/>
  <c r="L8"/>
  <c r="K8"/>
  <c r="J8"/>
  <c r="I8"/>
  <c r="H8"/>
  <c r="G8"/>
  <c r="F8"/>
  <c r="E8"/>
  <c r="E73" s="1"/>
  <c r="D8"/>
  <c r="D73" s="1"/>
  <c r="C8"/>
  <c r="C73" s="1"/>
  <c r="M7"/>
  <c r="M14" s="1"/>
  <c r="L7"/>
  <c r="K7"/>
  <c r="K14" s="1"/>
  <c r="J7"/>
  <c r="I7"/>
  <c r="I14" s="1"/>
  <c r="H7"/>
  <c r="G7"/>
  <c r="G14" s="1"/>
  <c r="F7"/>
  <c r="E7"/>
  <c r="D7"/>
  <c r="C7"/>
  <c r="C14" l="1"/>
  <c r="C79" s="1"/>
  <c r="C72"/>
  <c r="E14"/>
  <c r="E79" s="1"/>
  <c r="E72"/>
  <c r="O17"/>
  <c r="C82"/>
  <c r="O82" s="1"/>
  <c r="O27"/>
  <c r="C92"/>
  <c r="O92" s="1"/>
  <c r="D14"/>
  <c r="D79" s="1"/>
  <c r="D72"/>
  <c r="O33"/>
  <c r="C98"/>
  <c r="O98" s="1"/>
  <c r="O8"/>
  <c r="F14"/>
  <c r="H14"/>
  <c r="J14"/>
  <c r="L14"/>
  <c r="L36" s="1"/>
  <c r="O73"/>
  <c r="O9"/>
  <c r="D24"/>
  <c r="D89" s="1"/>
  <c r="D34"/>
  <c r="D99" s="1"/>
  <c r="O23"/>
  <c r="O88"/>
  <c r="O29"/>
  <c r="O93"/>
  <c r="O94"/>
  <c r="O7"/>
  <c r="O24"/>
  <c r="H36"/>
  <c r="O14"/>
  <c r="G36"/>
  <c r="I36"/>
  <c r="K36"/>
  <c r="B5" i="21" s="1"/>
  <c r="B6" s="1"/>
  <c r="M36" i="10"/>
  <c r="F36"/>
  <c r="J36"/>
  <c r="N36"/>
  <c r="C36"/>
  <c r="C101" l="1"/>
  <c r="O34"/>
  <c r="O36" s="1"/>
  <c r="E36"/>
  <c r="D36"/>
  <c r="O99"/>
  <c r="O89"/>
  <c r="O72"/>
  <c r="O79" s="1"/>
  <c r="D101" l="1"/>
  <c r="E101"/>
  <c r="O101"/>
  <c r="B2" i="24" l="1"/>
  <c r="B8" s="1"/>
  <c r="B14" s="1"/>
  <c r="B2" i="23" l="1"/>
  <c r="B8" s="1"/>
  <c r="B14" s="1"/>
  <c r="B2" i="21"/>
  <c r="B8" s="1"/>
  <c r="B14" s="1"/>
  <c r="O10" i="12" l="1"/>
  <c r="M8"/>
  <c r="M10" s="1"/>
  <c r="K8"/>
  <c r="K10" s="1"/>
  <c r="I8"/>
  <c r="I10" s="1"/>
  <c r="G8"/>
  <c r="G10" s="1"/>
  <c r="E8"/>
  <c r="E10" s="1"/>
  <c r="N8"/>
  <c r="N10" s="1"/>
  <c r="L8"/>
  <c r="L10" s="1"/>
  <c r="J8"/>
  <c r="J10" s="1"/>
  <c r="H8"/>
  <c r="H10" s="1"/>
  <c r="F8"/>
  <c r="F10" s="1"/>
  <c r="C8"/>
  <c r="C10" s="1"/>
  <c r="D8"/>
  <c r="D10" s="1"/>
</calcChain>
</file>

<file path=xl/comments1.xml><?xml version="1.0" encoding="utf-8"?>
<comments xmlns="http://schemas.openxmlformats.org/spreadsheetml/2006/main">
  <authors>
    <author>Energy Section</author>
  </authors>
  <commentList>
    <comment ref="B11" authorId="0">
      <text>
        <r>
          <rPr>
            <b/>
            <sz val="8"/>
            <color indexed="81"/>
            <rFont val="Tahoma"/>
            <family val="2"/>
          </rPr>
          <t>Energy Section:</t>
        </r>
        <r>
          <rPr>
            <sz val="8"/>
            <color indexed="81"/>
            <rFont val="Tahoma"/>
            <family val="2"/>
          </rPr>
          <t xml:space="preserve">
from sheet "WA(E)-Budget Exp"
</t>
        </r>
      </text>
    </comment>
  </commentList>
</comments>
</file>

<file path=xl/sharedStrings.xml><?xml version="1.0" encoding="utf-8"?>
<sst xmlns="http://schemas.openxmlformats.org/spreadsheetml/2006/main" count="829" uniqueCount="185">
  <si>
    <t>Jan</t>
  </si>
  <si>
    <t>Feb</t>
  </si>
  <si>
    <t>Mar</t>
  </si>
  <si>
    <t>Apr</t>
  </si>
  <si>
    <t>May</t>
  </si>
  <si>
    <t>Jun</t>
  </si>
  <si>
    <t>Jul</t>
  </si>
  <si>
    <t>Aug</t>
  </si>
  <si>
    <t>Sep</t>
  </si>
  <si>
    <t>Oct</t>
  </si>
  <si>
    <t>Nov</t>
  </si>
  <si>
    <t>Dec</t>
  </si>
  <si>
    <t xml:space="preserve">Washington Electric Schedule 91 </t>
  </si>
  <si>
    <t>Tariff Rider Balance</t>
  </si>
  <si>
    <t>Forecasted tariff rider collections</t>
  </si>
  <si>
    <t>Actual tariff rider collections</t>
  </si>
  <si>
    <t>Favorable (Unfavorble) Variance</t>
  </si>
  <si>
    <t>Actual expenditures</t>
  </si>
  <si>
    <t>Budgeted expenditures</t>
  </si>
  <si>
    <t>Favorable (Unfavorable) Variance</t>
  </si>
  <si>
    <t>[c]</t>
  </si>
  <si>
    <t>[b]</t>
  </si>
  <si>
    <t>[a]</t>
  </si>
  <si>
    <t>Favorable (Unfavorable) Net monthly activity ([b]-[c])</t>
  </si>
  <si>
    <t>[d]</t>
  </si>
  <si>
    <t>Tariff Rider Ending Balance ([a]-[d])</t>
  </si>
  <si>
    <t>Variance Explanations:</t>
  </si>
  <si>
    <t xml:space="preserve">Idaho Electric Schedule 91 </t>
  </si>
  <si>
    <t>Jan - Under collections of nearly $11k in tariff rider due to warmer than budgeted weather.  Actual expenditures were less than budget by $16k.  Reduced the underfunded tariff rider balance by $251k.</t>
  </si>
  <si>
    <t>Feb - Under collections of $11k in tariff rider due to warmer than budgeted weather.  Actual non-incentive expenditures exceed budget by $15k.  Underfunded tariff rider balance reduced by $137k.</t>
  </si>
  <si>
    <t>Projected Tariff Rider Balance</t>
  </si>
  <si>
    <t>Total 2010</t>
  </si>
  <si>
    <t>Total 2011</t>
  </si>
  <si>
    <t>Projected and Actual kWh</t>
  </si>
  <si>
    <t>Non-residential</t>
  </si>
  <si>
    <t>Residential</t>
  </si>
  <si>
    <t>Limited Income</t>
  </si>
  <si>
    <t>Demand Response</t>
  </si>
  <si>
    <t>Distributed Gen</t>
  </si>
  <si>
    <t>Regional</t>
  </si>
  <si>
    <t>Common</t>
  </si>
  <si>
    <t>Total Budget-Direct Customer Incentives</t>
  </si>
  <si>
    <t>Total Actual-Direct Customer Incentives</t>
  </si>
  <si>
    <t>Total Actual-Labor Funding</t>
  </si>
  <si>
    <t>Budget-Actual Variance</t>
  </si>
  <si>
    <t>Total Variance</t>
  </si>
  <si>
    <t>I-Direct Customer Incentives:</t>
  </si>
  <si>
    <t>DSM Functional Categories</t>
  </si>
  <si>
    <t>Total Budget-Labor Funding</t>
  </si>
  <si>
    <t>Total Budget-Non-labor, Non-incentive</t>
  </si>
  <si>
    <t>kWh Savings-Forecasted</t>
  </si>
  <si>
    <t>kWh Savings-Actual</t>
  </si>
  <si>
    <t>Variance (%)</t>
  </si>
  <si>
    <t>Jan - Under collections of $96k in tariff rider due to heating degree days being 19% below historical thereby causing retail consumption to be down by 13%.  In spite of the less than forecasted consumption, the Washington electric tariff rider balance was reduced by $533k.</t>
  </si>
  <si>
    <t>Feb - Under collection of $91k in tariff rider due to heating degree days being 17% warmer than historical normal resulting in 8% lower consumption as compared with forecast.  In spite of less than forecasted consumption (less tariff rider collections), tariff rider balance was reduced by $608k.</t>
  </si>
  <si>
    <t>Therm Savings-Actual</t>
  </si>
  <si>
    <t>Therm Savings-Forecasted</t>
  </si>
  <si>
    <t xml:space="preserve">Washington Natural Gas Schedule 191 </t>
  </si>
  <si>
    <t>Local Savings</t>
  </si>
  <si>
    <t>Notes:</t>
  </si>
  <si>
    <t xml:space="preserve">Idaho Natural Gas Schedule 191 </t>
  </si>
  <si>
    <t>Variance explanations:</t>
  </si>
  <si>
    <t>Jan - 79% of the unfavorable variance is due to the payment of nearly $72k more in incentives than budgeted.  Remainder of unfavorable variance was attributable spending of more implementation costs than budgeted.</t>
  </si>
  <si>
    <t>Feb - 91% of the unfavorable variance is due to the payment of over $169k more in incentives than budgeted.  Remainder of unfavorable variance was attributable spending of more implementation costs than budgeted.</t>
  </si>
  <si>
    <t>Feb - in spite of paying more than $69k in incentives as compared with budget, we still had a favorable variance of $173k.</t>
  </si>
  <si>
    <t>Mar - 51% of unfavorable variance was due to paying more than $226k in incentives as compared with budget.  Remainder of the $220k unfavorable variance is due to implementation expenditures that didn't occur in February as budgeted.</t>
  </si>
  <si>
    <t>Mar - 90% of the unfavorable variance is due to the payment of over $108k more in incentives than budgeted.  Remainder of unfavorable variance was attributable spending of more implementation costs than budgeted.</t>
  </si>
  <si>
    <t>Jan - $16k favorable variance due to less incentives processed as compared with budget.</t>
  </si>
  <si>
    <t>1) Some items such as labor charged to a common WA-ID project when allocated to the individual states loses it's "labor" distinction and appears as a general implementation expense.  This explains the variances between non-labor/non-incentive and labor.</t>
  </si>
  <si>
    <t>2) DSM expenditures are budgeted on a annual basis and spread monthly on an equal basis.  This timing difference between budget vs actual could attribute to some variances</t>
  </si>
  <si>
    <t>1st Qtr</t>
  </si>
  <si>
    <t>2nd Qtr</t>
  </si>
  <si>
    <t>3rd Qtr</t>
  </si>
  <si>
    <t>4th Qtr</t>
  </si>
  <si>
    <t>Jan - Under collections of $86k in tariff rider due to heating degree days being 19% below historical thereby causing retail consumption to be down by 13%.  In spite of the less than forecasted consumption, the Washington electric tariff rider balance was reduced by $378k.</t>
  </si>
  <si>
    <t>Feb - Under collection of $106k in tariff rider due to heating degree days being 17% warmer than historical normal resulting in 8% lower consumption as compared with forecast.  In spite of less than forecasted consumption (less tariff rider collections), tariff rider balance was reduced by $68k.</t>
  </si>
  <si>
    <t>Jan - $77k unfavorable variance due to paying $128k more in incentives than budgeted.</t>
  </si>
  <si>
    <t xml:space="preserve">Mar - in spite of paying $108k more than budgeted in incentives, but reduced the tariff rider balance by $101k.  </t>
  </si>
  <si>
    <t>Jan - $347k unfavorable variance due to paying $364k more in incentives than budgeted.</t>
  </si>
  <si>
    <t>Feb - $194k favorable variance mostly due to paying less incentives than budgeted (January's large amount of incentives probably causing February to be lower).</t>
  </si>
  <si>
    <t>Mar - $45k unfavorable variance due to the payment of $86k more in incentives than budgeted.</t>
  </si>
  <si>
    <t>Jan - tariff rider balance increased by $48k due to the payment of $364k more in incentives than budgeted.</t>
  </si>
  <si>
    <t>Feb - reduced the tariff rider balance by $408k  mostly due to the processing of less incentives than budgeted (higher January month most likely contributed to the lower February processing of incentives).</t>
  </si>
  <si>
    <t>Feb - $7k unfavorable variance due to spending more on implementation costs as compared with budget.</t>
  </si>
  <si>
    <t>DSM Budget-Direct Customer Incentives:</t>
  </si>
  <si>
    <t>DSM Budget Non-Labor, Non-Incentive Funding:</t>
  </si>
  <si>
    <t>DSM Budget-Labor Funding:</t>
  </si>
  <si>
    <t>2010 Aggregate DSM Budget</t>
  </si>
  <si>
    <t>DSM Actual-Direct Customer Incentives:</t>
  </si>
  <si>
    <t>DSM Actual-Non-Labor, Non-Incentive Funding:</t>
  </si>
  <si>
    <t>DSM Actual-Non-Labor, Non-Incentive Funding</t>
  </si>
  <si>
    <t>DSM Actual-Labor Funding:</t>
  </si>
  <si>
    <t>2010 Aggregate DSM Actual</t>
  </si>
  <si>
    <t>Direct Customer Incentives:</t>
  </si>
  <si>
    <t>Non-Labor, Non-Incentive Funding:</t>
  </si>
  <si>
    <t>DSM Labor Funding:</t>
  </si>
  <si>
    <t>[a]+[b]+[c]</t>
  </si>
  <si>
    <t>[e]</t>
  </si>
  <si>
    <t>[f]</t>
  </si>
  <si>
    <t>[d]+[e]+[f]</t>
  </si>
  <si>
    <t>[a]-[d]</t>
  </si>
  <si>
    <t>[b]-[e]</t>
  </si>
  <si>
    <t>[c]-[f]</t>
  </si>
  <si>
    <t>2010 IRP electric target</t>
  </si>
  <si>
    <t>2010 business plan electric target</t>
  </si>
  <si>
    <t>2010 IRP natural gas target</t>
  </si>
  <si>
    <t>kWh</t>
  </si>
  <si>
    <t>therms</t>
  </si>
  <si>
    <t>2010 business plan natural gas target</t>
  </si>
  <si>
    <t>2010 IRP electric target (WA)</t>
  </si>
  <si>
    <t>2010 b-plan electric target (WA)</t>
  </si>
  <si>
    <t>2010 IRP natural gas target (WA)</t>
  </si>
  <si>
    <t>2010 b-plan natural gas target (WA)</t>
  </si>
  <si>
    <t>regional prg</t>
  </si>
  <si>
    <t>total</t>
  </si>
  <si>
    <t>local prg</t>
  </si>
  <si>
    <t>2010 IRP electric target (ID)</t>
  </si>
  <si>
    <t>2010 b-plan electric target (ID)</t>
  </si>
  <si>
    <t>2010 IRP natural gas target (ID)</t>
  </si>
  <si>
    <t>2010 b-plan natural gas target (ID)</t>
  </si>
  <si>
    <t>2010 I-937 electric target (WA) 6th Plan</t>
  </si>
  <si>
    <t>E to G Conversions</t>
  </si>
  <si>
    <t xml:space="preserve">2010 I-937 electric target (WA) </t>
  </si>
  <si>
    <t>ytd local savings</t>
  </si>
  <si>
    <t>Pct ach'd as compared with local targets</t>
  </si>
  <si>
    <t>Prograss toward various targets:</t>
  </si>
  <si>
    <t>Mar - Under collection of $65k in tariff rider due to heating degree days being 5% less than 30 year normal, 18% less for ytd.  Tariff rider balance increased by $83k due to the timing of February expenditures occuring in March.</t>
  </si>
  <si>
    <t>Mar - reduced tariff rider underfunded balance by $110k, due to processing $86k less incentives as compared with budget and heating degree days being 5% less than 30 year normal (18% less ytd).</t>
  </si>
  <si>
    <t>Mar - Under collections of $4k in tariff rider due to heating degree days being 5% less than 30 year normal (14% less ytd).  Actual expenditures were less than budget by $44k.  Underfunded tariff rider balance reduced by $142k.</t>
  </si>
  <si>
    <t>Apr - 88% of the unfavorable variance is due to the payment of nearly $19k more in incentives than budgeted.  Remainder of unfavorable variance was attributable spending of more implementation costs than budgeted.</t>
  </si>
  <si>
    <t>Apr - $194k favorable variance mostly due to the payment of less incentives than anticipated.</t>
  </si>
  <si>
    <t>Apr - $56k favorable variance mostly due to the processing of less incentives as compared with budget.</t>
  </si>
  <si>
    <t>Mar - $44k favorable variance mostly due to the processing of less incentives as compared with budget.</t>
  </si>
  <si>
    <t>Apr - Reduced the tariff rider balance by $131k.  Weather was 1% less than the 30 yr normal indicating that usage per customer was higher than budgeted.</t>
  </si>
  <si>
    <t>Apr - reduced the tariff rider balanc eby $90k.  Weather was 1% less than 30 yr normal and while consumption was lower than budgeted, tariff rider expenditures were less than collected, therefore, reducing the balance.</t>
  </si>
  <si>
    <t>Apr - reduced tariff rider underfunded balance by $352k, higher consumption than budgeted coupled with underspending as compared with budget.</t>
  </si>
  <si>
    <t>Apr - reduced the tariff rider balance by $122k due to collected being higher than budget coupled with underspending</t>
  </si>
  <si>
    <t>May - Reduced the tariff rider balance by nearly $724k.</t>
  </si>
  <si>
    <t>Apr - unfavorable variance was due to paying more than $470k in incentives as compared with budget.</t>
  </si>
  <si>
    <t xml:space="preserve">May - spent less in all categories incentives, labor and other than budgeted.  Favorable variance of more than $471k.  </t>
  </si>
  <si>
    <t xml:space="preserve">May - reduced the tariff rider balance by nearly $325k. </t>
  </si>
  <si>
    <t>May - favorable variance of nearly $189k mostly attributable to paying less in incentive than budgeted.</t>
  </si>
  <si>
    <t>May - nearly $30k favorable variance mostly due labor, probably more people taking one leave which goes against a liability account as opposed to the tariff rider.</t>
  </si>
  <si>
    <t>May - reduced the tariff rider underfunded balance by nearly $30k.</t>
  </si>
  <si>
    <t>Jun - Reduced the underfunded tariff rider balance by $222k.</t>
  </si>
  <si>
    <t>Jun - nearly $16k favorable variance due to one leave (less expense labor--goes against paid time off accrual) and less incentives paid as compared with budget.</t>
  </si>
  <si>
    <t xml:space="preserve">Jun - added $4k to the underfunded balance.  </t>
  </si>
  <si>
    <t>Jun - favorable variance of $36k due to one leave (less expense labor--goes against paid time off accrual) and less incentives paid as compared with budget.</t>
  </si>
  <si>
    <t>Jun - reduced the underfunded tariff rider balance by nearly $119k.</t>
  </si>
  <si>
    <t>May - reduced tariff rider underfunded balance by $166k.</t>
  </si>
  <si>
    <t>Jun - added $36k to the underfunded tariff rider balance.</t>
  </si>
  <si>
    <t>May - $28k favorable variance mostly due to the processing of less incentives as compared with budget.</t>
  </si>
  <si>
    <t>Jun - $20k favorable variance mostly due to one leave (less expense labor--goes against paid time off accrual) and less incentives paid as compared with budget.</t>
  </si>
  <si>
    <t>Jul - $102k unfavorable variance mostly due to more incentives processed as compared with budget; remainder due to more implementation cost than budgeted most likely due to increased program demand</t>
  </si>
  <si>
    <t xml:space="preserve">Jul - $32k favorable variance due to one leave (less labor expense --goes against paid time off accrual) </t>
  </si>
  <si>
    <t>Jun - $26k favorable variance due to one leave (less labor expense--goes against paid time off accrual) and less incentives paid as compared with budget.</t>
  </si>
  <si>
    <t>Jul - unfavorable variance of nearly $65k most of which is due to higher participation in programs than budgeted and the remainder is due the greater implementation expenditures than anticipated.</t>
  </si>
  <si>
    <t>Jul - $392k favorable variance due less participation in programs than anticipated as well as reduced labor expense associated with the observance of one leave (results in reduction of liability rather than booking of expense) and less implementation expenses associated with the lower demand in program participation</t>
  </si>
  <si>
    <t>Jul - Reduced the underfunded tariff rider balance by over $606k mostly due to less expenditures (mostly incentives)</t>
  </si>
  <si>
    <t>Jul - reduced the underfunded tariff rider balance by nearly $136k mostly due to incurring less expenditures than budgeted.</t>
  </si>
  <si>
    <t>Jul - added nearly $198k to the underfunded tariff rider balance due to incurring higher expenditures than budgeted.  Also, natural gas consumption tends to drop off during the summer months so less funding is collected during these months.</t>
  </si>
  <si>
    <t>Jul - added nearly $240k to the underfunded balance mostly due to higher expenditures than budgeted.  Also, natural gas consumption tends to drop off during the summer months, therefore there is less funding collected during these months.</t>
  </si>
  <si>
    <t>Aug - Includes $561,490 credit from Centralia environmental refund</t>
  </si>
  <si>
    <t xml:space="preserve">Aug - $23k positive variance due to employees taking one leave--expense goes against accrual rather than the tariff rider </t>
  </si>
  <si>
    <t>Aug - reduced the underfunded tariff rider balance by nearly $23k due to more HDD/CDD than budgeted and employees taking one (less expense than budgeted since it goes against an accrual vs the tariff rider)</t>
  </si>
  <si>
    <t>Aug - $170k favorable variance mostly attributable to processing of less incentives than budgeted.</t>
  </si>
  <si>
    <t>Aug - $64k favorable variance mostly attributable to employees taking one leave (reduce accrual rather than going against the tariff rider)</t>
  </si>
  <si>
    <t>Aug  - increased the underfunded tariff rider balance by nearly $63k since we incur more expense than collections due to seasonality of heating.</t>
  </si>
  <si>
    <t>Aug - reduced the underfunded tariff rider balance by nearly $210k mostly due to having less expenditures than collections.</t>
  </si>
  <si>
    <t>Current balance as of 8/31/10</t>
  </si>
  <si>
    <t>Forecasted funding to be collected Sep-Dec 2010</t>
  </si>
  <si>
    <t>Budgeted expenditures for Sep-Dec 2010</t>
  </si>
  <si>
    <t>Updated projection of 2010 year-end tariff rider balance</t>
  </si>
  <si>
    <t>Forecasted funding to be collected 2011</t>
  </si>
  <si>
    <t>Budgeted expenditures from 2011 Business Plan</t>
  </si>
  <si>
    <t>Projection of 2011 year-end tariff rider balance</t>
  </si>
  <si>
    <t>Sep - $87k unfavorable variance due to processing of more rebates than budgeted</t>
  </si>
  <si>
    <t>Sep - collected less funding than forecast due to HDD/CDD being less than forecast and expenditures were higher than budgeted due to processing of more incentives than budgeted</t>
  </si>
  <si>
    <t>Sep - $110k favorable variance mostly attributable to processing of less incentives than budgeted.</t>
  </si>
  <si>
    <t>Sep - increased the underfunded balance by nearly $240k due to HDD being 14% less than budgeted.</t>
  </si>
  <si>
    <t>Sep - nearly $96k favorable variance mostly attributable to processing less rebates than budgeted</t>
  </si>
  <si>
    <t>Sep - reduced the underfunded tariff rider balance by nearly $220k mostly due to the processing of less incentives than budgeted.</t>
  </si>
  <si>
    <t>Aug - $40k favorable variance attributable to the processing of less incentives than budgeted.</t>
  </si>
  <si>
    <t>Sep - $48k favorable variance attributable to the processing of less incentives than budgeted.</t>
  </si>
  <si>
    <t>Sep  - increased the underfunded tariff rider balance by nearly $61k partially due the collection of less funding than forecast</t>
  </si>
</sst>
</file>

<file path=xl/styles.xml><?xml version="1.0" encoding="utf-8"?>
<styleSheet xmlns="http://schemas.openxmlformats.org/spreadsheetml/2006/main">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21">
    <font>
      <sz val="11"/>
      <color theme="1"/>
      <name val="Calibri"/>
      <family val="2"/>
      <scheme val="minor"/>
    </font>
    <font>
      <sz val="11"/>
      <color theme="1"/>
      <name val="Calibri"/>
      <family val="2"/>
      <scheme val="minor"/>
    </font>
    <font>
      <sz val="11"/>
      <color rgb="FFFF0000"/>
      <name val="Calibri"/>
      <family val="2"/>
      <scheme val="minor"/>
    </font>
    <font>
      <sz val="11"/>
      <color theme="3" tint="0.39997558519241921"/>
      <name val="Calibri"/>
      <family val="2"/>
      <scheme val="minor"/>
    </font>
    <font>
      <sz val="8"/>
      <color indexed="81"/>
      <name val="Tahoma"/>
      <family val="2"/>
    </font>
    <font>
      <b/>
      <sz val="8"/>
      <color indexed="81"/>
      <name val="Tahoma"/>
      <family val="2"/>
    </font>
    <font>
      <b/>
      <sz val="11"/>
      <color rgb="FFFF0000"/>
      <name val="Calibri"/>
      <family val="2"/>
      <scheme val="minor"/>
    </font>
    <font>
      <b/>
      <sz val="11"/>
      <color theme="3" tint="0.39997558519241921"/>
      <name val="Calibri"/>
      <family val="2"/>
      <scheme val="minor"/>
    </font>
    <font>
      <b/>
      <sz val="11"/>
      <color rgb="FF00B050"/>
      <name val="Calibri"/>
      <family val="2"/>
      <scheme val="minor"/>
    </font>
    <font>
      <sz val="11"/>
      <color rgb="FF00B050"/>
      <name val="Calibri"/>
      <family val="2"/>
      <scheme val="minor"/>
    </font>
    <font>
      <sz val="9"/>
      <color theme="1"/>
      <name val="Calibri"/>
      <family val="2"/>
      <scheme val="minor"/>
    </font>
    <font>
      <sz val="9"/>
      <color rgb="FFFF0000"/>
      <name val="Calibri"/>
      <family val="2"/>
      <scheme val="minor"/>
    </font>
    <font>
      <b/>
      <sz val="9"/>
      <color theme="1"/>
      <name val="Calibri"/>
      <family val="2"/>
      <scheme val="minor"/>
    </font>
    <font>
      <b/>
      <sz val="11"/>
      <color theme="1"/>
      <name val="Calibri"/>
      <family val="2"/>
      <scheme val="minor"/>
    </font>
    <font>
      <sz val="11"/>
      <name val="Calibri"/>
      <family val="2"/>
      <scheme val="minor"/>
    </font>
    <font>
      <b/>
      <sz val="11"/>
      <name val="Calibri"/>
      <family val="2"/>
      <scheme val="minor"/>
    </font>
    <font>
      <b/>
      <u/>
      <sz val="11"/>
      <color theme="1"/>
      <name val="Calibri"/>
      <family val="2"/>
      <scheme val="minor"/>
    </font>
    <font>
      <sz val="9"/>
      <name val="Calibri"/>
      <family val="2"/>
      <scheme val="minor"/>
    </font>
    <font>
      <b/>
      <sz val="9"/>
      <name val="Calibri"/>
      <family val="2"/>
      <scheme val="minor"/>
    </font>
    <font>
      <b/>
      <u/>
      <sz val="11"/>
      <name val="Calibri"/>
      <family val="2"/>
      <scheme val="minor"/>
    </font>
    <font>
      <sz val="11"/>
      <color theme="4"/>
      <name val="Calibri"/>
      <family val="2"/>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right/>
      <top style="thin">
        <color indexed="64"/>
      </top>
      <bottom style="thin">
        <color indexed="64"/>
      </bottom>
      <diagonal/>
    </border>
    <border>
      <left/>
      <right/>
      <top/>
      <bottom style="double">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93">
    <xf numFmtId="0" fontId="0" fillId="0" borderId="0" xfId="0"/>
    <xf numFmtId="164" fontId="0" fillId="0" borderId="0" xfId="1" applyNumberFormat="1" applyFont="1"/>
    <xf numFmtId="164" fontId="0" fillId="0" borderId="0" xfId="1" applyNumberFormat="1" applyFont="1">
      <alignment readingOrder="1"/>
    </xf>
    <xf numFmtId="164" fontId="0" fillId="0" borderId="0" xfId="0" applyNumberFormat="1"/>
    <xf numFmtId="0" fontId="0" fillId="0" borderId="0" xfId="0" applyAlignment="1">
      <alignment wrapText="1"/>
    </xf>
    <xf numFmtId="0" fontId="2" fillId="0" borderId="0" xfId="0" applyFont="1"/>
    <xf numFmtId="0" fontId="3" fillId="0" borderId="0" xfId="0" applyFont="1"/>
    <xf numFmtId="0" fontId="0" fillId="0" borderId="0" xfId="0" applyFont="1"/>
    <xf numFmtId="0" fontId="2" fillId="0" borderId="0" xfId="0" applyFont="1" applyAlignment="1">
      <alignment horizontal="center"/>
    </xf>
    <xf numFmtId="0" fontId="6" fillId="0" borderId="0" xfId="0" applyFont="1"/>
    <xf numFmtId="0" fontId="7" fillId="0" borderId="0" xfId="0" applyFont="1"/>
    <xf numFmtId="0" fontId="8" fillId="0" borderId="0" xfId="0" applyFont="1"/>
    <xf numFmtId="0" fontId="9" fillId="0" borderId="0" xfId="0" applyFont="1"/>
    <xf numFmtId="0" fontId="10" fillId="0" borderId="0" xfId="0" applyFont="1"/>
    <xf numFmtId="0" fontId="11" fillId="0" borderId="0" xfId="0" applyFont="1" applyAlignment="1">
      <alignment horizontal="center"/>
    </xf>
    <xf numFmtId="164" fontId="10" fillId="0" borderId="0" xfId="0" applyNumberFormat="1" applyFont="1"/>
    <xf numFmtId="164" fontId="11" fillId="0" borderId="0" xfId="0" applyNumberFormat="1" applyFont="1"/>
    <xf numFmtId="0" fontId="10" fillId="0" borderId="0" xfId="0" applyFont="1" applyAlignment="1">
      <alignment horizontal="center"/>
    </xf>
    <xf numFmtId="164" fontId="10" fillId="0" borderId="0" xfId="1" applyNumberFormat="1" applyFont="1"/>
    <xf numFmtId="165" fontId="10" fillId="0" borderId="1" xfId="2" applyNumberFormat="1" applyFont="1" applyBorder="1"/>
    <xf numFmtId="165" fontId="10" fillId="0" borderId="0" xfId="2" applyNumberFormat="1" applyFont="1"/>
    <xf numFmtId="165" fontId="12" fillId="0" borderId="2" xfId="0" applyNumberFormat="1" applyFont="1" applyBorder="1"/>
    <xf numFmtId="164" fontId="0" fillId="0" borderId="1" xfId="0" applyNumberFormat="1" applyBorder="1"/>
    <xf numFmtId="164" fontId="0" fillId="0" borderId="1" xfId="1" applyNumberFormat="1" applyFont="1" applyBorder="1"/>
    <xf numFmtId="0" fontId="0" fillId="0" borderId="0" xfId="0" applyFont="1" applyAlignment="1">
      <alignment horizontal="center"/>
    </xf>
    <xf numFmtId="0" fontId="0" fillId="0" borderId="0" xfId="0" applyAlignment="1">
      <alignment horizontal="center"/>
    </xf>
    <xf numFmtId="10" fontId="0" fillId="0" borderId="1" xfId="3" applyNumberFormat="1" applyFont="1" applyBorder="1"/>
    <xf numFmtId="164" fontId="0" fillId="0" borderId="0" xfId="1" applyNumberFormat="1" applyFont="1" applyBorder="1"/>
    <xf numFmtId="164" fontId="7" fillId="0" borderId="0" xfId="1" applyNumberFormat="1" applyFont="1"/>
    <xf numFmtId="164" fontId="3" fillId="0" borderId="0" xfId="1" applyNumberFormat="1" applyFont="1"/>
    <xf numFmtId="164" fontId="6" fillId="0" borderId="0" xfId="1" applyNumberFormat="1" applyFont="1"/>
    <xf numFmtId="164" fontId="8" fillId="0" borderId="0" xfId="1" applyNumberFormat="1" applyFont="1"/>
    <xf numFmtId="164" fontId="9" fillId="0" borderId="0" xfId="1" applyNumberFormat="1" applyFont="1"/>
    <xf numFmtId="9" fontId="10" fillId="0" borderId="0" xfId="3" applyFont="1"/>
    <xf numFmtId="164" fontId="10" fillId="0" borderId="0" xfId="3" applyNumberFormat="1" applyFont="1"/>
    <xf numFmtId="165" fontId="10" fillId="0" borderId="0" xfId="2" applyNumberFormat="1" applyFont="1" applyAlignment="1">
      <alignment horizontal="center"/>
    </xf>
    <xf numFmtId="165" fontId="12" fillId="0" borderId="2" xfId="2" applyNumberFormat="1" applyFont="1" applyBorder="1"/>
    <xf numFmtId="0" fontId="13" fillId="0" borderId="0" xfId="0" applyFont="1"/>
    <xf numFmtId="0" fontId="14" fillId="0" borderId="0" xfId="0" applyFont="1"/>
    <xf numFmtId="0" fontId="15" fillId="0" borderId="0" xfId="0" applyFont="1"/>
    <xf numFmtId="0" fontId="14" fillId="0" borderId="0" xfId="0" applyFont="1" applyAlignment="1">
      <alignment horizontal="center"/>
    </xf>
    <xf numFmtId="165" fontId="14" fillId="0" borderId="0" xfId="2" applyNumberFormat="1" applyFont="1"/>
    <xf numFmtId="165" fontId="14" fillId="0" borderId="0" xfId="0" applyNumberFormat="1" applyFont="1"/>
    <xf numFmtId="164" fontId="14" fillId="0" borderId="0" xfId="1" applyNumberFormat="1" applyFont="1"/>
    <xf numFmtId="164" fontId="14" fillId="0" borderId="0" xfId="1" applyNumberFormat="1" applyFont="1">
      <alignment readingOrder="1"/>
    </xf>
    <xf numFmtId="164" fontId="14" fillId="0" borderId="0" xfId="0" applyNumberFormat="1" applyFont="1"/>
    <xf numFmtId="164" fontId="14" fillId="0" borderId="1" xfId="0" applyNumberFormat="1" applyFont="1" applyBorder="1"/>
    <xf numFmtId="164" fontId="14" fillId="0" borderId="1" xfId="1" applyNumberFormat="1" applyFont="1" applyBorder="1"/>
    <xf numFmtId="0" fontId="14" fillId="0" borderId="0" xfId="0" applyFont="1" applyAlignment="1">
      <alignment wrapText="1"/>
    </xf>
    <xf numFmtId="0" fontId="16" fillId="0" borderId="0" xfId="0" applyFont="1"/>
    <xf numFmtId="164" fontId="17" fillId="0" borderId="0" xfId="0" applyNumberFormat="1" applyFont="1"/>
    <xf numFmtId="165" fontId="17" fillId="0" borderId="1" xfId="2" applyNumberFormat="1" applyFont="1" applyBorder="1"/>
    <xf numFmtId="0" fontId="17" fillId="0" borderId="0" xfId="0" applyFont="1"/>
    <xf numFmtId="165" fontId="18" fillId="0" borderId="2" xfId="0" applyNumberFormat="1" applyFont="1" applyBorder="1"/>
    <xf numFmtId="164" fontId="17" fillId="0" borderId="0" xfId="1" applyNumberFormat="1" applyFont="1"/>
    <xf numFmtId="165" fontId="18" fillId="0" borderId="2" xfId="2" applyNumberFormat="1" applyFont="1" applyBorder="1"/>
    <xf numFmtId="165" fontId="17" fillId="0" borderId="0" xfId="2" applyNumberFormat="1" applyFont="1"/>
    <xf numFmtId="164" fontId="0" fillId="0" borderId="2" xfId="0" applyNumberFormat="1" applyBorder="1"/>
    <xf numFmtId="164" fontId="14" fillId="0" borderId="2" xfId="0" applyNumberFormat="1" applyFont="1" applyBorder="1"/>
    <xf numFmtId="0" fontId="19" fillId="0" borderId="0" xfId="0" applyFont="1"/>
    <xf numFmtId="165" fontId="18" fillId="0" borderId="0" xfId="2" applyNumberFormat="1" applyFont="1"/>
    <xf numFmtId="0" fontId="18" fillId="0" borderId="0" xfId="0" applyFont="1"/>
    <xf numFmtId="0" fontId="0" fillId="0" borderId="3" xfId="0" applyBorder="1"/>
    <xf numFmtId="0" fontId="0" fillId="0" borderId="4" xfId="0" applyBorder="1" applyAlignment="1">
      <alignment horizontal="center" wrapText="1"/>
    </xf>
    <xf numFmtId="0" fontId="0" fillId="0" borderId="5" xfId="0" applyBorder="1" applyAlignment="1">
      <alignment horizontal="center" wrapText="1"/>
    </xf>
    <xf numFmtId="0" fontId="0" fillId="0" borderId="6" xfId="0" applyBorder="1"/>
    <xf numFmtId="0" fontId="0" fillId="0" borderId="0" xfId="0" applyBorder="1"/>
    <xf numFmtId="9" fontId="0" fillId="0" borderId="7" xfId="3" applyFont="1" applyBorder="1"/>
    <xf numFmtId="0" fontId="0" fillId="0" borderId="6" xfId="0" applyFill="1" applyBorder="1"/>
    <xf numFmtId="164" fontId="0" fillId="0" borderId="0" xfId="1" applyNumberFormat="1" applyFont="1" applyFill="1" applyBorder="1"/>
    <xf numFmtId="0" fontId="0" fillId="0" borderId="0" xfId="0" applyFill="1" applyBorder="1"/>
    <xf numFmtId="9" fontId="0" fillId="0" borderId="7" xfId="3" applyFont="1" applyFill="1" applyBorder="1"/>
    <xf numFmtId="164" fontId="0" fillId="0" borderId="7" xfId="1" applyNumberFormat="1" applyFont="1" applyBorder="1"/>
    <xf numFmtId="0" fontId="0" fillId="0" borderId="8" xfId="0" applyBorder="1"/>
    <xf numFmtId="0" fontId="0" fillId="0" borderId="9" xfId="0" applyBorder="1"/>
    <xf numFmtId="164" fontId="0" fillId="0" borderId="9" xfId="1" applyNumberFormat="1" applyFont="1" applyBorder="1"/>
    <xf numFmtId="9" fontId="0" fillId="0" borderId="10" xfId="3" applyFont="1" applyBorder="1"/>
    <xf numFmtId="0" fontId="13" fillId="0" borderId="0" xfId="0" applyFont="1" applyAlignment="1">
      <alignment horizontal="left"/>
    </xf>
    <xf numFmtId="10" fontId="0" fillId="0" borderId="0" xfId="3" applyNumberFormat="1" applyFont="1" applyBorder="1"/>
    <xf numFmtId="0" fontId="0" fillId="0" borderId="0" xfId="0" applyAlignment="1">
      <alignment horizontal="left"/>
    </xf>
    <xf numFmtId="0" fontId="13" fillId="0" borderId="0" xfId="0" applyFont="1" applyAlignment="1">
      <alignment horizontal="left"/>
    </xf>
    <xf numFmtId="0" fontId="13" fillId="0" borderId="0" xfId="0" applyFont="1" applyAlignment="1">
      <alignment horizontal="left"/>
    </xf>
    <xf numFmtId="0" fontId="20" fillId="0" borderId="4" xfId="0" applyFont="1" applyBorder="1" applyAlignment="1">
      <alignment horizontal="center" wrapText="1"/>
    </xf>
    <xf numFmtId="164" fontId="20" fillId="0" borderId="0" xfId="1" applyNumberFormat="1" applyFont="1" applyBorder="1"/>
    <xf numFmtId="164" fontId="20" fillId="0" borderId="0" xfId="1" applyNumberFormat="1" applyFont="1" applyFill="1" applyBorder="1"/>
    <xf numFmtId="164" fontId="20" fillId="0" borderId="9" xfId="1" applyNumberFormat="1" applyFont="1" applyBorder="1"/>
    <xf numFmtId="0" fontId="13" fillId="0" borderId="0" xfId="0" applyFont="1" applyAlignment="1">
      <alignment horizontal="left"/>
    </xf>
    <xf numFmtId="164" fontId="0" fillId="0" borderId="11" xfId="1" applyNumberFormat="1" applyFont="1" applyBorder="1"/>
    <xf numFmtId="0" fontId="0" fillId="2" borderId="11" xfId="0" applyFill="1" applyBorder="1"/>
    <xf numFmtId="0" fontId="15" fillId="0" borderId="0" xfId="0" applyFont="1" applyAlignment="1">
      <alignment horizontal="left"/>
    </xf>
    <xf numFmtId="0" fontId="13" fillId="0" borderId="0" xfId="0" applyFont="1" applyAlignment="1">
      <alignment horizontal="left" wrapText="1"/>
    </xf>
    <xf numFmtId="164" fontId="0" fillId="0" borderId="0" xfId="1" applyNumberFormat="1" applyFont="1" applyAlignment="1">
      <alignment horizontal="left" wrapText="1"/>
    </xf>
    <xf numFmtId="0" fontId="13" fillId="0" borderId="0" xfId="0" applyFont="1" applyAlignment="1">
      <alignment horizontal="left"/>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tabColor theme="6" tint="0.39997558519241921"/>
    <pageSetUpPr fitToPage="1"/>
  </sheetPr>
  <dimension ref="B1:BD32"/>
  <sheetViews>
    <sheetView tabSelected="1" workbookViewId="0">
      <selection activeCell="G20" sqref="G20"/>
    </sheetView>
  </sheetViews>
  <sheetFormatPr defaultColWidth="11.42578125" defaultRowHeight="15"/>
  <cols>
    <col min="1" max="1" width="2.42578125" customWidth="1"/>
    <col min="2" max="2" width="34" bestFit="1" customWidth="1"/>
    <col min="3" max="3" width="14.28515625" bestFit="1" customWidth="1"/>
    <col min="4" max="4" width="11.5703125" bestFit="1" customWidth="1"/>
    <col min="5" max="5" width="14.28515625" bestFit="1" customWidth="1"/>
    <col min="7" max="7" width="11.5703125" bestFit="1" customWidth="1"/>
    <col min="10" max="10" width="11.5703125" bestFit="1" customWidth="1"/>
    <col min="15" max="15" width="13.28515625" bestFit="1" customWidth="1"/>
  </cols>
  <sheetData>
    <row r="1" spans="2:56">
      <c r="B1" t="s">
        <v>58</v>
      </c>
    </row>
    <row r="2" spans="2:56">
      <c r="C2" s="8">
        <v>2010</v>
      </c>
      <c r="D2" s="8">
        <v>2010</v>
      </c>
      <c r="E2" s="8">
        <v>2010</v>
      </c>
      <c r="F2" s="8">
        <v>2010</v>
      </c>
      <c r="G2" s="8">
        <v>2010</v>
      </c>
      <c r="H2" s="8">
        <v>2010</v>
      </c>
      <c r="I2" s="8">
        <v>2010</v>
      </c>
      <c r="J2" s="8">
        <v>2010</v>
      </c>
      <c r="K2" s="8">
        <v>2010</v>
      </c>
      <c r="L2" s="8">
        <v>2010</v>
      </c>
      <c r="M2" s="8">
        <v>2010</v>
      </c>
      <c r="N2" s="8">
        <v>2010</v>
      </c>
      <c r="O2" s="8" t="s">
        <v>31</v>
      </c>
    </row>
    <row r="3" spans="2:56">
      <c r="C3" s="25" t="s">
        <v>0</v>
      </c>
      <c r="D3" s="25" t="s">
        <v>1</v>
      </c>
      <c r="E3" s="25" t="s">
        <v>2</v>
      </c>
      <c r="F3" s="25" t="s">
        <v>3</v>
      </c>
      <c r="G3" s="25" t="s">
        <v>4</v>
      </c>
      <c r="H3" s="25" t="s">
        <v>5</v>
      </c>
      <c r="I3" s="25" t="s">
        <v>6</v>
      </c>
      <c r="J3" s="25" t="s">
        <v>7</v>
      </c>
      <c r="K3" s="25" t="s">
        <v>8</v>
      </c>
      <c r="L3" s="25" t="s">
        <v>9</v>
      </c>
      <c r="M3" s="25" t="s">
        <v>10</v>
      </c>
      <c r="N3" s="25" t="s">
        <v>11</v>
      </c>
      <c r="O3" s="24"/>
    </row>
    <row r="4" spans="2:56">
      <c r="B4" s="38" t="s">
        <v>50</v>
      </c>
      <c r="C4" s="3">
        <f>$O$4/12</f>
        <v>6549737.75</v>
      </c>
      <c r="D4" s="3">
        <f t="shared" ref="D4:N4" si="0">$O$4/12</f>
        <v>6549737.75</v>
      </c>
      <c r="E4" s="3">
        <f t="shared" si="0"/>
        <v>6549737.75</v>
      </c>
      <c r="F4" s="3">
        <f t="shared" si="0"/>
        <v>6549737.75</v>
      </c>
      <c r="G4" s="3">
        <f t="shared" si="0"/>
        <v>6549737.75</v>
      </c>
      <c r="H4" s="3">
        <f t="shared" si="0"/>
        <v>6549737.75</v>
      </c>
      <c r="I4" s="3">
        <f t="shared" si="0"/>
        <v>6549737.75</v>
      </c>
      <c r="J4" s="3">
        <f t="shared" si="0"/>
        <v>6549737.75</v>
      </c>
      <c r="K4" s="3">
        <f t="shared" si="0"/>
        <v>6549737.75</v>
      </c>
      <c r="L4" s="3">
        <f t="shared" si="0"/>
        <v>6549737.75</v>
      </c>
      <c r="M4" s="3">
        <f t="shared" si="0"/>
        <v>6549737.75</v>
      </c>
      <c r="N4" s="3">
        <f t="shared" si="0"/>
        <v>6549737.75</v>
      </c>
      <c r="O4" s="3">
        <v>78596853</v>
      </c>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row>
    <row r="5" spans="2:56">
      <c r="B5" s="38" t="s">
        <v>51</v>
      </c>
      <c r="C5" s="1">
        <v>10828281</v>
      </c>
      <c r="D5" s="1">
        <v>5452348</v>
      </c>
      <c r="E5" s="1">
        <v>8783101</v>
      </c>
      <c r="F5" s="1">
        <v>5484481</v>
      </c>
      <c r="G5" s="1">
        <v>3691309</v>
      </c>
      <c r="H5" s="1">
        <v>5372011</v>
      </c>
      <c r="I5" s="1">
        <v>3748765</v>
      </c>
      <c r="J5" s="1">
        <v>10506842</v>
      </c>
      <c r="K5" s="1">
        <v>4536771</v>
      </c>
      <c r="L5" s="1"/>
      <c r="M5" s="1"/>
      <c r="N5" s="1"/>
      <c r="O5" s="3">
        <f>SUM(C5:N5)</f>
        <v>58403909</v>
      </c>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row>
    <row r="6" spans="2:56">
      <c r="B6" s="38" t="s">
        <v>52</v>
      </c>
      <c r="C6" s="26">
        <f>(C5-C4)/C4</f>
        <v>0.65323886441102164</v>
      </c>
      <c r="D6" s="26">
        <f t="shared" ref="D6:O6" si="1">(D5-D4)/D4</f>
        <v>-0.1675471281273819</v>
      </c>
      <c r="E6" s="26">
        <f t="shared" si="1"/>
        <v>0.34098514096995713</v>
      </c>
      <c r="F6" s="26">
        <f t="shared" si="1"/>
        <v>-0.16264113017349435</v>
      </c>
      <c r="G6" s="26">
        <f t="shared" si="1"/>
        <v>-0.43641880928744053</v>
      </c>
      <c r="H6" s="26">
        <f t="shared" si="1"/>
        <v>-0.17981281006250976</v>
      </c>
      <c r="I6" s="26">
        <f t="shared" si="1"/>
        <v>-0.42764654966529003</v>
      </c>
      <c r="J6" s="26">
        <f t="shared" si="1"/>
        <v>0.60416224298446153</v>
      </c>
      <c r="K6" s="26">
        <f t="shared" si="1"/>
        <v>-0.3073354730882164</v>
      </c>
      <c r="L6" s="26">
        <f t="shared" si="1"/>
        <v>-1</v>
      </c>
      <c r="M6" s="26">
        <f t="shared" si="1"/>
        <v>-1</v>
      </c>
      <c r="N6" s="26">
        <f t="shared" si="1"/>
        <v>-1</v>
      </c>
      <c r="O6" s="26">
        <f t="shared" si="1"/>
        <v>-0.25691797100324104</v>
      </c>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row>
    <row r="7" spans="2:56">
      <c r="B7" s="38"/>
    </row>
    <row r="8" spans="2:56">
      <c r="B8" s="38" t="s">
        <v>56</v>
      </c>
      <c r="C8" s="1">
        <f>$O$8/12</f>
        <v>160124</v>
      </c>
      <c r="D8" s="1">
        <f t="shared" ref="D8:N8" si="2">$O$8/12</f>
        <v>160124</v>
      </c>
      <c r="E8" s="1">
        <f t="shared" si="2"/>
        <v>160124</v>
      </c>
      <c r="F8" s="1">
        <f t="shared" si="2"/>
        <v>160124</v>
      </c>
      <c r="G8" s="1">
        <f t="shared" si="2"/>
        <v>160124</v>
      </c>
      <c r="H8" s="1">
        <f t="shared" si="2"/>
        <v>160124</v>
      </c>
      <c r="I8" s="1">
        <f t="shared" si="2"/>
        <v>160124</v>
      </c>
      <c r="J8" s="1">
        <f t="shared" si="2"/>
        <v>160124</v>
      </c>
      <c r="K8" s="1">
        <f t="shared" si="2"/>
        <v>160124</v>
      </c>
      <c r="L8" s="1">
        <f t="shared" si="2"/>
        <v>160124</v>
      </c>
      <c r="M8" s="1">
        <f t="shared" si="2"/>
        <v>160124</v>
      </c>
      <c r="N8" s="1">
        <f t="shared" si="2"/>
        <v>160124</v>
      </c>
      <c r="O8" s="1">
        <v>1921488</v>
      </c>
    </row>
    <row r="9" spans="2:56">
      <c r="B9" s="38" t="s">
        <v>55</v>
      </c>
      <c r="C9" s="1">
        <v>294429</v>
      </c>
      <c r="D9" s="1">
        <v>201059</v>
      </c>
      <c r="E9" s="1">
        <v>280411</v>
      </c>
      <c r="F9" s="1">
        <v>228281</v>
      </c>
      <c r="G9" s="1">
        <v>-3636</v>
      </c>
      <c r="H9" s="1">
        <v>173062</v>
      </c>
      <c r="I9" s="1">
        <v>276653</v>
      </c>
      <c r="J9" s="1">
        <v>117719</v>
      </c>
      <c r="K9" s="1">
        <v>102760</v>
      </c>
      <c r="L9" s="1"/>
      <c r="M9" s="1"/>
      <c r="N9" s="1"/>
      <c r="O9" s="1">
        <f>SUM(C9:N9)</f>
        <v>1670738</v>
      </c>
      <c r="P9" s="1"/>
    </row>
    <row r="10" spans="2:56">
      <c r="B10" s="38" t="s">
        <v>52</v>
      </c>
      <c r="C10" s="26">
        <f>(C9-C8)/C8</f>
        <v>0.83875621393420097</v>
      </c>
      <c r="D10" s="26">
        <f t="shared" ref="D10" si="3">(D9-D8)/D8</f>
        <v>0.25564562464090329</v>
      </c>
      <c r="E10" s="26">
        <f t="shared" ref="E10" si="4">(E9-E8)/E8</f>
        <v>0.75121156104019382</v>
      </c>
      <c r="F10" s="26">
        <f t="shared" ref="F10" si="5">(F9-F8)/F8</f>
        <v>0.42565137018810423</v>
      </c>
      <c r="G10" s="26">
        <f t="shared" ref="G10" si="6">(G9-G8)/G8</f>
        <v>-1.0227074017636333</v>
      </c>
      <c r="H10" s="26">
        <f t="shared" ref="H10" si="7">(H9-H8)/H8</f>
        <v>8.0799880092927975E-2</v>
      </c>
      <c r="I10" s="26">
        <f t="shared" ref="I10" si="8">(I9-I8)/I8</f>
        <v>0.72774224975643875</v>
      </c>
      <c r="J10" s="26">
        <f t="shared" ref="J10" si="9">(J9-J8)/J8</f>
        <v>-0.26482600984237215</v>
      </c>
      <c r="K10" s="26">
        <f t="shared" ref="K10" si="10">(K9-K8)/K8</f>
        <v>-0.35824735829731957</v>
      </c>
      <c r="L10" s="26">
        <f t="shared" ref="L10" si="11">(L9-L8)/L8</f>
        <v>-1</v>
      </c>
      <c r="M10" s="26">
        <f t="shared" ref="M10" si="12">(M9-M8)/M8</f>
        <v>-1</v>
      </c>
      <c r="N10" s="26">
        <f t="shared" ref="N10" si="13">(N9-N8)/N8</f>
        <v>-1</v>
      </c>
      <c r="O10" s="26">
        <f t="shared" ref="O10" si="14">(O9-O8)/O8</f>
        <v>-0.13049782252087966</v>
      </c>
    </row>
    <row r="13" spans="2:56" ht="15.75" thickBot="1">
      <c r="B13" s="39" t="s">
        <v>125</v>
      </c>
    </row>
    <row r="14" spans="2:56" ht="60">
      <c r="B14" s="62"/>
      <c r="C14" s="63" t="s">
        <v>115</v>
      </c>
      <c r="D14" s="63" t="s">
        <v>113</v>
      </c>
      <c r="E14" s="63" t="s">
        <v>114</v>
      </c>
      <c r="F14" s="63"/>
      <c r="G14" s="82" t="s">
        <v>123</v>
      </c>
      <c r="H14" s="63"/>
      <c r="I14" s="64" t="s">
        <v>124</v>
      </c>
    </row>
    <row r="15" spans="2:56">
      <c r="B15" s="65" t="s">
        <v>103</v>
      </c>
      <c r="C15" s="27">
        <v>65643844</v>
      </c>
      <c r="D15" s="27">
        <v>25460156</v>
      </c>
      <c r="E15" s="27">
        <f>SUM(C15:D15)</f>
        <v>91104000</v>
      </c>
      <c r="F15" s="66" t="s">
        <v>106</v>
      </c>
      <c r="G15" s="83">
        <f>G20+G25</f>
        <v>58403909</v>
      </c>
      <c r="H15" s="27" t="s">
        <v>106</v>
      </c>
      <c r="I15" s="67">
        <f>G15/C15</f>
        <v>0.88970885068826866</v>
      </c>
    </row>
    <row r="16" spans="2:56">
      <c r="B16" s="65" t="s">
        <v>104</v>
      </c>
      <c r="C16" s="27">
        <v>78593854</v>
      </c>
      <c r="D16" s="27">
        <v>19867680</v>
      </c>
      <c r="E16" s="27">
        <f t="shared" ref="E16:E23" si="15">SUM(C16:D16)</f>
        <v>98461534</v>
      </c>
      <c r="F16" s="66" t="s">
        <v>106</v>
      </c>
      <c r="G16" s="83">
        <f t="shared" ref="G16:G18" si="16">G21+G26</f>
        <v>58403909</v>
      </c>
      <c r="H16" s="27" t="s">
        <v>106</v>
      </c>
      <c r="I16" s="67">
        <f t="shared" ref="I16:I18" si="17">G16/C16</f>
        <v>0.7431103836694406</v>
      </c>
    </row>
    <row r="17" spans="2:9">
      <c r="B17" s="68" t="s">
        <v>105</v>
      </c>
      <c r="C17" s="69">
        <v>2193338</v>
      </c>
      <c r="D17" s="69">
        <v>0</v>
      </c>
      <c r="E17" s="69">
        <f t="shared" si="15"/>
        <v>2193338</v>
      </c>
      <c r="F17" s="70" t="s">
        <v>107</v>
      </c>
      <c r="G17" s="84">
        <f t="shared" si="16"/>
        <v>1670738</v>
      </c>
      <c r="H17" s="69" t="s">
        <v>107</v>
      </c>
      <c r="I17" s="71">
        <f t="shared" si="17"/>
        <v>0.76173302974735313</v>
      </c>
    </row>
    <row r="18" spans="2:9">
      <c r="B18" s="68" t="s">
        <v>108</v>
      </c>
      <c r="C18" s="69">
        <v>1921488</v>
      </c>
      <c r="D18" s="69">
        <v>0</v>
      </c>
      <c r="E18" s="69">
        <f t="shared" si="15"/>
        <v>1921488</v>
      </c>
      <c r="F18" s="70" t="s">
        <v>107</v>
      </c>
      <c r="G18" s="84">
        <f t="shared" si="16"/>
        <v>1670738</v>
      </c>
      <c r="H18" s="69" t="s">
        <v>107</v>
      </c>
      <c r="I18" s="71">
        <f t="shared" si="17"/>
        <v>0.8695021774791204</v>
      </c>
    </row>
    <row r="19" spans="2:9">
      <c r="B19" s="65"/>
      <c r="C19" s="27"/>
      <c r="D19" s="27"/>
      <c r="E19" s="27"/>
      <c r="F19" s="66"/>
      <c r="G19" s="83"/>
      <c r="H19" s="27"/>
      <c r="I19" s="72"/>
    </row>
    <row r="20" spans="2:9">
      <c r="B20" s="65" t="s">
        <v>109</v>
      </c>
      <c r="C20" s="27">
        <f>C15*0.6179</f>
        <v>40561331.207599998</v>
      </c>
      <c r="D20" s="27">
        <f>D15*0.6179</f>
        <v>15731830.3924</v>
      </c>
      <c r="E20" s="27">
        <f t="shared" si="15"/>
        <v>56293161.599999994</v>
      </c>
      <c r="F20" s="66" t="s">
        <v>106</v>
      </c>
      <c r="G20" s="83">
        <f>1277868+7930425+29569413</f>
        <v>38777706</v>
      </c>
      <c r="H20" s="27" t="s">
        <v>106</v>
      </c>
      <c r="I20" s="67">
        <f>G20/C20</f>
        <v>0.95602646277877101</v>
      </c>
    </row>
    <row r="21" spans="2:9">
      <c r="B21" s="65" t="s">
        <v>110</v>
      </c>
      <c r="C21" s="27">
        <v>54489401</v>
      </c>
      <c r="D21" s="27">
        <v>13425871</v>
      </c>
      <c r="E21" s="27">
        <f t="shared" si="15"/>
        <v>67915272</v>
      </c>
      <c r="F21" s="66" t="s">
        <v>106</v>
      </c>
      <c r="G21" s="83">
        <f>G20</f>
        <v>38777706</v>
      </c>
      <c r="H21" s="27" t="s">
        <v>106</v>
      </c>
      <c r="I21" s="67">
        <f t="shared" ref="I21:I23" si="18">G21/C21</f>
        <v>0.71165594204274696</v>
      </c>
    </row>
    <row r="22" spans="2:9">
      <c r="B22" s="68" t="s">
        <v>111</v>
      </c>
      <c r="C22" s="69">
        <v>1542529</v>
      </c>
      <c r="D22" s="69">
        <v>0</v>
      </c>
      <c r="E22" s="69">
        <f t="shared" si="15"/>
        <v>1542529</v>
      </c>
      <c r="F22" s="70" t="s">
        <v>107</v>
      </c>
      <c r="G22" s="84">
        <f>30856+602906+661042</f>
        <v>1294804</v>
      </c>
      <c r="H22" s="69" t="s">
        <v>107</v>
      </c>
      <c r="I22" s="71">
        <f t="shared" si="18"/>
        <v>0.83940334347036583</v>
      </c>
    </row>
    <row r="23" spans="2:9">
      <c r="B23" s="68" t="s">
        <v>112</v>
      </c>
      <c r="C23" s="69">
        <v>1385606</v>
      </c>
      <c r="D23" s="69">
        <v>0</v>
      </c>
      <c r="E23" s="69">
        <f t="shared" si="15"/>
        <v>1385606</v>
      </c>
      <c r="F23" s="70" t="s">
        <v>107</v>
      </c>
      <c r="G23" s="84">
        <f>G22</f>
        <v>1294804</v>
      </c>
      <c r="H23" s="69" t="s">
        <v>107</v>
      </c>
      <c r="I23" s="71">
        <f t="shared" si="18"/>
        <v>0.93446766252455604</v>
      </c>
    </row>
    <row r="24" spans="2:9">
      <c r="B24" s="65"/>
      <c r="C24" s="78"/>
      <c r="D24" s="27"/>
      <c r="E24" s="27"/>
      <c r="F24" s="66"/>
      <c r="G24" s="83"/>
      <c r="H24" s="27"/>
      <c r="I24" s="72"/>
    </row>
    <row r="25" spans="2:9">
      <c r="B25" s="65" t="s">
        <v>116</v>
      </c>
      <c r="C25" s="27">
        <f>C15-C20</f>
        <v>25082512.792400002</v>
      </c>
      <c r="D25" s="27">
        <f>D15-D20</f>
        <v>9728325.6075999998</v>
      </c>
      <c r="E25" s="27">
        <f t="shared" ref="E25:E28" si="19">SUM(C25:D25)</f>
        <v>34810838.400000006</v>
      </c>
      <c r="F25" s="66" t="s">
        <v>106</v>
      </c>
      <c r="G25" s="84">
        <f>290901+4482971+14852331</f>
        <v>19626203</v>
      </c>
      <c r="H25" s="27" t="s">
        <v>106</v>
      </c>
      <c r="I25" s="67">
        <f>G25/C25</f>
        <v>0.78246558319096071</v>
      </c>
    </row>
    <row r="26" spans="2:9">
      <c r="B26" s="65" t="s">
        <v>117</v>
      </c>
      <c r="C26" s="27">
        <v>24104453</v>
      </c>
      <c r="D26" s="27">
        <v>6441809</v>
      </c>
      <c r="E26" s="27">
        <f t="shared" si="19"/>
        <v>30546262</v>
      </c>
      <c r="F26" s="66" t="s">
        <v>106</v>
      </c>
      <c r="G26" s="84">
        <f>G25</f>
        <v>19626203</v>
      </c>
      <c r="H26" s="27" t="s">
        <v>106</v>
      </c>
      <c r="I26" s="67">
        <f t="shared" ref="I26:I28" si="20">G26/C26</f>
        <v>0.81421482578343507</v>
      </c>
    </row>
    <row r="27" spans="2:9">
      <c r="B27" s="65" t="s">
        <v>118</v>
      </c>
      <c r="C27" s="27">
        <f>C17-C22</f>
        <v>650809</v>
      </c>
      <c r="D27" s="27">
        <v>0</v>
      </c>
      <c r="E27" s="27">
        <f t="shared" si="19"/>
        <v>650809</v>
      </c>
      <c r="F27" s="66" t="s">
        <v>107</v>
      </c>
      <c r="G27" s="83">
        <f>12980+234826+128128</f>
        <v>375934</v>
      </c>
      <c r="H27" s="27" t="s">
        <v>107</v>
      </c>
      <c r="I27" s="67">
        <f t="shared" si="20"/>
        <v>0.5776410590511194</v>
      </c>
    </row>
    <row r="28" spans="2:9">
      <c r="B28" s="65" t="s">
        <v>119</v>
      </c>
      <c r="C28" s="27">
        <v>535882</v>
      </c>
      <c r="D28" s="27">
        <v>0</v>
      </c>
      <c r="E28" s="27">
        <f t="shared" si="19"/>
        <v>535882</v>
      </c>
      <c r="F28" s="66" t="s">
        <v>107</v>
      </c>
      <c r="G28" s="83">
        <f>G27</f>
        <v>375934</v>
      </c>
      <c r="H28" s="27" t="s">
        <v>107</v>
      </c>
      <c r="I28" s="67">
        <f t="shared" si="20"/>
        <v>0.70152384293557168</v>
      </c>
    </row>
    <row r="29" spans="2:9">
      <c r="B29" s="65"/>
      <c r="C29" s="27"/>
      <c r="D29" s="66"/>
      <c r="E29" s="66"/>
      <c r="F29" s="66"/>
      <c r="G29" s="83"/>
      <c r="H29" s="27"/>
      <c r="I29" s="72"/>
    </row>
    <row r="30" spans="2:9">
      <c r="B30" s="65" t="s">
        <v>120</v>
      </c>
      <c r="C30" s="27"/>
      <c r="D30" s="66"/>
      <c r="E30" s="27">
        <v>59991200</v>
      </c>
      <c r="F30" s="66" t="s">
        <v>106</v>
      </c>
      <c r="G30" s="83">
        <f>G20-G31</f>
        <v>36890325</v>
      </c>
      <c r="H30" s="27" t="s">
        <v>106</v>
      </c>
      <c r="I30" s="67">
        <f>G30/E30</f>
        <v>0.6149289395778047</v>
      </c>
    </row>
    <row r="31" spans="2:9">
      <c r="B31" s="65" t="s">
        <v>121</v>
      </c>
      <c r="C31" s="27"/>
      <c r="D31" s="66"/>
      <c r="E31" s="27">
        <v>1284824</v>
      </c>
      <c r="F31" s="66" t="s">
        <v>106</v>
      </c>
      <c r="G31" s="83">
        <f>961994+925387</f>
        <v>1887381</v>
      </c>
      <c r="H31" s="27" t="s">
        <v>106</v>
      </c>
      <c r="I31" s="67">
        <f t="shared" ref="I31:I32" si="21">G31/E31</f>
        <v>1.4689801871696047</v>
      </c>
    </row>
    <row r="32" spans="2:9" ht="15.75" thickBot="1">
      <c r="B32" s="73" t="s">
        <v>122</v>
      </c>
      <c r="C32" s="74"/>
      <c r="D32" s="74"/>
      <c r="E32" s="75">
        <f>SUM(E30:E31)</f>
        <v>61276024</v>
      </c>
      <c r="F32" s="74" t="s">
        <v>106</v>
      </c>
      <c r="G32" s="85">
        <f>SUM(G30:G31)</f>
        <v>38777706</v>
      </c>
      <c r="H32" s="75" t="s">
        <v>106</v>
      </c>
      <c r="I32" s="76">
        <f t="shared" si="21"/>
        <v>0.63283652346633978</v>
      </c>
    </row>
  </sheetData>
  <pageMargins left="0.7" right="0.7" top="0.75" bottom="0.75" header="0.3" footer="0.3"/>
  <pageSetup scale="63" orientation="landscape" r:id="rId1"/>
</worksheet>
</file>

<file path=xl/worksheets/sheet10.xml><?xml version="1.0" encoding="utf-8"?>
<worksheet xmlns="http://schemas.openxmlformats.org/spreadsheetml/2006/main" xmlns:r="http://schemas.openxmlformats.org/officeDocument/2006/relationships">
  <sheetPr>
    <tabColor theme="4" tint="0.39997558519241921"/>
  </sheetPr>
  <dimension ref="A2:BD117"/>
  <sheetViews>
    <sheetView workbookViewId="0">
      <pane xSplit="2" ySplit="4" topLeftCell="G101" activePane="bottomRight" state="frozen"/>
      <selection activeCell="C34" sqref="C34"/>
      <selection pane="topRight" activeCell="C34" sqref="C34"/>
      <selection pane="bottomLeft" activeCell="C34" sqref="C34"/>
      <selection pane="bottomRight" activeCell="B117" sqref="B117:N117"/>
    </sheetView>
  </sheetViews>
  <sheetFormatPr defaultRowHeight="15"/>
  <cols>
    <col min="1" max="1" width="10.28515625" bestFit="1" customWidth="1"/>
    <col min="2" max="2" width="43.28515625" customWidth="1"/>
    <col min="3" max="3" width="11.42578125" style="13" bestFit="1" customWidth="1"/>
    <col min="4" max="4" width="12.42578125" style="13" bestFit="1" customWidth="1"/>
    <col min="5" max="5" width="11.42578125" style="13" bestFit="1" customWidth="1"/>
    <col min="6" max="14" width="9.85546875" style="13" bestFit="1" customWidth="1"/>
    <col min="15" max="15" width="11.28515625" style="13" bestFit="1" customWidth="1"/>
    <col min="16" max="28" width="11.7109375" style="13" hidden="1" customWidth="1"/>
    <col min="29" max="34" width="11.7109375" style="13" customWidth="1"/>
    <col min="35" max="56" width="11.7109375" style="7" customWidth="1"/>
  </cols>
  <sheetData>
    <row r="2" spans="1:28">
      <c r="B2" s="37" t="s">
        <v>27</v>
      </c>
    </row>
    <row r="3" spans="1:28">
      <c r="B3" s="5" t="s">
        <v>47</v>
      </c>
      <c r="C3" s="14">
        <v>2010</v>
      </c>
      <c r="D3" s="14">
        <v>2010</v>
      </c>
      <c r="E3" s="14">
        <v>2010</v>
      </c>
      <c r="F3" s="14">
        <v>2010</v>
      </c>
      <c r="G3" s="14">
        <v>2010</v>
      </c>
      <c r="H3" s="14">
        <v>2010</v>
      </c>
      <c r="I3" s="14">
        <v>2010</v>
      </c>
      <c r="J3" s="14">
        <v>2010</v>
      </c>
      <c r="K3" s="14">
        <v>2010</v>
      </c>
      <c r="L3" s="14">
        <v>2010</v>
      </c>
      <c r="M3" s="14">
        <v>2010</v>
      </c>
      <c r="N3" s="14">
        <v>2010</v>
      </c>
      <c r="O3" s="14" t="s">
        <v>31</v>
      </c>
      <c r="P3" s="14">
        <v>2011</v>
      </c>
      <c r="Q3" s="14">
        <v>2011</v>
      </c>
      <c r="R3" s="14">
        <v>2011</v>
      </c>
      <c r="S3" s="14">
        <v>2011</v>
      </c>
      <c r="T3" s="14">
        <v>2011</v>
      </c>
      <c r="U3" s="14">
        <v>2011</v>
      </c>
      <c r="V3" s="14">
        <v>2011</v>
      </c>
      <c r="W3" s="14">
        <v>2011</v>
      </c>
      <c r="X3" s="14">
        <v>2011</v>
      </c>
      <c r="Y3" s="14">
        <v>2011</v>
      </c>
      <c r="Z3" s="14">
        <v>2011</v>
      </c>
      <c r="AA3" s="14">
        <v>2011</v>
      </c>
      <c r="AB3" s="14" t="s">
        <v>32</v>
      </c>
    </row>
    <row r="4" spans="1:28">
      <c r="C4" s="17" t="s">
        <v>0</v>
      </c>
      <c r="D4" s="17" t="s">
        <v>1</v>
      </c>
      <c r="E4" s="17" t="s">
        <v>2</v>
      </c>
      <c r="F4" s="17" t="s">
        <v>3</v>
      </c>
      <c r="G4" s="17" t="s">
        <v>4</v>
      </c>
      <c r="H4" s="17" t="s">
        <v>5</v>
      </c>
      <c r="I4" s="17" t="s">
        <v>6</v>
      </c>
      <c r="J4" s="17" t="s">
        <v>7</v>
      </c>
      <c r="K4" s="17" t="s">
        <v>8</v>
      </c>
      <c r="L4" s="17" t="s">
        <v>9</v>
      </c>
      <c r="M4" s="17" t="s">
        <v>10</v>
      </c>
      <c r="N4" s="17" t="s">
        <v>11</v>
      </c>
      <c r="O4" s="17"/>
      <c r="P4" s="14" t="s">
        <v>0</v>
      </c>
      <c r="Q4" s="14" t="s">
        <v>1</v>
      </c>
      <c r="R4" s="14" t="s">
        <v>2</v>
      </c>
      <c r="S4" s="14" t="s">
        <v>3</v>
      </c>
      <c r="T4" s="14" t="s">
        <v>4</v>
      </c>
      <c r="U4" s="14" t="s">
        <v>5</v>
      </c>
      <c r="V4" s="14" t="s">
        <v>6</v>
      </c>
      <c r="W4" s="14" t="s">
        <v>7</v>
      </c>
      <c r="X4" s="14" t="s">
        <v>8</v>
      </c>
      <c r="Y4" s="14" t="s">
        <v>9</v>
      </c>
      <c r="Z4" s="14" t="s">
        <v>10</v>
      </c>
      <c r="AA4" s="14" t="s">
        <v>11</v>
      </c>
      <c r="AB4" s="14"/>
    </row>
    <row r="5" spans="1:28">
      <c r="E5" s="15"/>
      <c r="F5" s="15"/>
      <c r="G5" s="15"/>
      <c r="H5" s="15"/>
      <c r="I5" s="15"/>
      <c r="J5" s="15"/>
      <c r="K5" s="15"/>
      <c r="L5" s="15"/>
      <c r="M5" s="15"/>
      <c r="N5" s="15"/>
    </row>
    <row r="6" spans="1:28">
      <c r="B6" s="9" t="s">
        <v>84</v>
      </c>
      <c r="E6" s="15"/>
      <c r="F6" s="15"/>
      <c r="G6" s="15"/>
      <c r="H6" s="15"/>
      <c r="I6" s="15"/>
      <c r="J6" s="15"/>
      <c r="K6" s="15"/>
      <c r="L6" s="15"/>
      <c r="M6" s="15"/>
      <c r="N6" s="15"/>
      <c r="O6" s="16"/>
    </row>
    <row r="7" spans="1:28">
      <c r="B7" s="5" t="s">
        <v>34</v>
      </c>
      <c r="C7" s="20">
        <f>2318886/12</f>
        <v>193240.5</v>
      </c>
      <c r="D7" s="20">
        <f t="shared" ref="D7:N7" si="0">2318886/12</f>
        <v>193240.5</v>
      </c>
      <c r="E7" s="20">
        <f t="shared" si="0"/>
        <v>193240.5</v>
      </c>
      <c r="F7" s="20">
        <f t="shared" si="0"/>
        <v>193240.5</v>
      </c>
      <c r="G7" s="20">
        <f t="shared" si="0"/>
        <v>193240.5</v>
      </c>
      <c r="H7" s="20">
        <f t="shared" si="0"/>
        <v>193240.5</v>
      </c>
      <c r="I7" s="20">
        <f t="shared" si="0"/>
        <v>193240.5</v>
      </c>
      <c r="J7" s="20">
        <f t="shared" si="0"/>
        <v>193240.5</v>
      </c>
      <c r="K7" s="20">
        <f t="shared" si="0"/>
        <v>193240.5</v>
      </c>
      <c r="L7" s="20">
        <f t="shared" si="0"/>
        <v>193240.5</v>
      </c>
      <c r="M7" s="20">
        <f t="shared" si="0"/>
        <v>193240.5</v>
      </c>
      <c r="N7" s="20">
        <f t="shared" si="0"/>
        <v>193240.5</v>
      </c>
      <c r="O7" s="50">
        <f t="shared" ref="O7:O13" si="1">SUM(C7:N7)</f>
        <v>2318886</v>
      </c>
    </row>
    <row r="8" spans="1:28">
      <c r="B8" s="5" t="s">
        <v>35</v>
      </c>
      <c r="C8" s="18">
        <f>911877/12</f>
        <v>75989.75</v>
      </c>
      <c r="D8" s="18">
        <f t="shared" ref="D8:N8" si="2">911877/12</f>
        <v>75989.75</v>
      </c>
      <c r="E8" s="18">
        <f t="shared" si="2"/>
        <v>75989.75</v>
      </c>
      <c r="F8" s="18">
        <f t="shared" si="2"/>
        <v>75989.75</v>
      </c>
      <c r="G8" s="18">
        <f t="shared" si="2"/>
        <v>75989.75</v>
      </c>
      <c r="H8" s="18">
        <f t="shared" si="2"/>
        <v>75989.75</v>
      </c>
      <c r="I8" s="18">
        <f t="shared" si="2"/>
        <v>75989.75</v>
      </c>
      <c r="J8" s="18">
        <f t="shared" si="2"/>
        <v>75989.75</v>
      </c>
      <c r="K8" s="18">
        <f t="shared" si="2"/>
        <v>75989.75</v>
      </c>
      <c r="L8" s="18">
        <f t="shared" si="2"/>
        <v>75989.75</v>
      </c>
      <c r="M8" s="18">
        <f t="shared" si="2"/>
        <v>75989.75</v>
      </c>
      <c r="N8" s="18">
        <f t="shared" si="2"/>
        <v>75989.75</v>
      </c>
      <c r="O8" s="50">
        <f t="shared" si="1"/>
        <v>911877</v>
      </c>
    </row>
    <row r="9" spans="1:28">
      <c r="B9" s="5" t="s">
        <v>36</v>
      </c>
      <c r="C9" s="18">
        <f>356001/12</f>
        <v>29666.75</v>
      </c>
      <c r="D9" s="18">
        <f t="shared" ref="D9:N9" si="3">356001/12</f>
        <v>29666.75</v>
      </c>
      <c r="E9" s="18">
        <f t="shared" si="3"/>
        <v>29666.75</v>
      </c>
      <c r="F9" s="18">
        <f t="shared" si="3"/>
        <v>29666.75</v>
      </c>
      <c r="G9" s="18">
        <f t="shared" si="3"/>
        <v>29666.75</v>
      </c>
      <c r="H9" s="18">
        <f t="shared" si="3"/>
        <v>29666.75</v>
      </c>
      <c r="I9" s="18">
        <f t="shared" si="3"/>
        <v>29666.75</v>
      </c>
      <c r="J9" s="18">
        <f t="shared" si="3"/>
        <v>29666.75</v>
      </c>
      <c r="K9" s="18">
        <f t="shared" si="3"/>
        <v>29666.75</v>
      </c>
      <c r="L9" s="18">
        <f t="shared" si="3"/>
        <v>29666.75</v>
      </c>
      <c r="M9" s="18">
        <f t="shared" si="3"/>
        <v>29666.75</v>
      </c>
      <c r="N9" s="18">
        <f t="shared" si="3"/>
        <v>29666.75</v>
      </c>
      <c r="O9" s="50">
        <f t="shared" si="1"/>
        <v>356001</v>
      </c>
    </row>
    <row r="10" spans="1:28" hidden="1">
      <c r="B10" s="5" t="s">
        <v>37</v>
      </c>
      <c r="E10" s="15"/>
      <c r="F10" s="15"/>
      <c r="G10" s="15"/>
      <c r="H10" s="15"/>
      <c r="I10" s="15"/>
      <c r="J10" s="15"/>
      <c r="K10" s="15"/>
      <c r="L10" s="15"/>
      <c r="M10" s="15"/>
      <c r="N10" s="15"/>
      <c r="O10" s="50">
        <f t="shared" si="1"/>
        <v>0</v>
      </c>
    </row>
    <row r="11" spans="1:28" hidden="1">
      <c r="B11" s="5" t="s">
        <v>38</v>
      </c>
      <c r="E11" s="15"/>
      <c r="F11" s="15"/>
      <c r="G11" s="15"/>
      <c r="H11" s="15"/>
      <c r="I11" s="15"/>
      <c r="J11" s="15"/>
      <c r="K11" s="15"/>
      <c r="L11" s="15"/>
      <c r="M11" s="15"/>
      <c r="N11" s="15"/>
      <c r="O11" s="50">
        <f t="shared" si="1"/>
        <v>0</v>
      </c>
    </row>
    <row r="12" spans="1:28" hidden="1">
      <c r="B12" s="5" t="s">
        <v>39</v>
      </c>
      <c r="E12" s="15"/>
      <c r="F12" s="15"/>
      <c r="G12" s="15"/>
      <c r="H12" s="15"/>
      <c r="I12" s="15"/>
      <c r="J12" s="15"/>
      <c r="K12" s="15"/>
      <c r="L12" s="15"/>
      <c r="M12" s="15"/>
      <c r="N12" s="15"/>
      <c r="O12" s="50">
        <f t="shared" si="1"/>
        <v>0</v>
      </c>
    </row>
    <row r="13" spans="1:28" hidden="1">
      <c r="B13" s="5" t="s">
        <v>40</v>
      </c>
      <c r="E13" s="15"/>
      <c r="F13" s="15"/>
      <c r="G13" s="15"/>
      <c r="H13" s="15"/>
      <c r="I13" s="15"/>
      <c r="J13" s="15"/>
      <c r="K13" s="15"/>
      <c r="L13" s="15"/>
      <c r="M13" s="15"/>
      <c r="N13" s="15"/>
      <c r="O13" s="50">
        <f t="shared" si="1"/>
        <v>0</v>
      </c>
    </row>
    <row r="14" spans="1:28">
      <c r="A14" t="s">
        <v>22</v>
      </c>
      <c r="B14" s="9" t="s">
        <v>41</v>
      </c>
      <c r="C14" s="19">
        <f>SUM(C7:C13)</f>
        <v>298897</v>
      </c>
      <c r="D14" s="19">
        <f t="shared" ref="D14:N14" si="4">SUM(D7:D13)</f>
        <v>298897</v>
      </c>
      <c r="E14" s="19">
        <f t="shared" si="4"/>
        <v>298897</v>
      </c>
      <c r="F14" s="19">
        <f t="shared" si="4"/>
        <v>298897</v>
      </c>
      <c r="G14" s="19">
        <f t="shared" si="4"/>
        <v>298897</v>
      </c>
      <c r="H14" s="19">
        <f t="shared" si="4"/>
        <v>298897</v>
      </c>
      <c r="I14" s="19">
        <f t="shared" si="4"/>
        <v>298897</v>
      </c>
      <c r="J14" s="19">
        <f t="shared" si="4"/>
        <v>298897</v>
      </c>
      <c r="K14" s="19">
        <f t="shared" si="4"/>
        <v>298897</v>
      </c>
      <c r="L14" s="19">
        <f t="shared" si="4"/>
        <v>298897</v>
      </c>
      <c r="M14" s="19">
        <f t="shared" si="4"/>
        <v>298897</v>
      </c>
      <c r="N14" s="19">
        <f t="shared" si="4"/>
        <v>298897</v>
      </c>
      <c r="O14" s="51">
        <f>SUM(O7:O13)</f>
        <v>3586764</v>
      </c>
    </row>
    <row r="15" spans="1:28">
      <c r="B15" s="9"/>
      <c r="E15" s="15"/>
      <c r="F15" s="15"/>
      <c r="G15" s="15"/>
      <c r="H15" s="15"/>
      <c r="I15" s="15"/>
      <c r="J15" s="15"/>
      <c r="K15" s="15"/>
      <c r="L15" s="15"/>
      <c r="M15" s="15"/>
      <c r="N15" s="15"/>
      <c r="O15" s="50"/>
    </row>
    <row r="16" spans="1:28">
      <c r="B16" s="9" t="s">
        <v>85</v>
      </c>
      <c r="E16" s="15"/>
      <c r="F16" s="15"/>
      <c r="G16" s="15"/>
      <c r="H16" s="15"/>
      <c r="I16" s="15"/>
      <c r="J16" s="15"/>
      <c r="K16" s="15"/>
      <c r="L16" s="15"/>
      <c r="M16" s="15"/>
      <c r="N16" s="15"/>
      <c r="O16" s="50"/>
    </row>
    <row r="17" spans="1:15">
      <c r="B17" s="5" t="s">
        <v>34</v>
      </c>
      <c r="C17" s="20">
        <f>1718/12</f>
        <v>143.16666666666666</v>
      </c>
      <c r="D17" s="20">
        <f>1718/12</f>
        <v>143.16666666666666</v>
      </c>
      <c r="E17" s="20">
        <f t="shared" ref="E17:N17" si="5">1718/12</f>
        <v>143.16666666666666</v>
      </c>
      <c r="F17" s="20">
        <f t="shared" si="5"/>
        <v>143.16666666666666</v>
      </c>
      <c r="G17" s="20">
        <f t="shared" si="5"/>
        <v>143.16666666666666</v>
      </c>
      <c r="H17" s="20">
        <f t="shared" si="5"/>
        <v>143.16666666666666</v>
      </c>
      <c r="I17" s="20">
        <f t="shared" si="5"/>
        <v>143.16666666666666</v>
      </c>
      <c r="J17" s="20">
        <f t="shared" si="5"/>
        <v>143.16666666666666</v>
      </c>
      <c r="K17" s="20">
        <f t="shared" si="5"/>
        <v>143.16666666666666</v>
      </c>
      <c r="L17" s="20">
        <f t="shared" si="5"/>
        <v>143.16666666666666</v>
      </c>
      <c r="M17" s="20">
        <f t="shared" si="5"/>
        <v>143.16666666666666</v>
      </c>
      <c r="N17" s="20">
        <f t="shared" si="5"/>
        <v>143.16666666666666</v>
      </c>
      <c r="O17" s="50">
        <f t="shared" ref="O17:O23" si="6">SUM(C17:N17)</f>
        <v>1718.0000000000002</v>
      </c>
    </row>
    <row r="18" spans="1:15">
      <c r="B18" s="5" t="s">
        <v>35</v>
      </c>
      <c r="C18" s="18">
        <f>154049/12</f>
        <v>12837.416666666666</v>
      </c>
      <c r="D18" s="18">
        <f t="shared" ref="D18:N18" si="7">154049/12</f>
        <v>12837.416666666666</v>
      </c>
      <c r="E18" s="18">
        <f t="shared" si="7"/>
        <v>12837.416666666666</v>
      </c>
      <c r="F18" s="18">
        <f t="shared" si="7"/>
        <v>12837.416666666666</v>
      </c>
      <c r="G18" s="18">
        <f t="shared" si="7"/>
        <v>12837.416666666666</v>
      </c>
      <c r="H18" s="18">
        <f t="shared" si="7"/>
        <v>12837.416666666666</v>
      </c>
      <c r="I18" s="18">
        <f t="shared" si="7"/>
        <v>12837.416666666666</v>
      </c>
      <c r="J18" s="18">
        <f t="shared" si="7"/>
        <v>12837.416666666666</v>
      </c>
      <c r="K18" s="18">
        <f t="shared" si="7"/>
        <v>12837.416666666666</v>
      </c>
      <c r="L18" s="18">
        <f t="shared" si="7"/>
        <v>12837.416666666666</v>
      </c>
      <c r="M18" s="18">
        <f t="shared" si="7"/>
        <v>12837.416666666666</v>
      </c>
      <c r="N18" s="18">
        <f t="shared" si="7"/>
        <v>12837.416666666666</v>
      </c>
      <c r="O18" s="50">
        <f t="shared" si="6"/>
        <v>154049</v>
      </c>
    </row>
    <row r="19" spans="1:15" hidden="1">
      <c r="B19" s="5" t="s">
        <v>36</v>
      </c>
      <c r="E19" s="15"/>
      <c r="F19" s="15"/>
      <c r="G19" s="15"/>
      <c r="H19" s="15"/>
      <c r="I19" s="15"/>
      <c r="J19" s="15"/>
      <c r="K19" s="15"/>
      <c r="L19" s="15"/>
      <c r="M19" s="15"/>
      <c r="N19" s="15"/>
      <c r="O19" s="50">
        <f t="shared" si="6"/>
        <v>0</v>
      </c>
    </row>
    <row r="20" spans="1:15">
      <c r="B20" s="5" t="s">
        <v>37</v>
      </c>
      <c r="C20" s="18">
        <f>5000/12</f>
        <v>416.66666666666669</v>
      </c>
      <c r="D20" s="18">
        <f t="shared" ref="D20:N20" si="8">5000/12</f>
        <v>416.66666666666669</v>
      </c>
      <c r="E20" s="18">
        <f t="shared" si="8"/>
        <v>416.66666666666669</v>
      </c>
      <c r="F20" s="18">
        <f t="shared" si="8"/>
        <v>416.66666666666669</v>
      </c>
      <c r="G20" s="18">
        <f t="shared" si="8"/>
        <v>416.66666666666669</v>
      </c>
      <c r="H20" s="18">
        <f t="shared" si="8"/>
        <v>416.66666666666669</v>
      </c>
      <c r="I20" s="18">
        <f t="shared" si="8"/>
        <v>416.66666666666669</v>
      </c>
      <c r="J20" s="18">
        <f t="shared" si="8"/>
        <v>416.66666666666669</v>
      </c>
      <c r="K20" s="18">
        <f t="shared" si="8"/>
        <v>416.66666666666669</v>
      </c>
      <c r="L20" s="18">
        <f t="shared" si="8"/>
        <v>416.66666666666669</v>
      </c>
      <c r="M20" s="18">
        <f t="shared" si="8"/>
        <v>416.66666666666669</v>
      </c>
      <c r="N20" s="18">
        <f t="shared" si="8"/>
        <v>416.66666666666669</v>
      </c>
      <c r="O20" s="50">
        <f t="shared" si="6"/>
        <v>5000</v>
      </c>
    </row>
    <row r="21" spans="1:15" hidden="1">
      <c r="B21" s="5" t="s">
        <v>38</v>
      </c>
      <c r="E21" s="15"/>
      <c r="F21" s="15"/>
      <c r="G21" s="15"/>
      <c r="H21" s="15"/>
      <c r="I21" s="15"/>
      <c r="J21" s="15"/>
      <c r="K21" s="15"/>
      <c r="L21" s="15"/>
      <c r="M21" s="15"/>
      <c r="N21" s="15"/>
      <c r="O21" s="50">
        <f t="shared" si="6"/>
        <v>0</v>
      </c>
    </row>
    <row r="22" spans="1:15">
      <c r="B22" s="5" t="s">
        <v>39</v>
      </c>
      <c r="C22" s="18">
        <f>700349/12</f>
        <v>58362.416666666664</v>
      </c>
      <c r="D22" s="18">
        <f t="shared" ref="D22:N22" si="9">700349/12</f>
        <v>58362.416666666664</v>
      </c>
      <c r="E22" s="18">
        <f t="shared" si="9"/>
        <v>58362.416666666664</v>
      </c>
      <c r="F22" s="18">
        <f t="shared" si="9"/>
        <v>58362.416666666664</v>
      </c>
      <c r="G22" s="18">
        <f t="shared" si="9"/>
        <v>58362.416666666664</v>
      </c>
      <c r="H22" s="18">
        <f t="shared" si="9"/>
        <v>58362.416666666664</v>
      </c>
      <c r="I22" s="18">
        <f t="shared" si="9"/>
        <v>58362.416666666664</v>
      </c>
      <c r="J22" s="18">
        <f t="shared" si="9"/>
        <v>58362.416666666664</v>
      </c>
      <c r="K22" s="18">
        <f t="shared" si="9"/>
        <v>58362.416666666664</v>
      </c>
      <c r="L22" s="18">
        <f t="shared" si="9"/>
        <v>58362.416666666664</v>
      </c>
      <c r="M22" s="18">
        <f t="shared" si="9"/>
        <v>58362.416666666664</v>
      </c>
      <c r="N22" s="18">
        <f t="shared" si="9"/>
        <v>58362.416666666664</v>
      </c>
      <c r="O22" s="50">
        <f t="shared" si="6"/>
        <v>700348.99999999988</v>
      </c>
    </row>
    <row r="23" spans="1:15">
      <c r="B23" s="5" t="s">
        <v>40</v>
      </c>
      <c r="C23" s="18">
        <f>446205/12</f>
        <v>37183.75</v>
      </c>
      <c r="D23" s="18">
        <f t="shared" ref="D23:N23" si="10">446205/12</f>
        <v>37183.75</v>
      </c>
      <c r="E23" s="18">
        <f t="shared" si="10"/>
        <v>37183.75</v>
      </c>
      <c r="F23" s="18">
        <f t="shared" si="10"/>
        <v>37183.75</v>
      </c>
      <c r="G23" s="18">
        <f t="shared" si="10"/>
        <v>37183.75</v>
      </c>
      <c r="H23" s="18">
        <f t="shared" si="10"/>
        <v>37183.75</v>
      </c>
      <c r="I23" s="18">
        <f t="shared" si="10"/>
        <v>37183.75</v>
      </c>
      <c r="J23" s="18">
        <f t="shared" si="10"/>
        <v>37183.75</v>
      </c>
      <c r="K23" s="18">
        <f t="shared" si="10"/>
        <v>37183.75</v>
      </c>
      <c r="L23" s="18">
        <f t="shared" si="10"/>
        <v>37183.75</v>
      </c>
      <c r="M23" s="18">
        <f t="shared" si="10"/>
        <v>37183.75</v>
      </c>
      <c r="N23" s="18">
        <f t="shared" si="10"/>
        <v>37183.75</v>
      </c>
      <c r="O23" s="50">
        <f t="shared" si="6"/>
        <v>446205</v>
      </c>
    </row>
    <row r="24" spans="1:15">
      <c r="A24" t="s">
        <v>21</v>
      </c>
      <c r="B24" s="9" t="s">
        <v>49</v>
      </c>
      <c r="C24" s="19">
        <f t="shared" ref="C24:N24" si="11">SUM(C17:C23)</f>
        <v>108943.41666666666</v>
      </c>
      <c r="D24" s="19">
        <f t="shared" si="11"/>
        <v>108943.41666666666</v>
      </c>
      <c r="E24" s="19">
        <f t="shared" si="11"/>
        <v>108943.41666666666</v>
      </c>
      <c r="F24" s="19">
        <f t="shared" si="11"/>
        <v>108943.41666666666</v>
      </c>
      <c r="G24" s="19">
        <f t="shared" si="11"/>
        <v>108943.41666666666</v>
      </c>
      <c r="H24" s="19">
        <f t="shared" si="11"/>
        <v>108943.41666666666</v>
      </c>
      <c r="I24" s="19">
        <f t="shared" si="11"/>
        <v>108943.41666666666</v>
      </c>
      <c r="J24" s="19">
        <f t="shared" si="11"/>
        <v>108943.41666666666</v>
      </c>
      <c r="K24" s="19">
        <f t="shared" si="11"/>
        <v>108943.41666666666</v>
      </c>
      <c r="L24" s="19">
        <f t="shared" si="11"/>
        <v>108943.41666666666</v>
      </c>
      <c r="M24" s="19">
        <f t="shared" si="11"/>
        <v>108943.41666666666</v>
      </c>
      <c r="N24" s="19">
        <f t="shared" si="11"/>
        <v>108943.41666666666</v>
      </c>
      <c r="O24" s="51">
        <f>SUM(O17:O23)</f>
        <v>1307321</v>
      </c>
    </row>
    <row r="25" spans="1:15" ht="16.149999999999999" customHeight="1">
      <c r="B25" s="9"/>
      <c r="E25" s="15"/>
      <c r="F25" s="15"/>
      <c r="G25" s="15"/>
      <c r="H25" s="15"/>
      <c r="I25" s="15"/>
      <c r="J25" s="15"/>
      <c r="K25" s="15"/>
      <c r="L25" s="15"/>
      <c r="M25" s="15"/>
      <c r="N25" s="15"/>
      <c r="O25" s="50"/>
    </row>
    <row r="26" spans="1:15">
      <c r="B26" s="9" t="s">
        <v>86</v>
      </c>
      <c r="E26" s="15"/>
      <c r="F26" s="15"/>
      <c r="G26" s="15"/>
      <c r="H26" s="15"/>
      <c r="I26" s="15"/>
      <c r="J26" s="15"/>
      <c r="K26" s="15"/>
      <c r="L26" s="15"/>
      <c r="M26" s="15"/>
      <c r="N26" s="15"/>
      <c r="O26" s="50"/>
    </row>
    <row r="27" spans="1:15">
      <c r="B27" s="5" t="s">
        <v>34</v>
      </c>
      <c r="C27" s="18">
        <f>322533/12</f>
        <v>26877.75</v>
      </c>
      <c r="D27" s="18">
        <f t="shared" ref="D27:N27" si="12">322533/12</f>
        <v>26877.75</v>
      </c>
      <c r="E27" s="18">
        <f t="shared" si="12"/>
        <v>26877.75</v>
      </c>
      <c r="F27" s="18">
        <f t="shared" si="12"/>
        <v>26877.75</v>
      </c>
      <c r="G27" s="18">
        <f t="shared" si="12"/>
        <v>26877.75</v>
      </c>
      <c r="H27" s="18">
        <f t="shared" si="12"/>
        <v>26877.75</v>
      </c>
      <c r="I27" s="18">
        <f t="shared" si="12"/>
        <v>26877.75</v>
      </c>
      <c r="J27" s="18">
        <f t="shared" si="12"/>
        <v>26877.75</v>
      </c>
      <c r="K27" s="18">
        <f t="shared" si="12"/>
        <v>26877.75</v>
      </c>
      <c r="L27" s="18">
        <f t="shared" si="12"/>
        <v>26877.75</v>
      </c>
      <c r="M27" s="18">
        <f t="shared" si="12"/>
        <v>26877.75</v>
      </c>
      <c r="N27" s="18">
        <f t="shared" si="12"/>
        <v>26877.75</v>
      </c>
      <c r="O27" s="50">
        <f t="shared" ref="O27:O33" si="13">SUM(C27:N27)</f>
        <v>322533</v>
      </c>
    </row>
    <row r="28" spans="1:15">
      <c r="B28" s="5" t="s">
        <v>35</v>
      </c>
      <c r="C28" s="18">
        <f t="shared" ref="C28:M28" si="14">89584/12</f>
        <v>7465.333333333333</v>
      </c>
      <c r="D28" s="18">
        <f t="shared" si="14"/>
        <v>7465.333333333333</v>
      </c>
      <c r="E28" s="18">
        <f t="shared" si="14"/>
        <v>7465.333333333333</v>
      </c>
      <c r="F28" s="18">
        <f t="shared" si="14"/>
        <v>7465.333333333333</v>
      </c>
      <c r="G28" s="18">
        <f t="shared" si="14"/>
        <v>7465.333333333333</v>
      </c>
      <c r="H28" s="18">
        <f t="shared" si="14"/>
        <v>7465.333333333333</v>
      </c>
      <c r="I28" s="18">
        <f t="shared" si="14"/>
        <v>7465.333333333333</v>
      </c>
      <c r="J28" s="18">
        <f t="shared" si="14"/>
        <v>7465.333333333333</v>
      </c>
      <c r="K28" s="18">
        <f t="shared" si="14"/>
        <v>7465.333333333333</v>
      </c>
      <c r="L28" s="18">
        <f t="shared" si="14"/>
        <v>7465.333333333333</v>
      </c>
      <c r="M28" s="18">
        <f t="shared" si="14"/>
        <v>7465.333333333333</v>
      </c>
      <c r="N28" s="18">
        <f>89584/12</f>
        <v>7465.333333333333</v>
      </c>
      <c r="O28" s="50">
        <f t="shared" si="13"/>
        <v>89583.999999999985</v>
      </c>
    </row>
    <row r="29" spans="1:15">
      <c r="B29" s="5" t="s">
        <v>36</v>
      </c>
      <c r="C29" s="18">
        <f>15802/12</f>
        <v>1316.8333333333333</v>
      </c>
      <c r="D29" s="18">
        <f t="shared" ref="D29:N29" si="15">15802/12</f>
        <v>1316.8333333333333</v>
      </c>
      <c r="E29" s="18">
        <f t="shared" si="15"/>
        <v>1316.8333333333333</v>
      </c>
      <c r="F29" s="18">
        <f t="shared" si="15"/>
        <v>1316.8333333333333</v>
      </c>
      <c r="G29" s="18">
        <f t="shared" si="15"/>
        <v>1316.8333333333333</v>
      </c>
      <c r="H29" s="18">
        <f t="shared" si="15"/>
        <v>1316.8333333333333</v>
      </c>
      <c r="I29" s="18">
        <f t="shared" si="15"/>
        <v>1316.8333333333333</v>
      </c>
      <c r="J29" s="18">
        <f t="shared" si="15"/>
        <v>1316.8333333333333</v>
      </c>
      <c r="K29" s="18">
        <f t="shared" si="15"/>
        <v>1316.8333333333333</v>
      </c>
      <c r="L29" s="18">
        <f t="shared" si="15"/>
        <v>1316.8333333333333</v>
      </c>
      <c r="M29" s="18">
        <f t="shared" si="15"/>
        <v>1316.8333333333333</v>
      </c>
      <c r="N29" s="18">
        <f t="shared" si="15"/>
        <v>1316.8333333333333</v>
      </c>
      <c r="O29" s="50">
        <f t="shared" si="13"/>
        <v>15802.000000000002</v>
      </c>
    </row>
    <row r="30" spans="1:15" hidden="1">
      <c r="B30" s="5" t="s">
        <v>37</v>
      </c>
      <c r="O30" s="50">
        <f t="shared" si="13"/>
        <v>0</v>
      </c>
    </row>
    <row r="31" spans="1:15" hidden="1">
      <c r="B31" s="5" t="s">
        <v>38</v>
      </c>
      <c r="O31" s="50">
        <f t="shared" si="13"/>
        <v>0</v>
      </c>
    </row>
    <row r="32" spans="1:15" hidden="1">
      <c r="B32" s="5" t="s">
        <v>39</v>
      </c>
      <c r="O32" s="50">
        <f t="shared" si="13"/>
        <v>0</v>
      </c>
    </row>
    <row r="33" spans="1:16">
      <c r="B33" s="5" t="s">
        <v>40</v>
      </c>
      <c r="C33" s="18">
        <f>252774/12</f>
        <v>21064.5</v>
      </c>
      <c r="D33" s="18">
        <f t="shared" ref="D33:N33" si="16">252774/12</f>
        <v>21064.5</v>
      </c>
      <c r="E33" s="18">
        <f t="shared" si="16"/>
        <v>21064.5</v>
      </c>
      <c r="F33" s="18">
        <f t="shared" si="16"/>
        <v>21064.5</v>
      </c>
      <c r="G33" s="18">
        <f t="shared" si="16"/>
        <v>21064.5</v>
      </c>
      <c r="H33" s="18">
        <f t="shared" si="16"/>
        <v>21064.5</v>
      </c>
      <c r="I33" s="18">
        <f t="shared" si="16"/>
        <v>21064.5</v>
      </c>
      <c r="J33" s="18">
        <f t="shared" si="16"/>
        <v>21064.5</v>
      </c>
      <c r="K33" s="18">
        <f t="shared" si="16"/>
        <v>21064.5</v>
      </c>
      <c r="L33" s="18">
        <f t="shared" si="16"/>
        <v>21064.5</v>
      </c>
      <c r="M33" s="18">
        <f t="shared" si="16"/>
        <v>21064.5</v>
      </c>
      <c r="N33" s="18">
        <f t="shared" si="16"/>
        <v>21064.5</v>
      </c>
      <c r="O33" s="50">
        <f t="shared" si="13"/>
        <v>252774</v>
      </c>
    </row>
    <row r="34" spans="1:16">
      <c r="A34" t="s">
        <v>20</v>
      </c>
      <c r="B34" s="9" t="s">
        <v>48</v>
      </c>
      <c r="C34" s="19">
        <f t="shared" ref="C34:O34" si="17">SUM(C27:C33)</f>
        <v>56724.416666666672</v>
      </c>
      <c r="D34" s="19">
        <f t="shared" si="17"/>
        <v>56724.416666666672</v>
      </c>
      <c r="E34" s="19">
        <f t="shared" si="17"/>
        <v>56724.416666666672</v>
      </c>
      <c r="F34" s="19">
        <f t="shared" si="17"/>
        <v>56724.416666666672</v>
      </c>
      <c r="G34" s="19">
        <f t="shared" si="17"/>
        <v>56724.416666666672</v>
      </c>
      <c r="H34" s="19">
        <f t="shared" si="17"/>
        <v>56724.416666666672</v>
      </c>
      <c r="I34" s="19">
        <f t="shared" si="17"/>
        <v>56724.416666666672</v>
      </c>
      <c r="J34" s="19">
        <f t="shared" si="17"/>
        <v>56724.416666666672</v>
      </c>
      <c r="K34" s="19">
        <f t="shared" si="17"/>
        <v>56724.416666666672</v>
      </c>
      <c r="L34" s="19">
        <f t="shared" si="17"/>
        <v>56724.416666666672</v>
      </c>
      <c r="M34" s="19">
        <f t="shared" si="17"/>
        <v>56724.416666666672</v>
      </c>
      <c r="N34" s="19">
        <f t="shared" si="17"/>
        <v>56724.416666666672</v>
      </c>
      <c r="O34" s="51">
        <f t="shared" si="17"/>
        <v>680693</v>
      </c>
    </row>
    <row r="35" spans="1:16">
      <c r="B35" s="9"/>
      <c r="O35" s="52"/>
    </row>
    <row r="36" spans="1:16" ht="15.75" thickBot="1">
      <c r="A36" t="s">
        <v>96</v>
      </c>
      <c r="B36" s="9" t="s">
        <v>87</v>
      </c>
      <c r="C36" s="21">
        <f>C34+C24+C14</f>
        <v>464564.83333333331</v>
      </c>
      <c r="D36" s="21">
        <f t="shared" ref="D36:O36" si="18">D34+D24+D14</f>
        <v>464564.83333333331</v>
      </c>
      <c r="E36" s="21">
        <f t="shared" si="18"/>
        <v>464564.83333333331</v>
      </c>
      <c r="F36" s="21">
        <f t="shared" si="18"/>
        <v>464564.83333333331</v>
      </c>
      <c r="G36" s="21">
        <f t="shared" si="18"/>
        <v>464564.83333333331</v>
      </c>
      <c r="H36" s="21">
        <f t="shared" si="18"/>
        <v>464564.83333333331</v>
      </c>
      <c r="I36" s="21">
        <f t="shared" si="18"/>
        <v>464564.83333333331</v>
      </c>
      <c r="J36" s="21">
        <f t="shared" si="18"/>
        <v>464564.83333333331</v>
      </c>
      <c r="K36" s="21">
        <f t="shared" si="18"/>
        <v>464564.83333333331</v>
      </c>
      <c r="L36" s="21">
        <f t="shared" si="18"/>
        <v>464564.83333333331</v>
      </c>
      <c r="M36" s="21">
        <f t="shared" si="18"/>
        <v>464564.83333333331</v>
      </c>
      <c r="N36" s="21">
        <f t="shared" si="18"/>
        <v>464564.83333333331</v>
      </c>
      <c r="O36" s="53">
        <f t="shared" si="18"/>
        <v>5574778</v>
      </c>
    </row>
    <row r="37" spans="1:16" ht="15.75" thickTop="1">
      <c r="B37" s="9"/>
      <c r="O37" s="52"/>
    </row>
    <row r="38" spans="1:16">
      <c r="B38" s="10" t="s">
        <v>88</v>
      </c>
      <c r="O38" s="52"/>
    </row>
    <row r="39" spans="1:16">
      <c r="B39" s="6" t="s">
        <v>34</v>
      </c>
      <c r="C39" s="18">
        <v>555178.04</v>
      </c>
      <c r="D39" s="18">
        <v>106263</v>
      </c>
      <c r="E39" s="18">
        <v>116622.1</v>
      </c>
      <c r="F39" s="34">
        <v>118980</v>
      </c>
      <c r="G39" s="18">
        <v>162713</v>
      </c>
      <c r="H39" s="18">
        <v>146740</v>
      </c>
      <c r="I39" s="18">
        <v>202670</v>
      </c>
      <c r="J39" s="18">
        <v>168286</v>
      </c>
      <c r="K39" s="18">
        <v>161138</v>
      </c>
      <c r="L39" s="18"/>
      <c r="M39" s="18"/>
      <c r="N39" s="18"/>
      <c r="O39" s="50">
        <f t="shared" ref="O39:O45" si="19">SUM(C39:N39)</f>
        <v>1738590.1400000001</v>
      </c>
      <c r="P39" s="16">
        <f t="shared" ref="P39:P45" si="20">SUM(D39:O39)</f>
        <v>2922002.24</v>
      </c>
    </row>
    <row r="40" spans="1:16">
      <c r="B40" s="6" t="s">
        <v>35</v>
      </c>
      <c r="C40" s="18">
        <v>107608.58</v>
      </c>
      <c r="D40" s="18">
        <v>85453.32</v>
      </c>
      <c r="E40" s="18">
        <v>96183.8</v>
      </c>
      <c r="F40" s="34">
        <v>54287</v>
      </c>
      <c r="G40" s="18">
        <v>93654</v>
      </c>
      <c r="H40" s="18">
        <v>69193</v>
      </c>
      <c r="I40" s="18">
        <v>74133</v>
      </c>
      <c r="J40" s="18">
        <v>69702</v>
      </c>
      <c r="K40" s="18">
        <v>60177</v>
      </c>
      <c r="L40" s="18"/>
      <c r="M40" s="18"/>
      <c r="N40" s="18"/>
      <c r="O40" s="50">
        <f t="shared" si="19"/>
        <v>710391.7</v>
      </c>
      <c r="P40" s="16">
        <f t="shared" si="20"/>
        <v>1313174.8199999998</v>
      </c>
    </row>
    <row r="41" spans="1:16">
      <c r="B41" s="6" t="s">
        <v>36</v>
      </c>
      <c r="C41" s="18"/>
      <c r="D41" s="18">
        <v>618.53</v>
      </c>
      <c r="E41" s="18"/>
      <c r="F41" s="34">
        <v>0</v>
      </c>
      <c r="G41" s="18">
        <v>84338</v>
      </c>
      <c r="H41" s="18"/>
      <c r="I41" s="18">
        <v>49016</v>
      </c>
      <c r="J41" s="18">
        <v>62818</v>
      </c>
      <c r="K41" s="18">
        <v>39157</v>
      </c>
      <c r="L41" s="18"/>
      <c r="M41" s="18"/>
      <c r="N41" s="18"/>
      <c r="O41" s="50">
        <f t="shared" si="19"/>
        <v>235947.53</v>
      </c>
      <c r="P41" s="16">
        <f t="shared" si="20"/>
        <v>471895.06</v>
      </c>
    </row>
    <row r="42" spans="1:16" hidden="1">
      <c r="B42" s="6" t="s">
        <v>37</v>
      </c>
      <c r="C42" s="18"/>
      <c r="D42" s="18"/>
      <c r="E42" s="18"/>
      <c r="F42" s="34"/>
      <c r="G42" s="18"/>
      <c r="H42" s="18"/>
      <c r="I42" s="18"/>
      <c r="J42" s="18"/>
      <c r="K42" s="18"/>
      <c r="L42" s="18"/>
      <c r="M42" s="18"/>
      <c r="N42" s="18"/>
      <c r="O42" s="50">
        <f t="shared" si="19"/>
        <v>0</v>
      </c>
      <c r="P42" s="16">
        <f t="shared" si="20"/>
        <v>0</v>
      </c>
    </row>
    <row r="43" spans="1:16" hidden="1">
      <c r="B43" s="6" t="s">
        <v>38</v>
      </c>
      <c r="C43" s="18"/>
      <c r="D43" s="18"/>
      <c r="E43" s="18"/>
      <c r="F43" s="34"/>
      <c r="G43" s="18"/>
      <c r="H43" s="18"/>
      <c r="I43" s="18"/>
      <c r="J43" s="18"/>
      <c r="K43" s="18"/>
      <c r="L43" s="18"/>
      <c r="M43" s="18"/>
      <c r="N43" s="18"/>
      <c r="O43" s="50">
        <f t="shared" si="19"/>
        <v>0</v>
      </c>
      <c r="P43" s="16">
        <f t="shared" si="20"/>
        <v>0</v>
      </c>
    </row>
    <row r="44" spans="1:16" hidden="1">
      <c r="B44" s="6" t="s">
        <v>39</v>
      </c>
      <c r="C44" s="18"/>
      <c r="D44" s="18"/>
      <c r="E44" s="18"/>
      <c r="F44" s="34"/>
      <c r="G44" s="18"/>
      <c r="H44" s="18"/>
      <c r="I44" s="18"/>
      <c r="J44" s="18"/>
      <c r="K44" s="18"/>
      <c r="L44" s="18"/>
      <c r="M44" s="18"/>
      <c r="N44" s="18"/>
      <c r="O44" s="50">
        <f t="shared" si="19"/>
        <v>0</v>
      </c>
      <c r="P44" s="16">
        <f t="shared" si="20"/>
        <v>0</v>
      </c>
    </row>
    <row r="45" spans="1:16" hidden="1">
      <c r="B45" s="6" t="s">
        <v>40</v>
      </c>
      <c r="C45" s="18"/>
      <c r="D45" s="18"/>
      <c r="E45" s="18"/>
      <c r="F45" s="34"/>
      <c r="G45" s="18"/>
      <c r="H45" s="18"/>
      <c r="I45" s="18"/>
      <c r="J45" s="18"/>
      <c r="K45" s="18"/>
      <c r="L45" s="18"/>
      <c r="M45" s="18"/>
      <c r="N45" s="18"/>
      <c r="O45" s="50">
        <f t="shared" si="19"/>
        <v>0</v>
      </c>
      <c r="P45" s="16">
        <f t="shared" si="20"/>
        <v>0</v>
      </c>
    </row>
    <row r="46" spans="1:16">
      <c r="A46" t="s">
        <v>24</v>
      </c>
      <c r="B46" s="10" t="s">
        <v>42</v>
      </c>
      <c r="C46" s="19">
        <f>SUM(C39:C45)</f>
        <v>662786.62</v>
      </c>
      <c r="D46" s="19">
        <f t="shared" ref="D46:N46" si="21">SUM(D39:D45)</f>
        <v>192334.85</v>
      </c>
      <c r="E46" s="19">
        <f t="shared" si="21"/>
        <v>212805.90000000002</v>
      </c>
      <c r="F46" s="19">
        <f t="shared" si="21"/>
        <v>173267</v>
      </c>
      <c r="G46" s="19">
        <f t="shared" si="21"/>
        <v>340705</v>
      </c>
      <c r="H46" s="19">
        <f t="shared" si="21"/>
        <v>215933</v>
      </c>
      <c r="I46" s="19">
        <f t="shared" si="21"/>
        <v>325819</v>
      </c>
      <c r="J46" s="19">
        <f t="shared" si="21"/>
        <v>300806</v>
      </c>
      <c r="K46" s="19">
        <f t="shared" si="21"/>
        <v>260472</v>
      </c>
      <c r="L46" s="19">
        <f t="shared" si="21"/>
        <v>0</v>
      </c>
      <c r="M46" s="19">
        <f t="shared" si="21"/>
        <v>0</v>
      </c>
      <c r="N46" s="19">
        <f t="shared" si="21"/>
        <v>0</v>
      </c>
      <c r="O46" s="51">
        <f t="shared" ref="O46" si="22">SUM(O39:O45)</f>
        <v>2684929.3699999996</v>
      </c>
      <c r="P46" s="19">
        <f>SUM(P39:P45)</f>
        <v>4707072.12</v>
      </c>
    </row>
    <row r="47" spans="1:16">
      <c r="B47" s="10"/>
      <c r="C47" s="18"/>
      <c r="D47" s="18"/>
      <c r="E47" s="18"/>
      <c r="F47" s="33"/>
      <c r="G47" s="18"/>
      <c r="H47" s="18"/>
      <c r="I47" s="18"/>
      <c r="J47" s="18"/>
      <c r="K47" s="18"/>
      <c r="L47" s="18"/>
      <c r="M47" s="18"/>
      <c r="N47" s="18"/>
      <c r="O47" s="54"/>
      <c r="P47" s="18"/>
    </row>
    <row r="48" spans="1:16">
      <c r="B48" s="10" t="s">
        <v>89</v>
      </c>
      <c r="C48" s="18"/>
      <c r="D48" s="18"/>
      <c r="E48" s="18"/>
      <c r="F48" s="33"/>
      <c r="G48" s="18"/>
      <c r="H48" s="18"/>
      <c r="I48" s="18"/>
      <c r="J48" s="18"/>
      <c r="K48" s="18"/>
      <c r="L48" s="18"/>
      <c r="M48" s="18"/>
      <c r="N48" s="18"/>
      <c r="O48" s="50"/>
      <c r="P48" s="18"/>
    </row>
    <row r="49" spans="1:16">
      <c r="B49" s="6" t="s">
        <v>34</v>
      </c>
      <c r="C49" s="18">
        <v>61577.1</v>
      </c>
      <c r="D49" s="18">
        <v>11059.97</v>
      </c>
      <c r="E49" s="18">
        <v>77226.27</v>
      </c>
      <c r="F49" s="34">
        <v>22284</v>
      </c>
      <c r="G49" s="18">
        <v>4550</v>
      </c>
      <c r="H49" s="18">
        <v>14527</v>
      </c>
      <c r="I49" s="18">
        <v>13392</v>
      </c>
      <c r="J49" s="18">
        <v>27491</v>
      </c>
      <c r="K49" s="18">
        <v>65599</v>
      </c>
      <c r="L49" s="18"/>
      <c r="M49" s="18"/>
      <c r="N49" s="18"/>
      <c r="O49" s="50">
        <f t="shared" ref="O49:O55" si="23">SUM(C49:N49)</f>
        <v>297706.33999999997</v>
      </c>
      <c r="P49" s="16">
        <f t="shared" ref="P49:P55" si="24">SUM(D49:O49)</f>
        <v>533835.57999999996</v>
      </c>
    </row>
    <row r="50" spans="1:16">
      <c r="B50" s="6" t="s">
        <v>35</v>
      </c>
      <c r="C50" s="18">
        <v>36262.93</v>
      </c>
      <c r="D50" s="18">
        <v>21820.91</v>
      </c>
      <c r="E50" s="18">
        <v>30424.26</v>
      </c>
      <c r="F50" s="34">
        <v>16106</v>
      </c>
      <c r="G50" s="18">
        <v>23685</v>
      </c>
      <c r="H50" s="18">
        <v>13179</v>
      </c>
      <c r="I50" s="18">
        <v>29117</v>
      </c>
      <c r="J50" s="18"/>
      <c r="K50" s="18">
        <v>515</v>
      </c>
      <c r="L50" s="18"/>
      <c r="M50" s="18"/>
      <c r="N50" s="18"/>
      <c r="O50" s="50">
        <f t="shared" si="23"/>
        <v>171110.09999999998</v>
      </c>
      <c r="P50" s="16">
        <f t="shared" si="24"/>
        <v>305957.26999999996</v>
      </c>
    </row>
    <row r="51" spans="1:16">
      <c r="B51" s="6" t="s">
        <v>36</v>
      </c>
      <c r="C51" s="18">
        <v>3035.47</v>
      </c>
      <c r="D51" s="18">
        <v>1067.99</v>
      </c>
      <c r="E51" s="18">
        <v>1001.12</v>
      </c>
      <c r="F51" s="34">
        <v>885</v>
      </c>
      <c r="G51" s="18">
        <v>4663</v>
      </c>
      <c r="H51" s="18">
        <v>1120</v>
      </c>
      <c r="I51" s="18">
        <v>8234</v>
      </c>
      <c r="J51" s="18">
        <v>2969</v>
      </c>
      <c r="K51" s="18">
        <v>6378</v>
      </c>
      <c r="L51" s="18"/>
      <c r="M51" s="18"/>
      <c r="N51" s="18"/>
      <c r="O51" s="50">
        <f t="shared" si="23"/>
        <v>29353.58</v>
      </c>
      <c r="P51" s="16">
        <f t="shared" si="24"/>
        <v>55671.69</v>
      </c>
    </row>
    <row r="52" spans="1:16">
      <c r="B52" s="6" t="s">
        <v>37</v>
      </c>
      <c r="C52" s="18">
        <v>0</v>
      </c>
      <c r="D52" s="18"/>
      <c r="E52" s="18"/>
      <c r="F52" s="34"/>
      <c r="G52" s="18"/>
      <c r="H52" s="18"/>
      <c r="I52" s="18"/>
      <c r="J52" s="18"/>
      <c r="K52" s="18"/>
      <c r="L52" s="18"/>
      <c r="M52" s="18"/>
      <c r="N52" s="18"/>
      <c r="O52" s="50">
        <f t="shared" si="23"/>
        <v>0</v>
      </c>
      <c r="P52" s="16">
        <f t="shared" si="24"/>
        <v>0</v>
      </c>
    </row>
    <row r="53" spans="1:16">
      <c r="B53" s="6" t="s">
        <v>38</v>
      </c>
      <c r="C53" s="18">
        <v>0</v>
      </c>
      <c r="D53" s="18"/>
      <c r="E53" s="18"/>
      <c r="F53" s="34"/>
      <c r="G53" s="18"/>
      <c r="H53" s="18"/>
      <c r="I53" s="18"/>
      <c r="J53" s="18"/>
      <c r="K53" s="18"/>
      <c r="L53" s="18"/>
      <c r="M53" s="18"/>
      <c r="N53" s="18"/>
      <c r="O53" s="50">
        <f t="shared" si="23"/>
        <v>0</v>
      </c>
      <c r="P53" s="16">
        <f t="shared" si="24"/>
        <v>0</v>
      </c>
    </row>
    <row r="54" spans="1:16">
      <c r="B54" s="6" t="s">
        <v>39</v>
      </c>
      <c r="C54" s="18">
        <v>248.19</v>
      </c>
      <c r="D54" s="18">
        <v>271.02999999999997</v>
      </c>
      <c r="E54" s="18">
        <v>129336.5</v>
      </c>
      <c r="F54" s="34">
        <v>390</v>
      </c>
      <c r="G54" s="18">
        <v>454</v>
      </c>
      <c r="H54" s="18">
        <v>148455</v>
      </c>
      <c r="I54" s="18">
        <v>308</v>
      </c>
      <c r="J54" s="18">
        <v>21936</v>
      </c>
      <c r="K54" s="18">
        <v>826</v>
      </c>
      <c r="L54" s="18"/>
      <c r="M54" s="18"/>
      <c r="N54" s="18"/>
      <c r="O54" s="50">
        <f t="shared" si="23"/>
        <v>302224.71999999997</v>
      </c>
      <c r="P54" s="16">
        <f t="shared" si="24"/>
        <v>604201.25</v>
      </c>
    </row>
    <row r="55" spans="1:16">
      <c r="B55" s="6" t="s">
        <v>40</v>
      </c>
      <c r="C55" s="18">
        <v>42019.11</v>
      </c>
      <c r="D55" s="18">
        <v>44141.46</v>
      </c>
      <c r="E55" s="18">
        <v>54258.04</v>
      </c>
      <c r="F55" s="34">
        <v>54931</v>
      </c>
      <c r="G55" s="18">
        <v>58109</v>
      </c>
      <c r="H55" s="18">
        <v>42193</v>
      </c>
      <c r="I55" s="18">
        <v>52333</v>
      </c>
      <c r="J55" s="18">
        <v>44857</v>
      </c>
      <c r="K55" s="18">
        <v>32336</v>
      </c>
      <c r="L55" s="18"/>
      <c r="M55" s="18"/>
      <c r="N55" s="18"/>
      <c r="O55" s="50">
        <f t="shared" si="23"/>
        <v>425177.61</v>
      </c>
      <c r="P55" s="16">
        <f t="shared" si="24"/>
        <v>808336.11</v>
      </c>
    </row>
    <row r="56" spans="1:16">
      <c r="A56" t="s">
        <v>97</v>
      </c>
      <c r="B56" s="10" t="s">
        <v>90</v>
      </c>
      <c r="C56" s="19">
        <f t="shared" ref="C56:O56" si="25">SUM(C49:C55)</f>
        <v>143142.79999999999</v>
      </c>
      <c r="D56" s="19">
        <f t="shared" si="25"/>
        <v>78361.359999999986</v>
      </c>
      <c r="E56" s="19">
        <f t="shared" si="25"/>
        <v>292246.19</v>
      </c>
      <c r="F56" s="19">
        <f t="shared" si="25"/>
        <v>94596</v>
      </c>
      <c r="G56" s="19">
        <f t="shared" si="25"/>
        <v>91461</v>
      </c>
      <c r="H56" s="19">
        <f t="shared" si="25"/>
        <v>219474</v>
      </c>
      <c r="I56" s="19">
        <f t="shared" si="25"/>
        <v>103384</v>
      </c>
      <c r="J56" s="19">
        <f t="shared" si="25"/>
        <v>97253</v>
      </c>
      <c r="K56" s="19">
        <f t="shared" si="25"/>
        <v>105654</v>
      </c>
      <c r="L56" s="19">
        <f t="shared" si="25"/>
        <v>0</v>
      </c>
      <c r="M56" s="19">
        <f t="shared" si="25"/>
        <v>0</v>
      </c>
      <c r="N56" s="19">
        <f t="shared" si="25"/>
        <v>0</v>
      </c>
      <c r="O56" s="51">
        <f t="shared" si="25"/>
        <v>1225572.3500000001</v>
      </c>
      <c r="P56" s="19">
        <f>SUM(P49:P55)</f>
        <v>2308001.9</v>
      </c>
    </row>
    <row r="57" spans="1:16">
      <c r="B57" s="10"/>
      <c r="C57" s="18"/>
      <c r="D57" s="18"/>
      <c r="E57" s="18"/>
      <c r="F57" s="33"/>
      <c r="G57" s="18"/>
      <c r="H57" s="18"/>
      <c r="I57" s="18"/>
      <c r="J57" s="18"/>
      <c r="K57" s="18"/>
      <c r="L57" s="18"/>
      <c r="M57" s="18"/>
      <c r="N57" s="18"/>
      <c r="O57" s="54"/>
      <c r="P57" s="18"/>
    </row>
    <row r="58" spans="1:16">
      <c r="B58" s="10" t="s">
        <v>91</v>
      </c>
      <c r="C58" s="18"/>
      <c r="D58" s="18"/>
      <c r="E58" s="18"/>
      <c r="F58" s="33"/>
      <c r="G58" s="18"/>
      <c r="H58" s="18"/>
      <c r="I58" s="18"/>
      <c r="J58" s="18"/>
      <c r="K58" s="18"/>
      <c r="L58" s="18"/>
      <c r="M58" s="18"/>
      <c r="N58" s="18"/>
      <c r="O58" s="54"/>
      <c r="P58" s="18"/>
    </row>
    <row r="59" spans="1:16">
      <c r="B59" s="6" t="s">
        <v>34</v>
      </c>
      <c r="C59" s="18">
        <v>2638.43</v>
      </c>
      <c r="D59" s="18"/>
      <c r="E59" s="18">
        <v>3105.79</v>
      </c>
      <c r="F59" s="34">
        <v>3648</v>
      </c>
      <c r="G59" s="18">
        <v>2203</v>
      </c>
      <c r="H59" s="18">
        <v>2479</v>
      </c>
      <c r="I59" s="18">
        <v>1877</v>
      </c>
      <c r="J59" s="18">
        <v>1250</v>
      </c>
      <c r="K59" s="18">
        <v>2575</v>
      </c>
      <c r="L59" s="18"/>
      <c r="M59" s="18"/>
      <c r="N59" s="18"/>
      <c r="O59" s="50">
        <f t="shared" ref="O59:O65" si="26">SUM(C59:N59)</f>
        <v>19776.22</v>
      </c>
      <c r="P59" s="16">
        <f t="shared" ref="P59:P65" si="27">SUM(D59:O59)</f>
        <v>36914.01</v>
      </c>
    </row>
    <row r="60" spans="1:16">
      <c r="B60" s="6" t="s">
        <v>35</v>
      </c>
      <c r="C60" s="18">
        <v>2497.06</v>
      </c>
      <c r="D60" s="18"/>
      <c r="E60" s="18">
        <v>1837.79</v>
      </c>
      <c r="F60" s="34">
        <v>-591</v>
      </c>
      <c r="G60" s="18"/>
      <c r="H60" s="18"/>
      <c r="I60" s="18"/>
      <c r="J60" s="18"/>
      <c r="K60" s="18"/>
      <c r="L60" s="18"/>
      <c r="M60" s="18"/>
      <c r="N60" s="18"/>
      <c r="O60" s="50">
        <f t="shared" si="26"/>
        <v>3743.8500000000004</v>
      </c>
      <c r="P60" s="16">
        <f t="shared" si="27"/>
        <v>4990.6400000000003</v>
      </c>
    </row>
    <row r="61" spans="1:16">
      <c r="B61" s="6" t="s">
        <v>36</v>
      </c>
      <c r="D61" s="18"/>
      <c r="E61" s="18"/>
      <c r="F61" s="18"/>
      <c r="G61" s="18"/>
      <c r="H61" s="18"/>
      <c r="I61" s="18"/>
      <c r="J61" s="18"/>
      <c r="K61" s="18"/>
      <c r="L61" s="18"/>
      <c r="M61" s="18"/>
      <c r="N61" s="18"/>
      <c r="O61" s="50">
        <f t="shared" si="26"/>
        <v>0</v>
      </c>
      <c r="P61" s="16">
        <f t="shared" si="27"/>
        <v>0</v>
      </c>
    </row>
    <row r="62" spans="1:16" hidden="1">
      <c r="B62" s="6" t="s">
        <v>37</v>
      </c>
      <c r="D62" s="18"/>
      <c r="E62" s="18"/>
      <c r="F62" s="18"/>
      <c r="G62" s="18"/>
      <c r="H62" s="18"/>
      <c r="I62" s="18"/>
      <c r="J62" s="18"/>
      <c r="K62" s="18"/>
      <c r="L62" s="18"/>
      <c r="M62" s="18"/>
      <c r="N62" s="18"/>
      <c r="O62" s="50">
        <f t="shared" si="26"/>
        <v>0</v>
      </c>
      <c r="P62" s="16">
        <f t="shared" si="27"/>
        <v>0</v>
      </c>
    </row>
    <row r="63" spans="1:16" hidden="1">
      <c r="B63" s="6" t="s">
        <v>38</v>
      </c>
      <c r="D63" s="18"/>
      <c r="E63" s="18"/>
      <c r="F63" s="18"/>
      <c r="G63" s="18"/>
      <c r="H63" s="18"/>
      <c r="I63" s="18"/>
      <c r="J63" s="18"/>
      <c r="K63" s="18"/>
      <c r="L63" s="18"/>
      <c r="M63" s="18"/>
      <c r="N63" s="18"/>
      <c r="O63" s="50">
        <f t="shared" si="26"/>
        <v>0</v>
      </c>
      <c r="P63" s="16">
        <f t="shared" si="27"/>
        <v>0</v>
      </c>
    </row>
    <row r="64" spans="1:16">
      <c r="B64" s="6" t="s">
        <v>39</v>
      </c>
      <c r="D64" s="18"/>
      <c r="E64" s="18"/>
      <c r="F64" s="18"/>
      <c r="G64" s="18"/>
      <c r="H64" s="18"/>
      <c r="I64" s="18"/>
      <c r="J64" s="18"/>
      <c r="K64" s="18"/>
      <c r="L64" s="18"/>
      <c r="M64" s="18"/>
      <c r="N64" s="18"/>
      <c r="O64" s="50">
        <f t="shared" si="26"/>
        <v>0</v>
      </c>
      <c r="P64" s="16">
        <f t="shared" si="27"/>
        <v>0</v>
      </c>
    </row>
    <row r="65" spans="1:16">
      <c r="B65" s="6" t="s">
        <v>40</v>
      </c>
      <c r="D65" s="18"/>
      <c r="E65" s="18"/>
      <c r="F65" s="18"/>
      <c r="G65" s="18">
        <v>460</v>
      </c>
      <c r="H65" s="18">
        <v>632</v>
      </c>
      <c r="I65" s="18">
        <v>1272</v>
      </c>
      <c r="J65" s="18">
        <v>1059</v>
      </c>
      <c r="K65" s="18">
        <v>-115</v>
      </c>
      <c r="L65" s="18"/>
      <c r="M65" s="18"/>
      <c r="N65" s="18"/>
      <c r="O65" s="50">
        <f t="shared" si="26"/>
        <v>3308</v>
      </c>
      <c r="P65" s="16">
        <f t="shared" si="27"/>
        <v>6616</v>
      </c>
    </row>
    <row r="66" spans="1:16">
      <c r="A66" t="s">
        <v>98</v>
      </c>
      <c r="B66" s="10" t="s">
        <v>43</v>
      </c>
      <c r="C66" s="19">
        <f t="shared" ref="C66:P66" si="28">SUM(C59:C65)</f>
        <v>5135.49</v>
      </c>
      <c r="D66" s="19">
        <f t="shared" si="28"/>
        <v>0</v>
      </c>
      <c r="E66" s="19">
        <f t="shared" si="28"/>
        <v>4943.58</v>
      </c>
      <c r="F66" s="19">
        <f t="shared" si="28"/>
        <v>3057</v>
      </c>
      <c r="G66" s="19">
        <f t="shared" si="28"/>
        <v>2663</v>
      </c>
      <c r="H66" s="19">
        <f t="shared" si="28"/>
        <v>3111</v>
      </c>
      <c r="I66" s="19">
        <f t="shared" si="28"/>
        <v>3149</v>
      </c>
      <c r="J66" s="19">
        <f t="shared" si="28"/>
        <v>2309</v>
      </c>
      <c r="K66" s="19">
        <f t="shared" si="28"/>
        <v>2460</v>
      </c>
      <c r="L66" s="19">
        <f t="shared" si="28"/>
        <v>0</v>
      </c>
      <c r="M66" s="19">
        <f t="shared" si="28"/>
        <v>0</v>
      </c>
      <c r="N66" s="19">
        <f t="shared" si="28"/>
        <v>0</v>
      </c>
      <c r="O66" s="51">
        <f t="shared" si="28"/>
        <v>26828.07</v>
      </c>
      <c r="P66" s="19">
        <f t="shared" si="28"/>
        <v>48520.65</v>
      </c>
    </row>
    <row r="67" spans="1:16">
      <c r="B67" s="10"/>
      <c r="C67" s="18"/>
      <c r="D67" s="18"/>
      <c r="E67" s="18"/>
      <c r="F67" s="18"/>
      <c r="G67" s="18"/>
      <c r="H67" s="18"/>
      <c r="I67" s="18"/>
      <c r="J67" s="18"/>
      <c r="K67" s="18"/>
      <c r="L67" s="18"/>
      <c r="M67" s="18"/>
      <c r="N67" s="18"/>
      <c r="O67" s="54"/>
      <c r="P67" s="18"/>
    </row>
    <row r="68" spans="1:16" ht="15.75" thickBot="1">
      <c r="A68" t="s">
        <v>99</v>
      </c>
      <c r="B68" s="10" t="s">
        <v>92</v>
      </c>
      <c r="C68" s="21">
        <f>C66+C56+C46</f>
        <v>811064.90999999992</v>
      </c>
      <c r="D68" s="21">
        <f>D66+D56+D46</f>
        <v>270696.20999999996</v>
      </c>
      <c r="E68" s="21">
        <f t="shared" ref="E68:P68" si="29">E66+E56+E46</f>
        <v>509995.67000000004</v>
      </c>
      <c r="F68" s="21">
        <f t="shared" si="29"/>
        <v>270920</v>
      </c>
      <c r="G68" s="21">
        <f t="shared" si="29"/>
        <v>434829</v>
      </c>
      <c r="H68" s="21">
        <f t="shared" si="29"/>
        <v>438518</v>
      </c>
      <c r="I68" s="21">
        <f t="shared" si="29"/>
        <v>432352</v>
      </c>
      <c r="J68" s="21">
        <f t="shared" si="29"/>
        <v>400368</v>
      </c>
      <c r="K68" s="21">
        <f t="shared" si="29"/>
        <v>368586</v>
      </c>
      <c r="L68" s="21">
        <f t="shared" si="29"/>
        <v>0</v>
      </c>
      <c r="M68" s="21">
        <f t="shared" si="29"/>
        <v>0</v>
      </c>
      <c r="N68" s="21">
        <f t="shared" si="29"/>
        <v>0</v>
      </c>
      <c r="O68" s="53">
        <f t="shared" si="29"/>
        <v>3937329.79</v>
      </c>
      <c r="P68" s="21">
        <f t="shared" si="29"/>
        <v>7063594.6699999999</v>
      </c>
    </row>
    <row r="69" spans="1:16" ht="15.75" thickTop="1">
      <c r="B69" s="9"/>
      <c r="O69" s="52"/>
    </row>
    <row r="70" spans="1:16">
      <c r="B70" s="11" t="s">
        <v>44</v>
      </c>
      <c r="O70" s="52"/>
    </row>
    <row r="71" spans="1:16">
      <c r="B71" s="11" t="s">
        <v>46</v>
      </c>
      <c r="O71" s="52"/>
    </row>
    <row r="72" spans="1:16">
      <c r="B72" s="12" t="s">
        <v>34</v>
      </c>
      <c r="C72" s="34">
        <f>C7-C39</f>
        <v>-361937.54000000004</v>
      </c>
      <c r="D72" s="34">
        <f t="shared" ref="D72:E72" si="30">D7-D39</f>
        <v>86977.5</v>
      </c>
      <c r="E72" s="34">
        <f t="shared" si="30"/>
        <v>76618.399999999994</v>
      </c>
      <c r="F72" s="34">
        <f t="shared" ref="F72:G72" si="31">F7-F39</f>
        <v>74260.5</v>
      </c>
      <c r="G72" s="34">
        <f t="shared" si="31"/>
        <v>30527.5</v>
      </c>
      <c r="H72" s="34">
        <f t="shared" ref="H72:I72" si="32">H7-H39</f>
        <v>46500.5</v>
      </c>
      <c r="I72" s="34">
        <f t="shared" si="32"/>
        <v>-9429.5</v>
      </c>
      <c r="J72" s="34">
        <f t="shared" ref="J72:K72" si="33">J7-J39</f>
        <v>24954.5</v>
      </c>
      <c r="K72" s="34">
        <f t="shared" si="33"/>
        <v>32102.5</v>
      </c>
      <c r="L72" s="34">
        <f t="shared" ref="L72:N72" si="34">L7-L39</f>
        <v>193240.5</v>
      </c>
      <c r="M72" s="34">
        <f t="shared" si="34"/>
        <v>193240.5</v>
      </c>
      <c r="N72" s="34">
        <f t="shared" si="34"/>
        <v>193240.5</v>
      </c>
      <c r="O72" s="50">
        <f t="shared" ref="O72:O78" si="35">SUM(C72:N72)</f>
        <v>580295.86</v>
      </c>
    </row>
    <row r="73" spans="1:16">
      <c r="B73" s="12" t="s">
        <v>35</v>
      </c>
      <c r="C73" s="34">
        <f t="shared" ref="C73:E79" si="36">C8-C40</f>
        <v>-31618.83</v>
      </c>
      <c r="D73" s="34">
        <f t="shared" si="36"/>
        <v>-9463.570000000007</v>
      </c>
      <c r="E73" s="34">
        <f t="shared" si="36"/>
        <v>-20194.050000000003</v>
      </c>
      <c r="F73" s="34">
        <f t="shared" ref="F73:G73" si="37">F8-F40</f>
        <v>21702.75</v>
      </c>
      <c r="G73" s="34">
        <f t="shared" si="37"/>
        <v>-17664.25</v>
      </c>
      <c r="H73" s="34">
        <f t="shared" ref="H73:I73" si="38">H8-H40</f>
        <v>6796.75</v>
      </c>
      <c r="I73" s="34">
        <f t="shared" si="38"/>
        <v>1856.75</v>
      </c>
      <c r="J73" s="34">
        <f t="shared" ref="J73:K73" si="39">J8-J40</f>
        <v>6287.75</v>
      </c>
      <c r="K73" s="34">
        <f t="shared" si="39"/>
        <v>15812.75</v>
      </c>
      <c r="L73" s="34">
        <f t="shared" ref="L73:N73" si="40">L8-L40</f>
        <v>75989.75</v>
      </c>
      <c r="M73" s="34">
        <f t="shared" si="40"/>
        <v>75989.75</v>
      </c>
      <c r="N73" s="34">
        <f t="shared" si="40"/>
        <v>75989.75</v>
      </c>
      <c r="O73" s="50">
        <f t="shared" si="35"/>
        <v>201485.3</v>
      </c>
    </row>
    <row r="74" spans="1:16">
      <c r="B74" s="12" t="s">
        <v>36</v>
      </c>
      <c r="C74" s="34">
        <f t="shared" si="36"/>
        <v>29666.75</v>
      </c>
      <c r="D74" s="34">
        <f t="shared" si="36"/>
        <v>29048.22</v>
      </c>
      <c r="E74" s="34">
        <f t="shared" si="36"/>
        <v>29666.75</v>
      </c>
      <c r="F74" s="34">
        <f t="shared" ref="F74:G74" si="41">F9-F41</f>
        <v>29666.75</v>
      </c>
      <c r="G74" s="34">
        <f t="shared" si="41"/>
        <v>-54671.25</v>
      </c>
      <c r="H74" s="34">
        <f t="shared" ref="H74:I74" si="42">H9-H41</f>
        <v>29666.75</v>
      </c>
      <c r="I74" s="34">
        <f t="shared" si="42"/>
        <v>-19349.25</v>
      </c>
      <c r="J74" s="34">
        <f t="shared" ref="J74:K74" si="43">J9-J41</f>
        <v>-33151.25</v>
      </c>
      <c r="K74" s="34">
        <f t="shared" si="43"/>
        <v>-9490.25</v>
      </c>
      <c r="L74" s="34">
        <f t="shared" ref="L74:N74" si="44">L9-L41</f>
        <v>29666.75</v>
      </c>
      <c r="M74" s="34">
        <f t="shared" si="44"/>
        <v>29666.75</v>
      </c>
      <c r="N74" s="34">
        <f t="shared" si="44"/>
        <v>29666.75</v>
      </c>
      <c r="O74" s="50">
        <f t="shared" si="35"/>
        <v>120053.47</v>
      </c>
    </row>
    <row r="75" spans="1:16" hidden="1">
      <c r="B75" s="12" t="s">
        <v>37</v>
      </c>
      <c r="C75" s="34">
        <f t="shared" si="36"/>
        <v>0</v>
      </c>
      <c r="D75" s="34">
        <f t="shared" si="36"/>
        <v>0</v>
      </c>
      <c r="E75" s="34">
        <f t="shared" si="36"/>
        <v>0</v>
      </c>
      <c r="F75" s="34">
        <f t="shared" ref="F75:G75" si="45">F10-F42</f>
        <v>0</v>
      </c>
      <c r="G75" s="34">
        <f t="shared" si="45"/>
        <v>0</v>
      </c>
      <c r="H75" s="34">
        <f t="shared" ref="H75:I75" si="46">H10-H42</f>
        <v>0</v>
      </c>
      <c r="I75" s="34">
        <f t="shared" si="46"/>
        <v>0</v>
      </c>
      <c r="J75" s="34">
        <f t="shared" ref="J75:K75" si="47">J10-J42</f>
        <v>0</v>
      </c>
      <c r="K75" s="34">
        <f t="shared" si="47"/>
        <v>0</v>
      </c>
      <c r="L75" s="34">
        <f t="shared" ref="L75:N75" si="48">L10-L42</f>
        <v>0</v>
      </c>
      <c r="M75" s="34">
        <f t="shared" si="48"/>
        <v>0</v>
      </c>
      <c r="N75" s="34">
        <f t="shared" si="48"/>
        <v>0</v>
      </c>
      <c r="O75" s="50">
        <f t="shared" si="35"/>
        <v>0</v>
      </c>
    </row>
    <row r="76" spans="1:16" hidden="1">
      <c r="B76" s="12" t="s">
        <v>38</v>
      </c>
      <c r="C76" s="34">
        <f t="shared" si="36"/>
        <v>0</v>
      </c>
      <c r="D76" s="34">
        <f t="shared" si="36"/>
        <v>0</v>
      </c>
      <c r="E76" s="34">
        <f t="shared" si="36"/>
        <v>0</v>
      </c>
      <c r="F76" s="34">
        <f t="shared" ref="F76:G76" si="49">F11-F43</f>
        <v>0</v>
      </c>
      <c r="G76" s="34">
        <f t="shared" si="49"/>
        <v>0</v>
      </c>
      <c r="H76" s="34">
        <f t="shared" ref="H76:I76" si="50">H11-H43</f>
        <v>0</v>
      </c>
      <c r="I76" s="34">
        <f t="shared" si="50"/>
        <v>0</v>
      </c>
      <c r="J76" s="34">
        <f t="shared" ref="J76:K76" si="51">J11-J43</f>
        <v>0</v>
      </c>
      <c r="K76" s="34">
        <f t="shared" si="51"/>
        <v>0</v>
      </c>
      <c r="L76" s="34">
        <f t="shared" ref="L76:N76" si="52">L11-L43</f>
        <v>0</v>
      </c>
      <c r="M76" s="34">
        <f t="shared" si="52"/>
        <v>0</v>
      </c>
      <c r="N76" s="34">
        <f t="shared" si="52"/>
        <v>0</v>
      </c>
      <c r="O76" s="50">
        <f t="shared" si="35"/>
        <v>0</v>
      </c>
    </row>
    <row r="77" spans="1:16" hidden="1">
      <c r="B77" s="12" t="s">
        <v>39</v>
      </c>
      <c r="C77" s="34">
        <f t="shared" si="36"/>
        <v>0</v>
      </c>
      <c r="D77" s="34">
        <f t="shared" si="36"/>
        <v>0</v>
      </c>
      <c r="E77" s="34">
        <f t="shared" si="36"/>
        <v>0</v>
      </c>
      <c r="F77" s="34">
        <f t="shared" ref="F77:G77" si="53">F12-F44</f>
        <v>0</v>
      </c>
      <c r="G77" s="34">
        <f t="shared" si="53"/>
        <v>0</v>
      </c>
      <c r="H77" s="34">
        <f t="shared" ref="H77:I77" si="54">H12-H44</f>
        <v>0</v>
      </c>
      <c r="I77" s="34">
        <f t="shared" si="54"/>
        <v>0</v>
      </c>
      <c r="J77" s="34">
        <f t="shared" ref="J77:K77" si="55">J12-J44</f>
        <v>0</v>
      </c>
      <c r="K77" s="34">
        <f t="shared" si="55"/>
        <v>0</v>
      </c>
      <c r="L77" s="34">
        <f t="shared" ref="L77:N77" si="56">L12-L44</f>
        <v>0</v>
      </c>
      <c r="M77" s="34">
        <f t="shared" si="56"/>
        <v>0</v>
      </c>
      <c r="N77" s="34">
        <f t="shared" si="56"/>
        <v>0</v>
      </c>
      <c r="O77" s="50">
        <f t="shared" si="35"/>
        <v>0</v>
      </c>
    </row>
    <row r="78" spans="1:16" hidden="1">
      <c r="B78" s="12" t="s">
        <v>40</v>
      </c>
      <c r="C78" s="34">
        <f t="shared" si="36"/>
        <v>0</v>
      </c>
      <c r="D78" s="34">
        <f t="shared" si="36"/>
        <v>0</v>
      </c>
      <c r="E78" s="34">
        <f t="shared" si="36"/>
        <v>0</v>
      </c>
      <c r="F78" s="34">
        <f t="shared" ref="F78:G78" si="57">F13-F45</f>
        <v>0</v>
      </c>
      <c r="G78" s="34">
        <f t="shared" si="57"/>
        <v>0</v>
      </c>
      <c r="H78" s="34">
        <f t="shared" ref="H78:I78" si="58">H13-H45</f>
        <v>0</v>
      </c>
      <c r="I78" s="34">
        <f t="shared" si="58"/>
        <v>0</v>
      </c>
      <c r="J78" s="34">
        <f t="shared" ref="J78:K78" si="59">J13-J45</f>
        <v>0</v>
      </c>
      <c r="K78" s="34">
        <f t="shared" si="59"/>
        <v>0</v>
      </c>
      <c r="L78" s="34">
        <f t="shared" ref="L78:N78" si="60">L13-L45</f>
        <v>0</v>
      </c>
      <c r="M78" s="34">
        <f t="shared" si="60"/>
        <v>0</v>
      </c>
      <c r="N78" s="34">
        <f t="shared" si="60"/>
        <v>0</v>
      </c>
      <c r="O78" s="50">
        <f t="shared" si="35"/>
        <v>0</v>
      </c>
    </row>
    <row r="79" spans="1:16">
      <c r="A79" t="s">
        <v>100</v>
      </c>
      <c r="B79" s="11" t="s">
        <v>45</v>
      </c>
      <c r="C79" s="19">
        <f t="shared" si="36"/>
        <v>-363889.62</v>
      </c>
      <c r="D79" s="19">
        <f t="shared" si="36"/>
        <v>106562.15</v>
      </c>
      <c r="E79" s="19">
        <f t="shared" si="36"/>
        <v>86091.099999999977</v>
      </c>
      <c r="F79" s="19">
        <f t="shared" ref="F79:G79" si="61">F14-F46</f>
        <v>125630</v>
      </c>
      <c r="G79" s="19">
        <f t="shared" si="61"/>
        <v>-41808</v>
      </c>
      <c r="H79" s="19">
        <f t="shared" ref="H79:I79" si="62">H14-H46</f>
        <v>82964</v>
      </c>
      <c r="I79" s="19">
        <f t="shared" si="62"/>
        <v>-26922</v>
      </c>
      <c r="J79" s="19">
        <f t="shared" ref="J79:K79" si="63">J14-J46</f>
        <v>-1909</v>
      </c>
      <c r="K79" s="19">
        <f t="shared" si="63"/>
        <v>38425</v>
      </c>
      <c r="L79" s="19">
        <f t="shared" ref="L79:N79" si="64">L14-L46</f>
        <v>298897</v>
      </c>
      <c r="M79" s="19">
        <f t="shared" si="64"/>
        <v>298897</v>
      </c>
      <c r="N79" s="19">
        <f t="shared" si="64"/>
        <v>298897</v>
      </c>
      <c r="O79" s="51">
        <f t="shared" ref="O79" si="65">SUM(O72:O78)</f>
        <v>901834.62999999989</v>
      </c>
    </row>
    <row r="80" spans="1:16">
      <c r="B80" s="11"/>
      <c r="C80" s="33"/>
      <c r="D80" s="33"/>
      <c r="E80" s="33"/>
      <c r="F80" s="33"/>
      <c r="G80" s="33"/>
      <c r="H80" s="33"/>
      <c r="I80" s="33"/>
      <c r="J80" s="33"/>
      <c r="K80" s="33"/>
      <c r="L80" s="33"/>
      <c r="M80" s="33"/>
      <c r="N80" s="33"/>
      <c r="O80" s="54"/>
    </row>
    <row r="81" spans="1:15">
      <c r="B81" s="11" t="s">
        <v>94</v>
      </c>
      <c r="C81" s="33"/>
      <c r="D81" s="33"/>
      <c r="E81" s="33"/>
      <c r="F81" s="33"/>
      <c r="G81" s="33"/>
      <c r="H81" s="33"/>
      <c r="I81" s="33"/>
      <c r="J81" s="33"/>
      <c r="K81" s="33"/>
      <c r="L81" s="33"/>
      <c r="M81" s="33"/>
      <c r="N81" s="33"/>
      <c r="O81" s="50"/>
    </row>
    <row r="82" spans="1:15">
      <c r="B82" s="12" t="s">
        <v>34</v>
      </c>
      <c r="C82" s="34">
        <f t="shared" ref="C82:E89" si="66">C17-C49</f>
        <v>-61433.933333333334</v>
      </c>
      <c r="D82" s="34">
        <f t="shared" si="66"/>
        <v>-10916.803333333333</v>
      </c>
      <c r="E82" s="34">
        <f t="shared" si="66"/>
        <v>-77083.103333333333</v>
      </c>
      <c r="F82" s="34">
        <f t="shared" ref="F82:G82" si="67">F17-F49</f>
        <v>-22140.833333333332</v>
      </c>
      <c r="G82" s="34">
        <f t="shared" si="67"/>
        <v>-4406.833333333333</v>
      </c>
      <c r="H82" s="34">
        <f t="shared" ref="H82:I82" si="68">H17-H49</f>
        <v>-14383.833333333334</v>
      </c>
      <c r="I82" s="34">
        <f t="shared" si="68"/>
        <v>-13248.833333333334</v>
      </c>
      <c r="J82" s="34">
        <f t="shared" ref="J82:K82" si="69">J17-J49</f>
        <v>-27347.833333333332</v>
      </c>
      <c r="K82" s="34">
        <f t="shared" si="69"/>
        <v>-65455.833333333336</v>
      </c>
      <c r="L82" s="34">
        <f t="shared" ref="L82:N82" si="70">L17-L49</f>
        <v>143.16666666666666</v>
      </c>
      <c r="M82" s="34">
        <f t="shared" si="70"/>
        <v>143.16666666666666</v>
      </c>
      <c r="N82" s="34">
        <f t="shared" si="70"/>
        <v>143.16666666666666</v>
      </c>
      <c r="O82" s="50">
        <f t="shared" ref="O82:O88" si="71">SUM(C82:N82)</f>
        <v>-295988.33999999997</v>
      </c>
    </row>
    <row r="83" spans="1:15">
      <c r="B83" s="12" t="s">
        <v>35</v>
      </c>
      <c r="C83" s="34">
        <f t="shared" si="66"/>
        <v>-23425.513333333336</v>
      </c>
      <c r="D83" s="34">
        <f t="shared" si="66"/>
        <v>-8983.4933333333338</v>
      </c>
      <c r="E83" s="34">
        <f t="shared" si="66"/>
        <v>-17586.843333333331</v>
      </c>
      <c r="F83" s="34">
        <f t="shared" ref="F83:G83" si="72">F18-F50</f>
        <v>-3268.5833333333339</v>
      </c>
      <c r="G83" s="34">
        <f t="shared" si="72"/>
        <v>-10847.583333333334</v>
      </c>
      <c r="H83" s="34">
        <f t="shared" ref="H83:I83" si="73">H18-H50</f>
        <v>-341.58333333333394</v>
      </c>
      <c r="I83" s="34">
        <f t="shared" si="73"/>
        <v>-16279.583333333334</v>
      </c>
      <c r="J83" s="34">
        <f t="shared" ref="J83:K83" si="74">J18-J50</f>
        <v>12837.416666666666</v>
      </c>
      <c r="K83" s="34">
        <f t="shared" si="74"/>
        <v>12322.416666666666</v>
      </c>
      <c r="L83" s="34">
        <f t="shared" ref="L83:N83" si="75">L18-L50</f>
        <v>12837.416666666666</v>
      </c>
      <c r="M83" s="34">
        <f t="shared" si="75"/>
        <v>12837.416666666666</v>
      </c>
      <c r="N83" s="34">
        <f t="shared" si="75"/>
        <v>12837.416666666666</v>
      </c>
      <c r="O83" s="50">
        <f t="shared" si="71"/>
        <v>-17061.100000000006</v>
      </c>
    </row>
    <row r="84" spans="1:15" hidden="1">
      <c r="B84" s="12" t="s">
        <v>36</v>
      </c>
      <c r="C84" s="34">
        <f t="shared" si="66"/>
        <v>-3035.47</v>
      </c>
      <c r="D84" s="34">
        <f t="shared" si="66"/>
        <v>-1067.99</v>
      </c>
      <c r="E84" s="34">
        <f t="shared" si="66"/>
        <v>-1001.12</v>
      </c>
      <c r="F84" s="34">
        <f t="shared" ref="F84:G84" si="76">F19-F51</f>
        <v>-885</v>
      </c>
      <c r="G84" s="34">
        <f t="shared" si="76"/>
        <v>-4663</v>
      </c>
      <c r="H84" s="34">
        <f t="shared" ref="H84:I84" si="77">H19-H51</f>
        <v>-1120</v>
      </c>
      <c r="I84" s="34">
        <f t="shared" si="77"/>
        <v>-8234</v>
      </c>
      <c r="J84" s="34">
        <f t="shared" ref="J84:K84" si="78">J19-J51</f>
        <v>-2969</v>
      </c>
      <c r="K84" s="34">
        <f t="shared" si="78"/>
        <v>-6378</v>
      </c>
      <c r="L84" s="34">
        <f t="shared" ref="L84:N84" si="79">L19-L51</f>
        <v>0</v>
      </c>
      <c r="M84" s="34">
        <f t="shared" si="79"/>
        <v>0</v>
      </c>
      <c r="N84" s="34">
        <f t="shared" si="79"/>
        <v>0</v>
      </c>
      <c r="O84" s="50">
        <f t="shared" si="71"/>
        <v>-29353.58</v>
      </c>
    </row>
    <row r="85" spans="1:15" hidden="1">
      <c r="B85" s="12" t="s">
        <v>37</v>
      </c>
      <c r="C85" s="34">
        <f t="shared" si="66"/>
        <v>416.66666666666669</v>
      </c>
      <c r="D85" s="34">
        <f t="shared" si="66"/>
        <v>416.66666666666669</v>
      </c>
      <c r="E85" s="34">
        <f t="shared" si="66"/>
        <v>416.66666666666669</v>
      </c>
      <c r="F85" s="34">
        <f t="shared" ref="F85:G85" si="80">F20-F52</f>
        <v>416.66666666666669</v>
      </c>
      <c r="G85" s="34">
        <f t="shared" si="80"/>
        <v>416.66666666666669</v>
      </c>
      <c r="H85" s="34">
        <f t="shared" ref="H85:I85" si="81">H20-H52</f>
        <v>416.66666666666669</v>
      </c>
      <c r="I85" s="34">
        <f t="shared" si="81"/>
        <v>416.66666666666669</v>
      </c>
      <c r="J85" s="34">
        <f t="shared" ref="J85:K85" si="82">J20-J52</f>
        <v>416.66666666666669</v>
      </c>
      <c r="K85" s="34">
        <f t="shared" si="82"/>
        <v>416.66666666666669</v>
      </c>
      <c r="L85" s="34">
        <f t="shared" ref="L85:N85" si="83">L20-L52</f>
        <v>416.66666666666669</v>
      </c>
      <c r="M85" s="34">
        <f t="shared" si="83"/>
        <v>416.66666666666669</v>
      </c>
      <c r="N85" s="34">
        <f t="shared" si="83"/>
        <v>416.66666666666669</v>
      </c>
      <c r="O85" s="50">
        <f t="shared" si="71"/>
        <v>5000</v>
      </c>
    </row>
    <row r="86" spans="1:15" hidden="1">
      <c r="B86" s="12" t="s">
        <v>38</v>
      </c>
      <c r="C86" s="34">
        <f t="shared" si="66"/>
        <v>0</v>
      </c>
      <c r="D86" s="34">
        <f t="shared" si="66"/>
        <v>0</v>
      </c>
      <c r="E86" s="34">
        <f t="shared" si="66"/>
        <v>0</v>
      </c>
      <c r="F86" s="34">
        <f t="shared" ref="F86:G86" si="84">F21-F53</f>
        <v>0</v>
      </c>
      <c r="G86" s="34">
        <f t="shared" si="84"/>
        <v>0</v>
      </c>
      <c r="H86" s="34">
        <f t="shared" ref="H86:I86" si="85">H21-H53</f>
        <v>0</v>
      </c>
      <c r="I86" s="34">
        <f t="shared" si="85"/>
        <v>0</v>
      </c>
      <c r="J86" s="34">
        <f t="shared" ref="J86:K86" si="86">J21-J53</f>
        <v>0</v>
      </c>
      <c r="K86" s="34">
        <f t="shared" si="86"/>
        <v>0</v>
      </c>
      <c r="L86" s="34">
        <f t="shared" ref="L86:N86" si="87">L21-L53</f>
        <v>0</v>
      </c>
      <c r="M86" s="34">
        <f t="shared" si="87"/>
        <v>0</v>
      </c>
      <c r="N86" s="34">
        <f t="shared" si="87"/>
        <v>0</v>
      </c>
      <c r="O86" s="50">
        <f t="shared" si="71"/>
        <v>0</v>
      </c>
    </row>
    <row r="87" spans="1:15">
      <c r="B87" s="12" t="s">
        <v>39</v>
      </c>
      <c r="C87" s="34">
        <f t="shared" si="66"/>
        <v>58114.226666666662</v>
      </c>
      <c r="D87" s="34">
        <f t="shared" si="66"/>
        <v>58091.386666666665</v>
      </c>
      <c r="E87" s="34">
        <f t="shared" si="66"/>
        <v>-70974.083333333343</v>
      </c>
      <c r="F87" s="34">
        <f t="shared" ref="F87:G87" si="88">F22-F54</f>
        <v>57972.416666666664</v>
      </c>
      <c r="G87" s="34">
        <f t="shared" si="88"/>
        <v>57908.416666666664</v>
      </c>
      <c r="H87" s="34">
        <f t="shared" ref="H87:I87" si="89">H22-H54</f>
        <v>-90092.583333333343</v>
      </c>
      <c r="I87" s="34">
        <f t="shared" si="89"/>
        <v>58054.416666666664</v>
      </c>
      <c r="J87" s="34">
        <f t="shared" ref="J87:K87" si="90">J22-J54</f>
        <v>36426.416666666664</v>
      </c>
      <c r="K87" s="34">
        <f t="shared" si="90"/>
        <v>57536.416666666664</v>
      </c>
      <c r="L87" s="34">
        <f t="shared" ref="L87:N87" si="91">L22-L54</f>
        <v>58362.416666666664</v>
      </c>
      <c r="M87" s="34">
        <f t="shared" si="91"/>
        <v>58362.416666666664</v>
      </c>
      <c r="N87" s="34">
        <f t="shared" si="91"/>
        <v>58362.416666666664</v>
      </c>
      <c r="O87" s="50">
        <f t="shared" si="71"/>
        <v>398124.27999999997</v>
      </c>
    </row>
    <row r="88" spans="1:15">
      <c r="B88" s="12" t="s">
        <v>40</v>
      </c>
      <c r="C88" s="34">
        <f t="shared" si="66"/>
        <v>-4835.3600000000006</v>
      </c>
      <c r="D88" s="34">
        <f t="shared" si="66"/>
        <v>-6957.7099999999991</v>
      </c>
      <c r="E88" s="34">
        <f t="shared" si="66"/>
        <v>-17074.29</v>
      </c>
      <c r="F88" s="34">
        <f t="shared" ref="F88:G88" si="92">F23-F55</f>
        <v>-17747.25</v>
      </c>
      <c r="G88" s="34">
        <f t="shared" si="92"/>
        <v>-20925.25</v>
      </c>
      <c r="H88" s="34">
        <f t="shared" ref="H88:I88" si="93">H23-H55</f>
        <v>-5009.25</v>
      </c>
      <c r="I88" s="34">
        <f t="shared" si="93"/>
        <v>-15149.25</v>
      </c>
      <c r="J88" s="34">
        <f t="shared" ref="J88:K88" si="94">J23-J55</f>
        <v>-7673.25</v>
      </c>
      <c r="K88" s="34">
        <f t="shared" si="94"/>
        <v>4847.75</v>
      </c>
      <c r="L88" s="34">
        <f t="shared" ref="L88:N88" si="95">L23-L55</f>
        <v>37183.75</v>
      </c>
      <c r="M88" s="34">
        <f t="shared" si="95"/>
        <v>37183.75</v>
      </c>
      <c r="N88" s="34">
        <f t="shared" si="95"/>
        <v>37183.75</v>
      </c>
      <c r="O88" s="50">
        <f t="shared" si="71"/>
        <v>21027.39</v>
      </c>
    </row>
    <row r="89" spans="1:15">
      <c r="A89" t="s">
        <v>101</v>
      </c>
      <c r="B89" s="11" t="s">
        <v>45</v>
      </c>
      <c r="C89" s="19">
        <f t="shared" si="66"/>
        <v>-34199.383333333331</v>
      </c>
      <c r="D89" s="19">
        <f t="shared" si="66"/>
        <v>30582.056666666671</v>
      </c>
      <c r="E89" s="19">
        <f t="shared" si="66"/>
        <v>-183302.77333333335</v>
      </c>
      <c r="F89" s="19">
        <f t="shared" ref="F89:G89" si="96">F24-F56</f>
        <v>14347.416666666657</v>
      </c>
      <c r="G89" s="19">
        <f t="shared" si="96"/>
        <v>17482.416666666657</v>
      </c>
      <c r="H89" s="19">
        <f t="shared" ref="H89:I89" si="97">H24-H56</f>
        <v>-110530.58333333334</v>
      </c>
      <c r="I89" s="19">
        <f t="shared" si="97"/>
        <v>5559.416666666657</v>
      </c>
      <c r="J89" s="19">
        <f t="shared" ref="J89:K89" si="98">J24-J56</f>
        <v>11690.416666666657</v>
      </c>
      <c r="K89" s="19">
        <f t="shared" si="98"/>
        <v>3289.416666666657</v>
      </c>
      <c r="L89" s="19">
        <f t="shared" ref="L89:N89" si="99">L24-L56</f>
        <v>108943.41666666666</v>
      </c>
      <c r="M89" s="19">
        <f t="shared" si="99"/>
        <v>108943.41666666666</v>
      </c>
      <c r="N89" s="19">
        <f t="shared" si="99"/>
        <v>108943.41666666666</v>
      </c>
      <c r="O89" s="51">
        <f t="shared" ref="O89" si="100">SUM(O82:O88)</f>
        <v>81748.650000000009</v>
      </c>
    </row>
    <row r="90" spans="1:15">
      <c r="B90" s="11"/>
      <c r="C90" s="33"/>
      <c r="D90" s="33"/>
      <c r="E90" s="33"/>
      <c r="F90" s="33"/>
      <c r="G90" s="33"/>
      <c r="H90" s="33"/>
      <c r="I90" s="33"/>
      <c r="J90" s="33"/>
      <c r="K90" s="33"/>
      <c r="L90" s="33"/>
      <c r="M90" s="33"/>
      <c r="N90" s="33"/>
      <c r="O90" s="54"/>
    </row>
    <row r="91" spans="1:15">
      <c r="B91" s="11" t="s">
        <v>95</v>
      </c>
      <c r="C91" s="33"/>
      <c r="D91" s="33"/>
      <c r="E91" s="33"/>
      <c r="F91" s="33"/>
      <c r="G91" s="33"/>
      <c r="H91" s="33"/>
      <c r="I91" s="33"/>
      <c r="J91" s="33"/>
      <c r="K91" s="33"/>
      <c r="L91" s="33"/>
      <c r="M91" s="33"/>
      <c r="N91" s="33"/>
      <c r="O91" s="54"/>
    </row>
    <row r="92" spans="1:15">
      <c r="B92" s="12" t="s">
        <v>34</v>
      </c>
      <c r="C92" s="34">
        <f t="shared" ref="C92:E99" si="101">C27-C59</f>
        <v>24239.32</v>
      </c>
      <c r="D92" s="34">
        <f t="shared" si="101"/>
        <v>26877.75</v>
      </c>
      <c r="E92" s="34">
        <f t="shared" si="101"/>
        <v>23771.96</v>
      </c>
      <c r="F92" s="34">
        <f t="shared" ref="F92:G92" si="102">F27-F59</f>
        <v>23229.75</v>
      </c>
      <c r="G92" s="34">
        <f t="shared" si="102"/>
        <v>24674.75</v>
      </c>
      <c r="H92" s="34">
        <f t="shared" ref="H92:I92" si="103">H27-H59</f>
        <v>24398.75</v>
      </c>
      <c r="I92" s="34">
        <f t="shared" si="103"/>
        <v>25000.75</v>
      </c>
      <c r="J92" s="34">
        <f t="shared" ref="J92:K92" si="104">J27-J59</f>
        <v>25627.75</v>
      </c>
      <c r="K92" s="34">
        <f t="shared" si="104"/>
        <v>24302.75</v>
      </c>
      <c r="L92" s="34">
        <f t="shared" ref="L92:N92" si="105">L27-L59</f>
        <v>26877.75</v>
      </c>
      <c r="M92" s="34">
        <f t="shared" si="105"/>
        <v>26877.75</v>
      </c>
      <c r="N92" s="34">
        <f t="shared" si="105"/>
        <v>26877.75</v>
      </c>
      <c r="O92" s="50">
        <f t="shared" ref="O92:O98" si="106">SUM(C92:N92)</f>
        <v>302756.78000000003</v>
      </c>
    </row>
    <row r="93" spans="1:15">
      <c r="B93" s="12" t="s">
        <v>35</v>
      </c>
      <c r="C93" s="34">
        <f t="shared" si="101"/>
        <v>4968.2733333333326</v>
      </c>
      <c r="D93" s="34">
        <f t="shared" si="101"/>
        <v>7465.333333333333</v>
      </c>
      <c r="E93" s="34">
        <f t="shared" si="101"/>
        <v>5627.5433333333331</v>
      </c>
      <c r="F93" s="34">
        <f t="shared" ref="F93:G93" si="107">F28-F60</f>
        <v>8056.333333333333</v>
      </c>
      <c r="G93" s="34">
        <f t="shared" si="107"/>
        <v>7465.333333333333</v>
      </c>
      <c r="H93" s="34">
        <f t="shared" ref="H93:I93" si="108">H28-H60</f>
        <v>7465.333333333333</v>
      </c>
      <c r="I93" s="34">
        <f t="shared" si="108"/>
        <v>7465.333333333333</v>
      </c>
      <c r="J93" s="34">
        <f t="shared" ref="J93:K93" si="109">J28-J60</f>
        <v>7465.333333333333</v>
      </c>
      <c r="K93" s="34">
        <f t="shared" si="109"/>
        <v>7465.333333333333</v>
      </c>
      <c r="L93" s="34">
        <f t="shared" ref="L93:N93" si="110">L28-L60</f>
        <v>7465.333333333333</v>
      </c>
      <c r="M93" s="34">
        <f t="shared" si="110"/>
        <v>7465.333333333333</v>
      </c>
      <c r="N93" s="34">
        <f t="shared" si="110"/>
        <v>7465.333333333333</v>
      </c>
      <c r="O93" s="50">
        <f t="shared" si="106"/>
        <v>85840.15</v>
      </c>
    </row>
    <row r="94" spans="1:15">
      <c r="B94" s="12" t="s">
        <v>36</v>
      </c>
      <c r="C94" s="34">
        <f t="shared" si="101"/>
        <v>1316.8333333333333</v>
      </c>
      <c r="D94" s="34">
        <f t="shared" si="101"/>
        <v>1316.8333333333333</v>
      </c>
      <c r="E94" s="34">
        <f t="shared" si="101"/>
        <v>1316.8333333333333</v>
      </c>
      <c r="F94" s="34">
        <f t="shared" ref="F94:G94" si="111">F29-F61</f>
        <v>1316.8333333333333</v>
      </c>
      <c r="G94" s="34">
        <f t="shared" si="111"/>
        <v>1316.8333333333333</v>
      </c>
      <c r="H94" s="34">
        <f t="shared" ref="H94:I94" si="112">H29-H61</f>
        <v>1316.8333333333333</v>
      </c>
      <c r="I94" s="34">
        <f t="shared" si="112"/>
        <v>1316.8333333333333</v>
      </c>
      <c r="J94" s="34">
        <f t="shared" ref="J94:K94" si="113">J29-J61</f>
        <v>1316.8333333333333</v>
      </c>
      <c r="K94" s="34">
        <f t="shared" si="113"/>
        <v>1316.8333333333333</v>
      </c>
      <c r="L94" s="34">
        <f t="shared" ref="L94:N94" si="114">L29-L61</f>
        <v>1316.8333333333333</v>
      </c>
      <c r="M94" s="34">
        <f t="shared" si="114"/>
        <v>1316.8333333333333</v>
      </c>
      <c r="N94" s="34">
        <f t="shared" si="114"/>
        <v>1316.8333333333333</v>
      </c>
      <c r="O94" s="50">
        <f t="shared" si="106"/>
        <v>15802.000000000002</v>
      </c>
    </row>
    <row r="95" spans="1:15" hidden="1">
      <c r="B95" s="12" t="s">
        <v>37</v>
      </c>
      <c r="C95" s="34">
        <f t="shared" si="101"/>
        <v>0</v>
      </c>
      <c r="D95" s="34">
        <f t="shared" si="101"/>
        <v>0</v>
      </c>
      <c r="E95" s="34">
        <f t="shared" si="101"/>
        <v>0</v>
      </c>
      <c r="F95" s="34">
        <f t="shared" ref="F95:G95" si="115">F30-F62</f>
        <v>0</v>
      </c>
      <c r="G95" s="34">
        <f t="shared" si="115"/>
        <v>0</v>
      </c>
      <c r="H95" s="34">
        <f t="shared" ref="H95:I95" si="116">H30-H62</f>
        <v>0</v>
      </c>
      <c r="I95" s="34">
        <f t="shared" si="116"/>
        <v>0</v>
      </c>
      <c r="J95" s="34">
        <f t="shared" ref="J95:K95" si="117">J30-J62</f>
        <v>0</v>
      </c>
      <c r="K95" s="34">
        <f t="shared" si="117"/>
        <v>0</v>
      </c>
      <c r="L95" s="34">
        <f t="shared" ref="L95:N95" si="118">L30-L62</f>
        <v>0</v>
      </c>
      <c r="M95" s="34">
        <f t="shared" si="118"/>
        <v>0</v>
      </c>
      <c r="N95" s="34">
        <f t="shared" si="118"/>
        <v>0</v>
      </c>
      <c r="O95" s="50">
        <f t="shared" si="106"/>
        <v>0</v>
      </c>
    </row>
    <row r="96" spans="1:15" hidden="1">
      <c r="B96" s="12" t="s">
        <v>38</v>
      </c>
      <c r="C96" s="34">
        <f t="shared" si="101"/>
        <v>0</v>
      </c>
      <c r="D96" s="34">
        <f t="shared" si="101"/>
        <v>0</v>
      </c>
      <c r="E96" s="34">
        <f t="shared" si="101"/>
        <v>0</v>
      </c>
      <c r="F96" s="34">
        <f t="shared" ref="F96:G96" si="119">F31-F63</f>
        <v>0</v>
      </c>
      <c r="G96" s="34">
        <f t="shared" si="119"/>
        <v>0</v>
      </c>
      <c r="H96" s="34">
        <f t="shared" ref="H96:I96" si="120">H31-H63</f>
        <v>0</v>
      </c>
      <c r="I96" s="34">
        <f t="shared" si="120"/>
        <v>0</v>
      </c>
      <c r="J96" s="34">
        <f t="shared" ref="J96:K96" si="121">J31-J63</f>
        <v>0</v>
      </c>
      <c r="K96" s="34">
        <f t="shared" si="121"/>
        <v>0</v>
      </c>
      <c r="L96" s="34">
        <f t="shared" ref="L96:N96" si="122">L31-L63</f>
        <v>0</v>
      </c>
      <c r="M96" s="34">
        <f t="shared" si="122"/>
        <v>0</v>
      </c>
      <c r="N96" s="34">
        <f t="shared" si="122"/>
        <v>0</v>
      </c>
      <c r="O96" s="50">
        <f t="shared" si="106"/>
        <v>0</v>
      </c>
    </row>
    <row r="97" spans="1:15" hidden="1">
      <c r="B97" s="12" t="s">
        <v>39</v>
      </c>
      <c r="C97" s="34">
        <f t="shared" si="101"/>
        <v>0</v>
      </c>
      <c r="D97" s="34">
        <f t="shared" si="101"/>
        <v>0</v>
      </c>
      <c r="E97" s="34">
        <f t="shared" si="101"/>
        <v>0</v>
      </c>
      <c r="F97" s="34">
        <f t="shared" ref="F97:G97" si="123">F32-F64</f>
        <v>0</v>
      </c>
      <c r="G97" s="34">
        <f t="shared" si="123"/>
        <v>0</v>
      </c>
      <c r="H97" s="34">
        <f t="shared" ref="H97:I97" si="124">H32-H64</f>
        <v>0</v>
      </c>
      <c r="I97" s="34">
        <f t="shared" si="124"/>
        <v>0</v>
      </c>
      <c r="J97" s="34">
        <f t="shared" ref="J97:K97" si="125">J32-J64</f>
        <v>0</v>
      </c>
      <c r="K97" s="34">
        <f t="shared" si="125"/>
        <v>0</v>
      </c>
      <c r="L97" s="34">
        <f t="shared" ref="L97:N97" si="126">L32-L64</f>
        <v>0</v>
      </c>
      <c r="M97" s="34">
        <f t="shared" si="126"/>
        <v>0</v>
      </c>
      <c r="N97" s="34">
        <f t="shared" si="126"/>
        <v>0</v>
      </c>
      <c r="O97" s="50">
        <f t="shared" si="106"/>
        <v>0</v>
      </c>
    </row>
    <row r="98" spans="1:15">
      <c r="B98" s="12" t="s">
        <v>40</v>
      </c>
      <c r="C98" s="34">
        <f t="shared" si="101"/>
        <v>21064.5</v>
      </c>
      <c r="D98" s="34">
        <f t="shared" si="101"/>
        <v>21064.5</v>
      </c>
      <c r="E98" s="34">
        <f t="shared" si="101"/>
        <v>21064.5</v>
      </c>
      <c r="F98" s="34">
        <f t="shared" ref="F98:G98" si="127">F33-F65</f>
        <v>21064.5</v>
      </c>
      <c r="G98" s="34">
        <f t="shared" si="127"/>
        <v>20604.5</v>
      </c>
      <c r="H98" s="34">
        <f t="shared" ref="H98:I98" si="128">H33-H65</f>
        <v>20432.5</v>
      </c>
      <c r="I98" s="34">
        <f t="shared" si="128"/>
        <v>19792.5</v>
      </c>
      <c r="J98" s="34">
        <f t="shared" ref="J98:K98" si="129">J33-J65</f>
        <v>20005.5</v>
      </c>
      <c r="K98" s="34">
        <f t="shared" si="129"/>
        <v>21179.5</v>
      </c>
      <c r="L98" s="34">
        <f t="shared" ref="L98:N98" si="130">L33-L65</f>
        <v>21064.5</v>
      </c>
      <c r="M98" s="34">
        <f t="shared" si="130"/>
        <v>21064.5</v>
      </c>
      <c r="N98" s="34">
        <f t="shared" si="130"/>
        <v>21064.5</v>
      </c>
      <c r="O98" s="50">
        <f t="shared" si="106"/>
        <v>249466</v>
      </c>
    </row>
    <row r="99" spans="1:15">
      <c r="A99" t="s">
        <v>102</v>
      </c>
      <c r="B99" s="11" t="s">
        <v>45</v>
      </c>
      <c r="C99" s="19">
        <f t="shared" si="101"/>
        <v>51588.926666666674</v>
      </c>
      <c r="D99" s="19">
        <f t="shared" si="101"/>
        <v>56724.416666666672</v>
      </c>
      <c r="E99" s="19">
        <f t="shared" si="101"/>
        <v>51780.83666666667</v>
      </c>
      <c r="F99" s="19">
        <f t="shared" ref="F99:G99" si="131">F34-F66</f>
        <v>53667.416666666672</v>
      </c>
      <c r="G99" s="19">
        <f t="shared" si="131"/>
        <v>54061.416666666672</v>
      </c>
      <c r="H99" s="19">
        <f t="shared" ref="H99:I99" si="132">H34-H66</f>
        <v>53613.416666666672</v>
      </c>
      <c r="I99" s="19">
        <f t="shared" si="132"/>
        <v>53575.416666666672</v>
      </c>
      <c r="J99" s="19">
        <f t="shared" ref="J99:K99" si="133">J34-J66</f>
        <v>54415.416666666672</v>
      </c>
      <c r="K99" s="19">
        <f t="shared" si="133"/>
        <v>54264.416666666672</v>
      </c>
      <c r="L99" s="19">
        <f t="shared" ref="L99:N99" si="134">L34-L66</f>
        <v>56724.416666666672</v>
      </c>
      <c r="M99" s="19">
        <f t="shared" si="134"/>
        <v>56724.416666666672</v>
      </c>
      <c r="N99" s="19">
        <f t="shared" si="134"/>
        <v>56724.416666666672</v>
      </c>
      <c r="O99" s="51">
        <f t="shared" ref="O99" si="135">SUM(O92:O98)</f>
        <v>653864.93000000005</v>
      </c>
    </row>
    <row r="100" spans="1:15">
      <c r="B100" s="11"/>
      <c r="C100" s="33"/>
      <c r="D100" s="33"/>
      <c r="E100" s="33"/>
      <c r="F100" s="33"/>
      <c r="G100" s="33"/>
      <c r="H100" s="33"/>
      <c r="I100" s="33"/>
      <c r="J100" s="33"/>
      <c r="K100" s="33"/>
      <c r="L100" s="33"/>
      <c r="M100" s="33"/>
      <c r="N100" s="33"/>
      <c r="O100" s="54"/>
    </row>
    <row r="101" spans="1:15" ht="15.75" thickBot="1">
      <c r="B101" s="11" t="s">
        <v>45</v>
      </c>
      <c r="C101" s="36">
        <f>C36-C68</f>
        <v>-346500.0766666666</v>
      </c>
      <c r="D101" s="36">
        <f t="shared" ref="D101:E101" si="136">D36-D68</f>
        <v>193868.62333333335</v>
      </c>
      <c r="E101" s="36">
        <f t="shared" si="136"/>
        <v>-45430.836666666728</v>
      </c>
      <c r="F101" s="36">
        <f t="shared" ref="F101:G101" si="137">F36-F68</f>
        <v>193644.83333333331</v>
      </c>
      <c r="G101" s="36">
        <f t="shared" si="137"/>
        <v>29735.833333333314</v>
      </c>
      <c r="H101" s="36">
        <f t="shared" ref="H101:I101" si="138">H36-H68</f>
        <v>26046.833333333314</v>
      </c>
      <c r="I101" s="36">
        <f t="shared" si="138"/>
        <v>32212.833333333314</v>
      </c>
      <c r="J101" s="36">
        <f t="shared" ref="J101:K101" si="139">J36-J68</f>
        <v>64196.833333333314</v>
      </c>
      <c r="K101" s="36">
        <f t="shared" si="139"/>
        <v>95978.833333333314</v>
      </c>
      <c r="L101" s="36">
        <f t="shared" ref="L101:N101" si="140">L36-L68</f>
        <v>464564.83333333331</v>
      </c>
      <c r="M101" s="36">
        <f t="shared" si="140"/>
        <v>464564.83333333331</v>
      </c>
      <c r="N101" s="36">
        <f t="shared" si="140"/>
        <v>464564.83333333331</v>
      </c>
      <c r="O101" s="55">
        <f t="shared" ref="O101" si="141">O99+O89+O79</f>
        <v>1637448.21</v>
      </c>
    </row>
    <row r="102" spans="1:15" ht="15.75" thickTop="1">
      <c r="B102" s="9"/>
    </row>
    <row r="103" spans="1:15">
      <c r="B103" s="9"/>
    </row>
    <row r="104" spans="1:15">
      <c r="B104" s="30" t="s">
        <v>59</v>
      </c>
      <c r="C104" s="18"/>
      <c r="D104" s="18"/>
      <c r="E104" s="18"/>
      <c r="F104" s="18"/>
      <c r="G104" s="18"/>
      <c r="H104" s="18"/>
      <c r="I104" s="18"/>
      <c r="J104" s="18"/>
      <c r="K104" s="18"/>
      <c r="L104" s="18"/>
      <c r="M104" s="18"/>
      <c r="N104" s="18"/>
      <c r="O104" s="18"/>
    </row>
    <row r="105" spans="1:15" ht="31.5" customHeight="1">
      <c r="B105" s="91" t="s">
        <v>68</v>
      </c>
      <c r="C105" s="91"/>
      <c r="D105" s="91"/>
      <c r="E105" s="91"/>
      <c r="F105" s="91"/>
      <c r="G105" s="91"/>
      <c r="H105" s="91"/>
      <c r="I105" s="91"/>
      <c r="J105" s="91"/>
      <c r="K105" s="91"/>
      <c r="L105" s="91"/>
      <c r="M105" s="91"/>
      <c r="N105" s="91"/>
      <c r="O105" s="91"/>
    </row>
    <row r="106" spans="1:15" ht="31.5" customHeight="1">
      <c r="B106" s="91" t="s">
        <v>69</v>
      </c>
      <c r="C106" s="91"/>
      <c r="D106" s="91"/>
      <c r="E106" s="91"/>
      <c r="F106" s="91"/>
      <c r="G106" s="91"/>
      <c r="H106" s="91"/>
      <c r="I106" s="91"/>
      <c r="J106" s="91"/>
      <c r="K106" s="91"/>
      <c r="L106" s="91"/>
      <c r="M106" s="91"/>
      <c r="N106" s="91"/>
      <c r="O106" s="91"/>
    </row>
    <row r="108" spans="1:15">
      <c r="B108" s="59" t="s">
        <v>61</v>
      </c>
    </row>
    <row r="109" spans="1:15">
      <c r="B109" s="92" t="s">
        <v>78</v>
      </c>
      <c r="C109" s="92"/>
      <c r="D109" s="92"/>
      <c r="E109" s="92"/>
      <c r="F109" s="92"/>
      <c r="G109" s="92"/>
      <c r="H109" s="92"/>
      <c r="I109" s="92"/>
      <c r="J109" s="92"/>
      <c r="K109" s="92"/>
      <c r="L109" s="92"/>
      <c r="M109" s="92"/>
      <c r="N109" s="92"/>
      <c r="O109" s="92"/>
    </row>
    <row r="110" spans="1:15">
      <c r="B110" s="92" t="s">
        <v>79</v>
      </c>
      <c r="C110" s="92"/>
      <c r="D110" s="92"/>
      <c r="E110" s="92"/>
      <c r="F110" s="92"/>
      <c r="G110" s="92"/>
      <c r="H110" s="92"/>
      <c r="I110" s="92"/>
      <c r="J110" s="92"/>
      <c r="K110" s="92"/>
      <c r="L110" s="92"/>
      <c r="M110" s="92"/>
      <c r="N110" s="92"/>
      <c r="O110" s="92"/>
    </row>
    <row r="111" spans="1:15" ht="30.75" customHeight="1">
      <c r="B111" s="90" t="s">
        <v>80</v>
      </c>
      <c r="C111" s="90"/>
      <c r="D111" s="90"/>
      <c r="E111" s="90"/>
      <c r="F111" s="90"/>
      <c r="G111" s="90"/>
      <c r="H111" s="90"/>
      <c r="I111" s="90"/>
      <c r="J111" s="90"/>
      <c r="K111" s="90"/>
      <c r="L111" s="90"/>
      <c r="M111" s="90"/>
      <c r="N111" s="90"/>
      <c r="O111" s="90"/>
    </row>
    <row r="112" spans="1:15">
      <c r="B112" s="90" t="s">
        <v>130</v>
      </c>
      <c r="C112" s="90"/>
      <c r="D112" s="90"/>
      <c r="E112" s="90"/>
      <c r="F112" s="90"/>
      <c r="G112" s="90"/>
      <c r="H112" s="90"/>
      <c r="I112" s="90"/>
      <c r="J112" s="90"/>
      <c r="K112" s="90"/>
      <c r="L112" s="90"/>
      <c r="M112" s="90"/>
      <c r="N112" s="90"/>
    </row>
    <row r="113" spans="2:14">
      <c r="B113" s="90" t="s">
        <v>142</v>
      </c>
      <c r="C113" s="90"/>
      <c r="D113" s="90"/>
      <c r="E113" s="90"/>
      <c r="F113" s="90"/>
      <c r="G113" s="90"/>
      <c r="H113" s="90"/>
      <c r="I113" s="90"/>
      <c r="J113" s="90"/>
      <c r="K113" s="90"/>
      <c r="L113" s="90"/>
      <c r="M113" s="90"/>
      <c r="N113" s="90"/>
    </row>
    <row r="114" spans="2:14">
      <c r="B114" s="90" t="s">
        <v>155</v>
      </c>
      <c r="C114" s="90"/>
      <c r="D114" s="90"/>
      <c r="E114" s="90"/>
      <c r="F114" s="90"/>
      <c r="G114" s="90"/>
      <c r="H114" s="90"/>
      <c r="I114" s="90"/>
      <c r="J114" s="90"/>
      <c r="K114" s="90"/>
      <c r="L114" s="90"/>
      <c r="M114" s="90"/>
      <c r="N114" s="90"/>
    </row>
    <row r="115" spans="2:14">
      <c r="B115" s="90" t="s">
        <v>154</v>
      </c>
      <c r="C115" s="90"/>
      <c r="D115" s="90"/>
      <c r="E115" s="90"/>
      <c r="F115" s="90"/>
      <c r="G115" s="90"/>
      <c r="H115" s="90"/>
      <c r="I115" s="90"/>
      <c r="J115" s="90"/>
      <c r="K115" s="90"/>
      <c r="L115" s="90"/>
      <c r="M115" s="90"/>
      <c r="N115" s="90"/>
    </row>
    <row r="116" spans="2:14">
      <c r="B116" s="90" t="s">
        <v>166</v>
      </c>
      <c r="C116" s="90"/>
      <c r="D116" s="90"/>
      <c r="E116" s="90"/>
      <c r="F116" s="90"/>
      <c r="G116" s="90"/>
      <c r="H116" s="90"/>
      <c r="I116" s="90"/>
      <c r="J116" s="90"/>
      <c r="K116" s="90"/>
      <c r="L116" s="90"/>
      <c r="M116" s="90"/>
      <c r="N116" s="90"/>
    </row>
    <row r="117" spans="2:14">
      <c r="B117" s="90" t="s">
        <v>180</v>
      </c>
      <c r="C117" s="90"/>
      <c r="D117" s="90"/>
      <c r="E117" s="90"/>
      <c r="F117" s="90"/>
      <c r="G117" s="90"/>
      <c r="H117" s="90"/>
      <c r="I117" s="90"/>
      <c r="J117" s="90"/>
      <c r="K117" s="90"/>
      <c r="L117" s="90"/>
      <c r="M117" s="90"/>
      <c r="N117" s="90"/>
    </row>
  </sheetData>
  <mergeCells count="11">
    <mergeCell ref="B117:N117"/>
    <mergeCell ref="B105:O105"/>
    <mergeCell ref="B106:O106"/>
    <mergeCell ref="B109:O109"/>
    <mergeCell ref="B110:O110"/>
    <mergeCell ref="B111:O111"/>
    <mergeCell ref="B116:N116"/>
    <mergeCell ref="B115:N115"/>
    <mergeCell ref="B114:N114"/>
    <mergeCell ref="B113:N113"/>
    <mergeCell ref="B112:N112"/>
  </mergeCells>
  <pageMargins left="0" right="0" top="0.75" bottom="0.75" header="0.3" footer="0.3"/>
  <pageSetup scale="75" orientation="landscape" r:id="rId1"/>
</worksheet>
</file>

<file path=xl/worksheets/sheet11.xml><?xml version="1.0" encoding="utf-8"?>
<worksheet xmlns="http://schemas.openxmlformats.org/spreadsheetml/2006/main" xmlns:r="http://schemas.openxmlformats.org/officeDocument/2006/relationships">
  <dimension ref="A2:B14"/>
  <sheetViews>
    <sheetView workbookViewId="0">
      <selection activeCell="B14" sqref="B14"/>
    </sheetView>
  </sheetViews>
  <sheetFormatPr defaultRowHeight="15"/>
  <cols>
    <col min="1" max="1" width="51.5703125" bestFit="1" customWidth="1"/>
    <col min="2" max="2" width="14.28515625" bestFit="1" customWidth="1"/>
  </cols>
  <sheetData>
    <row r="2" spans="1:2">
      <c r="A2" s="79" t="s">
        <v>169</v>
      </c>
      <c r="B2" s="1">
        <f>'ID-Sch191 Rider Balance'!J17</f>
        <v>1240141.1440069531</v>
      </c>
    </row>
    <row r="3" spans="1:2">
      <c r="A3" s="79"/>
    </row>
    <row r="4" spans="1:2">
      <c r="A4" s="79" t="s">
        <v>170</v>
      </c>
      <c r="B4" s="1">
        <v>1615000</v>
      </c>
    </row>
    <row r="5" spans="1:2">
      <c r="A5" s="79" t="s">
        <v>171</v>
      </c>
      <c r="B5" s="87">
        <f>SUM('ID-Sch191 Rider Balance'!K11:N11)</f>
        <v>692542.33333333337</v>
      </c>
    </row>
    <row r="6" spans="1:2">
      <c r="A6" s="79"/>
      <c r="B6" s="1">
        <f>B5-B4</f>
        <v>-922457.66666666663</v>
      </c>
    </row>
    <row r="8" spans="1:2">
      <c r="A8" s="79" t="s">
        <v>172</v>
      </c>
      <c r="B8" s="3">
        <f>B2+B6</f>
        <v>317683.47734028648</v>
      </c>
    </row>
    <row r="10" spans="1:2">
      <c r="A10" s="79" t="s">
        <v>173</v>
      </c>
      <c r="B10" s="1">
        <v>4076000</v>
      </c>
    </row>
    <row r="11" spans="1:2">
      <c r="A11" t="s">
        <v>174</v>
      </c>
      <c r="B11" s="88"/>
    </row>
    <row r="12" spans="1:2">
      <c r="B12" s="3">
        <f>B11-B10</f>
        <v>-4076000</v>
      </c>
    </row>
    <row r="14" spans="1:2">
      <c r="A14" t="s">
        <v>175</v>
      </c>
      <c r="B14" s="3">
        <f>B8+B12</f>
        <v>-3758316.5226597134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sheetPr>
    <tabColor theme="5" tint="0.39997558519241921"/>
  </sheetPr>
  <dimension ref="A2:S30"/>
  <sheetViews>
    <sheetView zoomScaleNormal="100" workbookViewId="0">
      <selection activeCell="C5" sqref="C5:S19"/>
    </sheetView>
  </sheetViews>
  <sheetFormatPr defaultRowHeight="15"/>
  <cols>
    <col min="1" max="1" width="3.42578125" bestFit="1" customWidth="1"/>
    <col min="2" max="2" width="34.85546875" customWidth="1"/>
    <col min="3" max="14" width="10.5703125" bestFit="1" customWidth="1"/>
    <col min="15" max="15" width="11.28515625" bestFit="1" customWidth="1"/>
    <col min="16" max="16" width="11.5703125" bestFit="1" customWidth="1"/>
    <col min="17" max="18" width="10.5703125" bestFit="1" customWidth="1"/>
    <col min="19" max="19" width="9.7109375" bestFit="1" customWidth="1"/>
  </cols>
  <sheetData>
    <row r="2" spans="1:19">
      <c r="B2" s="37" t="s">
        <v>60</v>
      </c>
    </row>
    <row r="3" spans="1:19">
      <c r="C3" s="25">
        <v>2010</v>
      </c>
      <c r="D3" s="25">
        <v>2010</v>
      </c>
      <c r="E3" s="25">
        <v>2010</v>
      </c>
      <c r="F3" s="25">
        <v>2010</v>
      </c>
      <c r="G3" s="25">
        <v>2010</v>
      </c>
      <c r="H3" s="25">
        <v>2010</v>
      </c>
      <c r="I3" s="25">
        <v>2010</v>
      </c>
      <c r="J3" s="25">
        <v>2010</v>
      </c>
      <c r="K3" s="25">
        <v>2010</v>
      </c>
      <c r="L3" s="25">
        <v>2010</v>
      </c>
      <c r="M3" s="25">
        <v>2010</v>
      </c>
      <c r="N3" s="25">
        <v>2010</v>
      </c>
      <c r="O3" s="40" t="s">
        <v>31</v>
      </c>
      <c r="P3" s="40">
        <v>2010</v>
      </c>
      <c r="Q3" s="40">
        <v>2010</v>
      </c>
      <c r="R3" s="40">
        <v>2010</v>
      </c>
      <c r="S3" s="40">
        <v>2010</v>
      </c>
    </row>
    <row r="4" spans="1:19">
      <c r="C4" s="25" t="s">
        <v>0</v>
      </c>
      <c r="D4" s="25" t="s">
        <v>1</v>
      </c>
      <c r="E4" s="25" t="s">
        <v>2</v>
      </c>
      <c r="F4" s="25" t="s">
        <v>3</v>
      </c>
      <c r="G4" s="25" t="s">
        <v>4</v>
      </c>
      <c r="H4" s="25" t="s">
        <v>5</v>
      </c>
      <c r="I4" s="25" t="s">
        <v>6</v>
      </c>
      <c r="J4" s="25" t="s">
        <v>7</v>
      </c>
      <c r="K4" s="25" t="s">
        <v>8</v>
      </c>
      <c r="L4" s="25" t="s">
        <v>9</v>
      </c>
      <c r="M4" s="25" t="s">
        <v>10</v>
      </c>
      <c r="N4" s="25" t="s">
        <v>11</v>
      </c>
      <c r="O4" s="40"/>
      <c r="P4" s="40" t="s">
        <v>70</v>
      </c>
      <c r="Q4" s="40" t="s">
        <v>71</v>
      </c>
      <c r="R4" s="40" t="s">
        <v>72</v>
      </c>
      <c r="S4" s="40" t="s">
        <v>73</v>
      </c>
    </row>
    <row r="5" spans="1:19">
      <c r="A5" t="s">
        <v>22</v>
      </c>
      <c r="B5" t="s">
        <v>13</v>
      </c>
      <c r="C5" s="1">
        <v>1626625</v>
      </c>
      <c r="D5" s="1">
        <v>1375429.2825873264</v>
      </c>
      <c r="E5" s="1">
        <v>1238274.809433915</v>
      </c>
      <c r="F5" s="1">
        <v>1095898.0768288989</v>
      </c>
      <c r="G5" s="1">
        <v>974336.62797704863</v>
      </c>
      <c r="H5" s="1">
        <v>944358.62061345635</v>
      </c>
      <c r="I5" s="1">
        <v>980081.54009495745</v>
      </c>
      <c r="J5" s="1">
        <v>1177633.0459421936</v>
      </c>
      <c r="K5" s="1">
        <v>1240141.1440069531</v>
      </c>
      <c r="L5" s="1">
        <v>1301287.1701729987</v>
      </c>
      <c r="M5" s="1">
        <v>1301287.1701729987</v>
      </c>
      <c r="N5" s="1">
        <v>1301287.1701729987</v>
      </c>
      <c r="O5" s="38"/>
      <c r="P5" s="42">
        <v>1626625</v>
      </c>
      <c r="Q5" s="45">
        <v>1095898.0768288986</v>
      </c>
      <c r="R5" s="45">
        <v>980081.54009495722</v>
      </c>
      <c r="S5" s="38"/>
    </row>
    <row r="6" spans="1:19">
      <c r="C6" s="1"/>
      <c r="D6" s="1"/>
      <c r="E6" s="1"/>
      <c r="F6" s="1"/>
      <c r="G6" s="1"/>
      <c r="H6" s="1"/>
      <c r="I6" s="1"/>
      <c r="J6" s="1"/>
      <c r="K6" s="1"/>
      <c r="L6" s="1"/>
      <c r="M6" s="1"/>
      <c r="N6" s="1"/>
      <c r="O6" s="38"/>
      <c r="P6" s="38"/>
      <c r="Q6" s="38"/>
      <c r="R6" s="38"/>
      <c r="S6" s="38"/>
    </row>
    <row r="7" spans="1:19">
      <c r="B7" t="s">
        <v>14</v>
      </c>
      <c r="C7" s="1">
        <v>419209.98380815692</v>
      </c>
      <c r="D7" s="1">
        <v>328614.56575911184</v>
      </c>
      <c r="E7" s="1">
        <v>276309.75673962827</v>
      </c>
      <c r="F7" s="1">
        <v>201013.99161668337</v>
      </c>
      <c r="G7" s="1">
        <v>119613.14111167201</v>
      </c>
      <c r="H7" s="1">
        <v>90527.406386947419</v>
      </c>
      <c r="I7" s="1">
        <v>66857.969033931746</v>
      </c>
      <c r="J7" s="1">
        <v>71081.86826672389</v>
      </c>
      <c r="K7" s="1">
        <v>88500.59563281991</v>
      </c>
      <c r="L7" s="1">
        <v>199049.82167356106</v>
      </c>
      <c r="M7" s="1">
        <v>324075.05224528984</v>
      </c>
      <c r="N7" s="1">
        <v>448154.452078395</v>
      </c>
      <c r="O7" s="45">
        <v>2633008.6043529212</v>
      </c>
      <c r="P7" s="45">
        <v>1024134.306306897</v>
      </c>
      <c r="Q7" s="45">
        <v>411154.53911530279</v>
      </c>
      <c r="R7" s="45">
        <v>226440.43293347553</v>
      </c>
      <c r="S7" s="45">
        <v>971279.32599724596</v>
      </c>
    </row>
    <row r="8" spans="1:19">
      <c r="A8" t="s">
        <v>21</v>
      </c>
      <c r="B8" t="s">
        <v>15</v>
      </c>
      <c r="C8" s="1">
        <v>408071.37741267373</v>
      </c>
      <c r="D8" s="1">
        <v>317193.05315341149</v>
      </c>
      <c r="E8" s="1">
        <v>271989.03260501608</v>
      </c>
      <c r="F8" s="1">
        <v>238360.4488518502</v>
      </c>
      <c r="G8" s="1">
        <v>175025.00736359225</v>
      </c>
      <c r="H8" s="1">
        <v>116702.0805184989</v>
      </c>
      <c r="I8" s="1">
        <v>78080.4941527638</v>
      </c>
      <c r="J8" s="1">
        <v>62455.901935240603</v>
      </c>
      <c r="K8" s="1">
        <v>71890.9738339545</v>
      </c>
      <c r="L8" s="1">
        <v>0</v>
      </c>
      <c r="M8" s="1">
        <v>0</v>
      </c>
      <c r="N8" s="1">
        <v>0</v>
      </c>
      <c r="O8" s="45">
        <v>1739768.3698270018</v>
      </c>
      <c r="P8" s="45">
        <v>997253.46317110141</v>
      </c>
      <c r="Q8" s="45">
        <v>530087.53673394141</v>
      </c>
      <c r="R8" s="45">
        <v>212427.36992195889</v>
      </c>
      <c r="S8" s="45">
        <v>0</v>
      </c>
    </row>
    <row r="9" spans="1:19">
      <c r="B9" t="s">
        <v>16</v>
      </c>
      <c r="C9" s="3">
        <v>-11138.606395483192</v>
      </c>
      <c r="D9" s="3">
        <v>-11421.512605700351</v>
      </c>
      <c r="E9" s="3">
        <v>-4320.7241346121882</v>
      </c>
      <c r="F9" s="3">
        <v>37346.457235166832</v>
      </c>
      <c r="G9" s="3">
        <v>55411.866251920233</v>
      </c>
      <c r="H9" s="3">
        <v>26174.674131551481</v>
      </c>
      <c r="I9" s="3">
        <v>11222.525118832054</v>
      </c>
      <c r="J9" s="3">
        <v>-8625.9663314832869</v>
      </c>
      <c r="K9" s="3">
        <v>-16609.62179886541</v>
      </c>
      <c r="L9" s="3">
        <v>-199049.82167356106</v>
      </c>
      <c r="M9" s="3">
        <v>-324075.05224528984</v>
      </c>
      <c r="N9" s="3">
        <v>-448154.452078395</v>
      </c>
      <c r="O9" s="46">
        <v>-893240.23452591966</v>
      </c>
      <c r="P9" s="46">
        <v>-26880.843135795556</v>
      </c>
      <c r="Q9" s="46">
        <v>118932.99761863862</v>
      </c>
      <c r="R9" s="46">
        <v>-14013.063011516642</v>
      </c>
      <c r="S9" s="46">
        <v>-971279.32599724596</v>
      </c>
    </row>
    <row r="10" spans="1:19">
      <c r="C10" s="1"/>
      <c r="D10" s="1"/>
      <c r="E10" s="1"/>
      <c r="F10" s="1"/>
      <c r="G10" s="1"/>
      <c r="H10" s="1"/>
      <c r="I10" s="1"/>
      <c r="J10" s="1"/>
      <c r="K10" s="1"/>
      <c r="L10" s="1"/>
      <c r="M10" s="1"/>
      <c r="N10" s="1"/>
      <c r="O10" s="38"/>
      <c r="P10" s="38"/>
      <c r="Q10" s="38"/>
      <c r="R10" s="38"/>
      <c r="S10" s="38"/>
    </row>
    <row r="11" spans="1:19">
      <c r="B11" t="s">
        <v>18</v>
      </c>
      <c r="C11" s="1">
        <v>173135.58333333334</v>
      </c>
      <c r="D11" s="1">
        <v>173135.58333333334</v>
      </c>
      <c r="E11" s="1">
        <v>173135.58333333334</v>
      </c>
      <c r="F11" s="1">
        <v>173135.58333333334</v>
      </c>
      <c r="G11" s="1">
        <v>173135.58333333334</v>
      </c>
      <c r="H11" s="1">
        <v>173135.58333333334</v>
      </c>
      <c r="I11" s="1">
        <v>173135.58333333334</v>
      </c>
      <c r="J11" s="1">
        <v>173135.58333333334</v>
      </c>
      <c r="K11" s="1">
        <v>173135.58333333334</v>
      </c>
      <c r="L11" s="1">
        <v>173135.58333333334</v>
      </c>
      <c r="M11" s="1">
        <v>173135.58333333334</v>
      </c>
      <c r="N11" s="1">
        <v>173135.58333333334</v>
      </c>
      <c r="O11" s="45">
        <v>2077626.9999999998</v>
      </c>
      <c r="P11" s="45">
        <v>519406.75</v>
      </c>
      <c r="Q11" s="45">
        <v>519406.75</v>
      </c>
      <c r="R11" s="45">
        <v>519406.75</v>
      </c>
      <c r="S11" s="45">
        <v>519406.75</v>
      </c>
    </row>
    <row r="12" spans="1:19">
      <c r="A12" t="s">
        <v>20</v>
      </c>
      <c r="B12" t="s">
        <v>17</v>
      </c>
      <c r="C12" s="1">
        <v>156875.66</v>
      </c>
      <c r="D12" s="1">
        <v>180038.58000000002</v>
      </c>
      <c r="E12" s="1">
        <v>129612.29999999999</v>
      </c>
      <c r="F12" s="1">
        <v>116799</v>
      </c>
      <c r="G12" s="1">
        <v>145047</v>
      </c>
      <c r="H12" s="1">
        <v>152425</v>
      </c>
      <c r="I12" s="1">
        <v>275632</v>
      </c>
      <c r="J12" s="1">
        <v>124964</v>
      </c>
      <c r="K12" s="1">
        <v>133037</v>
      </c>
      <c r="L12" s="1">
        <v>0</v>
      </c>
      <c r="M12" s="1">
        <v>0</v>
      </c>
      <c r="N12" s="1">
        <v>0</v>
      </c>
      <c r="O12" s="45">
        <v>1414430.54</v>
      </c>
      <c r="P12" s="45">
        <v>466526.54</v>
      </c>
      <c r="Q12" s="45">
        <v>414271</v>
      </c>
      <c r="R12" s="45">
        <v>533633</v>
      </c>
      <c r="S12" s="45">
        <v>0</v>
      </c>
    </row>
    <row r="13" spans="1:19">
      <c r="B13" t="s">
        <v>19</v>
      </c>
      <c r="C13" s="1">
        <v>16259.92333333334</v>
      </c>
      <c r="D13" s="1">
        <v>-6902.9966666666733</v>
      </c>
      <c r="E13" s="1">
        <v>43523.283333333355</v>
      </c>
      <c r="F13" s="1">
        <v>56336.583333333343</v>
      </c>
      <c r="G13" s="1">
        <v>28088.583333333343</v>
      </c>
      <c r="H13" s="1">
        <v>20710.583333333343</v>
      </c>
      <c r="I13" s="1">
        <v>-102496.41666666666</v>
      </c>
      <c r="J13" s="1">
        <v>48171.583333333343</v>
      </c>
      <c r="K13" s="1">
        <v>40098.583333333343</v>
      </c>
      <c r="L13" s="1">
        <v>173135.58333333334</v>
      </c>
      <c r="M13" s="1">
        <v>173135.58333333334</v>
      </c>
      <c r="N13" s="1">
        <v>173135.58333333334</v>
      </c>
      <c r="O13" s="46">
        <v>663196.4600000002</v>
      </c>
      <c r="P13" s="47">
        <v>52880.210000000021</v>
      </c>
      <c r="Q13" s="47">
        <v>105135.75</v>
      </c>
      <c r="R13" s="47">
        <v>-14226.25</v>
      </c>
      <c r="S13" s="47">
        <v>519406.75</v>
      </c>
    </row>
    <row r="14" spans="1:19">
      <c r="C14" s="1"/>
      <c r="D14" s="1"/>
      <c r="E14" s="1"/>
      <c r="F14" s="1"/>
      <c r="G14" s="1"/>
      <c r="H14" s="1"/>
      <c r="I14" s="1"/>
      <c r="J14" s="1"/>
      <c r="K14" s="1"/>
      <c r="L14" s="1"/>
      <c r="M14" s="1"/>
      <c r="N14" s="1"/>
      <c r="O14" s="38"/>
      <c r="P14" s="38"/>
      <c r="Q14" s="38"/>
      <c r="R14" s="38"/>
      <c r="S14" s="38"/>
    </row>
    <row r="15" spans="1:19" ht="30">
      <c r="A15" t="s">
        <v>24</v>
      </c>
      <c r="B15" s="4" t="s">
        <v>23</v>
      </c>
      <c r="C15" s="1">
        <v>251195.71741267372</v>
      </c>
      <c r="D15" s="1">
        <v>137154.47315341147</v>
      </c>
      <c r="E15" s="1">
        <v>142376.73260501609</v>
      </c>
      <c r="F15" s="1">
        <v>121561.4488518502</v>
      </c>
      <c r="G15" s="1">
        <v>29978.007363592245</v>
      </c>
      <c r="H15" s="1">
        <v>-35722.9194815011</v>
      </c>
      <c r="I15" s="1">
        <v>-197551.5058472362</v>
      </c>
      <c r="J15" s="1">
        <v>-62508.098064759397</v>
      </c>
      <c r="K15" s="1">
        <v>-61146.0261660455</v>
      </c>
      <c r="L15" s="1">
        <v>0</v>
      </c>
      <c r="M15" s="1">
        <v>0</v>
      </c>
      <c r="N15" s="1">
        <v>0</v>
      </c>
      <c r="O15" s="43">
        <v>325337.82982700178</v>
      </c>
      <c r="P15" s="43">
        <v>530726.92317110137</v>
      </c>
      <c r="Q15" s="43">
        <v>115816.53673394141</v>
      </c>
      <c r="R15" s="43">
        <v>-321205.63007804111</v>
      </c>
      <c r="S15" s="43">
        <v>0</v>
      </c>
    </row>
    <row r="16" spans="1:19">
      <c r="C16" s="1"/>
      <c r="D16" s="1"/>
      <c r="E16" s="1"/>
      <c r="F16" s="1"/>
      <c r="G16" s="1"/>
      <c r="H16" s="1"/>
      <c r="I16" s="1"/>
      <c r="J16" s="1"/>
      <c r="K16" s="1"/>
      <c r="L16" s="1"/>
      <c r="M16" s="1"/>
      <c r="N16" s="1"/>
      <c r="O16" s="38"/>
      <c r="P16" s="38"/>
      <c r="Q16" s="38"/>
      <c r="R16" s="38"/>
      <c r="S16" s="38"/>
    </row>
    <row r="17" spans="2:19">
      <c r="B17" t="s">
        <v>25</v>
      </c>
      <c r="C17" s="3">
        <v>1375429.2825873264</v>
      </c>
      <c r="D17" s="3">
        <v>1238274.809433915</v>
      </c>
      <c r="E17" s="3">
        <v>1095898.0768288989</v>
      </c>
      <c r="F17" s="3">
        <v>974336.62797704863</v>
      </c>
      <c r="G17" s="3">
        <v>944358.62061345635</v>
      </c>
      <c r="H17" s="3">
        <v>980081.54009495745</v>
      </c>
      <c r="I17" s="3">
        <v>1177633.0459421936</v>
      </c>
      <c r="J17" s="3">
        <v>1240141.1440069531</v>
      </c>
      <c r="K17" s="3">
        <v>1301287.1701729987</v>
      </c>
      <c r="L17" s="3">
        <v>1301287.1701729987</v>
      </c>
      <c r="M17" s="3">
        <v>1301287.1701729987</v>
      </c>
      <c r="N17" s="3">
        <v>1301287.1701729987</v>
      </c>
      <c r="O17" s="45"/>
      <c r="P17" s="45">
        <v>1095898.0768288986</v>
      </c>
      <c r="Q17" s="45">
        <v>980081.54009495722</v>
      </c>
      <c r="R17" s="45">
        <v>1301287.1701729982</v>
      </c>
      <c r="S17" s="45">
        <v>0</v>
      </c>
    </row>
    <row r="18" spans="2:19">
      <c r="O18" s="38"/>
      <c r="P18" s="38"/>
      <c r="Q18" s="38"/>
      <c r="R18" s="38"/>
      <c r="S18" s="38"/>
    </row>
    <row r="19" spans="2:19">
      <c r="B19" t="s">
        <v>30</v>
      </c>
      <c r="E19" s="3"/>
      <c r="F19" s="3"/>
      <c r="G19" s="3"/>
      <c r="H19" s="3"/>
      <c r="I19" s="3"/>
      <c r="J19" s="3"/>
      <c r="K19" s="3"/>
      <c r="L19" s="3">
        <v>-25914.238340227719</v>
      </c>
      <c r="M19" s="3">
        <v>-176853.70725218419</v>
      </c>
      <c r="N19" s="3">
        <v>-451872.57599724585</v>
      </c>
      <c r="O19" s="38"/>
      <c r="P19" s="45"/>
      <c r="Q19" s="38"/>
      <c r="R19" s="38"/>
      <c r="S19" s="38"/>
    </row>
    <row r="21" spans="2:19">
      <c r="B21" s="49" t="s">
        <v>26</v>
      </c>
    </row>
    <row r="22" spans="2:19" ht="30.75" customHeight="1">
      <c r="B22" s="90" t="s">
        <v>28</v>
      </c>
      <c r="C22" s="90"/>
      <c r="D22" s="90"/>
      <c r="E22" s="90"/>
      <c r="F22" s="90"/>
      <c r="G22" s="90"/>
      <c r="H22" s="90"/>
      <c r="I22" s="90"/>
      <c r="J22" s="90"/>
      <c r="K22" s="90"/>
      <c r="L22" s="90"/>
      <c r="M22" s="90"/>
      <c r="N22" s="90"/>
    </row>
    <row r="23" spans="2:19" ht="30.75" customHeight="1">
      <c r="B23" s="90" t="s">
        <v>29</v>
      </c>
      <c r="C23" s="90"/>
      <c r="D23" s="90"/>
      <c r="E23" s="90"/>
      <c r="F23" s="90"/>
      <c r="G23" s="90"/>
      <c r="H23" s="90"/>
      <c r="I23" s="90"/>
      <c r="J23" s="90"/>
      <c r="K23" s="90"/>
      <c r="L23" s="90"/>
      <c r="M23" s="90"/>
      <c r="N23" s="90"/>
    </row>
    <row r="24" spans="2:19" ht="30.75" customHeight="1">
      <c r="B24" s="90" t="s">
        <v>128</v>
      </c>
      <c r="C24" s="90"/>
      <c r="D24" s="90"/>
      <c r="E24" s="90"/>
      <c r="F24" s="90"/>
      <c r="G24" s="90"/>
      <c r="H24" s="90"/>
      <c r="I24" s="90"/>
      <c r="J24" s="90"/>
      <c r="K24" s="90"/>
      <c r="L24" s="90"/>
      <c r="M24" s="90"/>
      <c r="N24" s="90"/>
    </row>
    <row r="25" spans="2:19">
      <c r="B25" s="90" t="s">
        <v>136</v>
      </c>
      <c r="C25" s="90"/>
      <c r="D25" s="90"/>
      <c r="E25" s="90"/>
      <c r="F25" s="90"/>
      <c r="G25" s="90"/>
      <c r="H25" s="90"/>
      <c r="I25" s="90"/>
      <c r="J25" s="90"/>
      <c r="K25" s="90"/>
      <c r="L25" s="90"/>
      <c r="M25" s="90"/>
      <c r="N25" s="90"/>
    </row>
    <row r="26" spans="2:19">
      <c r="B26" s="90" t="s">
        <v>143</v>
      </c>
      <c r="C26" s="90"/>
      <c r="D26" s="90"/>
      <c r="E26" s="90"/>
      <c r="F26" s="90"/>
      <c r="G26" s="90"/>
      <c r="H26" s="90"/>
      <c r="I26" s="90"/>
      <c r="J26" s="90"/>
      <c r="K26" s="90"/>
      <c r="L26" s="90"/>
      <c r="M26" s="90"/>
      <c r="N26" s="90"/>
    </row>
    <row r="27" spans="2:19">
      <c r="B27" s="90" t="s">
        <v>150</v>
      </c>
      <c r="C27" s="90"/>
      <c r="D27" s="90"/>
      <c r="E27" s="90"/>
      <c r="F27" s="90"/>
      <c r="G27" s="90"/>
      <c r="H27" s="90"/>
      <c r="I27" s="90"/>
      <c r="J27" s="90"/>
      <c r="K27" s="90"/>
      <c r="L27" s="90"/>
      <c r="M27" s="90"/>
      <c r="N27" s="90"/>
    </row>
    <row r="28" spans="2:19" ht="30" customHeight="1">
      <c r="B28" s="90" t="s">
        <v>160</v>
      </c>
      <c r="C28" s="90"/>
      <c r="D28" s="90"/>
      <c r="E28" s="90"/>
      <c r="F28" s="90"/>
      <c r="G28" s="90"/>
      <c r="H28" s="90"/>
      <c r="I28" s="90"/>
      <c r="J28" s="90"/>
      <c r="K28" s="90"/>
      <c r="L28" s="90"/>
      <c r="M28" s="90"/>
      <c r="N28" s="90"/>
    </row>
    <row r="29" spans="2:19">
      <c r="B29" s="90" t="s">
        <v>167</v>
      </c>
      <c r="C29" s="90"/>
      <c r="D29" s="90"/>
      <c r="E29" s="90"/>
      <c r="F29" s="90"/>
      <c r="G29" s="90"/>
      <c r="H29" s="90"/>
      <c r="I29" s="90"/>
      <c r="J29" s="90"/>
      <c r="K29" s="90"/>
      <c r="L29" s="90"/>
      <c r="M29" s="90"/>
      <c r="N29" s="90"/>
    </row>
    <row r="30" spans="2:19">
      <c r="B30" s="90" t="s">
        <v>184</v>
      </c>
      <c r="C30" s="90"/>
      <c r="D30" s="90"/>
      <c r="E30" s="90"/>
      <c r="F30" s="90"/>
      <c r="G30" s="90"/>
      <c r="H30" s="90"/>
      <c r="I30" s="90"/>
      <c r="J30" s="90"/>
      <c r="K30" s="90"/>
      <c r="L30" s="90"/>
      <c r="M30" s="90"/>
      <c r="N30" s="90"/>
    </row>
  </sheetData>
  <mergeCells count="9">
    <mergeCell ref="B30:N30"/>
    <mergeCell ref="B29:N29"/>
    <mergeCell ref="B28:N28"/>
    <mergeCell ref="B27:N27"/>
    <mergeCell ref="B22:N22"/>
    <mergeCell ref="B23:N23"/>
    <mergeCell ref="B24:N24"/>
    <mergeCell ref="B25:N25"/>
    <mergeCell ref="B26:N26"/>
  </mergeCells>
  <pageMargins left="0" right="0" top="0.75" bottom="0.75" header="0.3" footer="0.3"/>
  <pageSetup scale="70" orientation="landscape" r:id="rId1"/>
  <colBreaks count="1" manualBreakCount="1">
    <brk id="15" max="1048575" man="1"/>
  </colBreaks>
</worksheet>
</file>

<file path=xl/worksheets/sheet13.xml><?xml version="1.0" encoding="utf-8"?>
<worksheet xmlns="http://schemas.openxmlformats.org/spreadsheetml/2006/main" xmlns:r="http://schemas.openxmlformats.org/officeDocument/2006/relationships">
  <sheetPr>
    <tabColor theme="5" tint="0.39997558519241921"/>
  </sheetPr>
  <dimension ref="A2:BD117"/>
  <sheetViews>
    <sheetView workbookViewId="0">
      <pane xSplit="2" ySplit="4" topLeftCell="C82" activePane="bottomRight" state="frozen"/>
      <selection pane="topRight" activeCell="C1" sqref="C1"/>
      <selection pane="bottomLeft" activeCell="A5" sqref="A5"/>
      <selection pane="bottomRight" activeCell="B117" sqref="B117:N117"/>
    </sheetView>
  </sheetViews>
  <sheetFormatPr defaultRowHeight="15"/>
  <cols>
    <col min="1" max="1" width="10.28515625" bestFit="1" customWidth="1"/>
    <col min="2" max="2" width="43.28515625" customWidth="1"/>
    <col min="3" max="3" width="9.85546875" style="13" bestFit="1" customWidth="1"/>
    <col min="4" max="4" width="12.140625" style="13" bestFit="1" customWidth="1"/>
    <col min="5" max="14" width="9.85546875" style="13" bestFit="1" customWidth="1"/>
    <col min="15" max="15" width="10.7109375" style="13" bestFit="1" customWidth="1"/>
    <col min="16" max="28" width="11.7109375" style="13" hidden="1" customWidth="1"/>
    <col min="29" max="34" width="11.7109375" style="13" customWidth="1"/>
    <col min="35" max="56" width="11.7109375" style="7" customWidth="1"/>
  </cols>
  <sheetData>
    <row r="2" spans="1:28">
      <c r="B2" s="37" t="s">
        <v>60</v>
      </c>
    </row>
    <row r="3" spans="1:28">
      <c r="B3" s="5" t="s">
        <v>47</v>
      </c>
      <c r="C3" s="14">
        <v>2010</v>
      </c>
      <c r="D3" s="14">
        <v>2010</v>
      </c>
      <c r="E3" s="14">
        <v>2010</v>
      </c>
      <c r="F3" s="14">
        <v>2010</v>
      </c>
      <c r="G3" s="14">
        <v>2010</v>
      </c>
      <c r="H3" s="14">
        <v>2010</v>
      </c>
      <c r="I3" s="14">
        <v>2010</v>
      </c>
      <c r="J3" s="14">
        <v>2010</v>
      </c>
      <c r="K3" s="14">
        <v>2010</v>
      </c>
      <c r="L3" s="14">
        <v>2010</v>
      </c>
      <c r="M3" s="14">
        <v>2010</v>
      </c>
      <c r="N3" s="14">
        <v>2010</v>
      </c>
      <c r="O3" s="14" t="s">
        <v>31</v>
      </c>
      <c r="P3" s="14">
        <v>2011</v>
      </c>
      <c r="Q3" s="14">
        <v>2011</v>
      </c>
      <c r="R3" s="14">
        <v>2011</v>
      </c>
      <c r="S3" s="14">
        <v>2011</v>
      </c>
      <c r="T3" s="14">
        <v>2011</v>
      </c>
      <c r="U3" s="14">
        <v>2011</v>
      </c>
      <c r="V3" s="14">
        <v>2011</v>
      </c>
      <c r="W3" s="14">
        <v>2011</v>
      </c>
      <c r="X3" s="14">
        <v>2011</v>
      </c>
      <c r="Y3" s="14">
        <v>2011</v>
      </c>
      <c r="Z3" s="14">
        <v>2011</v>
      </c>
      <c r="AA3" s="14">
        <v>2011</v>
      </c>
      <c r="AB3" s="14" t="s">
        <v>32</v>
      </c>
    </row>
    <row r="4" spans="1:28">
      <c r="C4" s="17" t="s">
        <v>0</v>
      </c>
      <c r="D4" s="17" t="s">
        <v>1</v>
      </c>
      <c r="E4" s="17" t="s">
        <v>2</v>
      </c>
      <c r="F4" s="17" t="s">
        <v>3</v>
      </c>
      <c r="G4" s="17" t="s">
        <v>4</v>
      </c>
      <c r="H4" s="17" t="s">
        <v>5</v>
      </c>
      <c r="I4" s="17" t="s">
        <v>6</v>
      </c>
      <c r="J4" s="17" t="s">
        <v>7</v>
      </c>
      <c r="K4" s="17" t="s">
        <v>8</v>
      </c>
      <c r="L4" s="17" t="s">
        <v>9</v>
      </c>
      <c r="M4" s="17" t="s">
        <v>10</v>
      </c>
      <c r="N4" s="17" t="s">
        <v>11</v>
      </c>
      <c r="O4" s="17"/>
      <c r="P4" s="14" t="s">
        <v>0</v>
      </c>
      <c r="Q4" s="14" t="s">
        <v>1</v>
      </c>
      <c r="R4" s="14" t="s">
        <v>2</v>
      </c>
      <c r="S4" s="14" t="s">
        <v>3</v>
      </c>
      <c r="T4" s="14" t="s">
        <v>4</v>
      </c>
      <c r="U4" s="14" t="s">
        <v>5</v>
      </c>
      <c r="V4" s="14" t="s">
        <v>6</v>
      </c>
      <c r="W4" s="14" t="s">
        <v>7</v>
      </c>
      <c r="X4" s="14" t="s">
        <v>8</v>
      </c>
      <c r="Y4" s="14" t="s">
        <v>9</v>
      </c>
      <c r="Z4" s="14" t="s">
        <v>10</v>
      </c>
      <c r="AA4" s="14" t="s">
        <v>11</v>
      </c>
      <c r="AB4" s="14"/>
    </row>
    <row r="5" spans="1:28">
      <c r="E5" s="15"/>
      <c r="F5" s="15"/>
      <c r="G5" s="15"/>
      <c r="H5" s="15"/>
      <c r="I5" s="15"/>
      <c r="J5" s="15"/>
      <c r="K5" s="15"/>
      <c r="L5" s="15"/>
      <c r="M5" s="15"/>
      <c r="N5" s="15"/>
    </row>
    <row r="6" spans="1:28">
      <c r="B6" s="9" t="s">
        <v>84</v>
      </c>
      <c r="E6" s="15"/>
      <c r="F6" s="15"/>
      <c r="G6" s="15"/>
      <c r="H6" s="15"/>
      <c r="I6" s="15"/>
      <c r="J6" s="15"/>
      <c r="K6" s="15"/>
      <c r="L6" s="15"/>
      <c r="M6" s="15"/>
      <c r="N6" s="15"/>
      <c r="O6" s="16"/>
    </row>
    <row r="7" spans="1:28">
      <c r="B7" s="5" t="s">
        <v>34</v>
      </c>
      <c r="C7" s="20">
        <f>715327/12</f>
        <v>59610.583333333336</v>
      </c>
      <c r="D7" s="20">
        <f t="shared" ref="D7:N7" si="0">715327/12</f>
        <v>59610.583333333336</v>
      </c>
      <c r="E7" s="20">
        <f t="shared" si="0"/>
        <v>59610.583333333336</v>
      </c>
      <c r="F7" s="20">
        <f t="shared" si="0"/>
        <v>59610.583333333336</v>
      </c>
      <c r="G7" s="20">
        <f t="shared" si="0"/>
        <v>59610.583333333336</v>
      </c>
      <c r="H7" s="20">
        <f t="shared" si="0"/>
        <v>59610.583333333336</v>
      </c>
      <c r="I7" s="20">
        <f t="shared" si="0"/>
        <v>59610.583333333336</v>
      </c>
      <c r="J7" s="20">
        <f t="shared" si="0"/>
        <v>59610.583333333336</v>
      </c>
      <c r="K7" s="20">
        <f t="shared" si="0"/>
        <v>59610.583333333336</v>
      </c>
      <c r="L7" s="20">
        <f t="shared" si="0"/>
        <v>59610.583333333336</v>
      </c>
      <c r="M7" s="20">
        <f t="shared" si="0"/>
        <v>59610.583333333336</v>
      </c>
      <c r="N7" s="20">
        <f t="shared" si="0"/>
        <v>59610.583333333336</v>
      </c>
      <c r="O7" s="56">
        <f t="shared" ref="O7:O13" si="1">SUM(C7:N7)</f>
        <v>715327.00000000012</v>
      </c>
    </row>
    <row r="8" spans="1:28">
      <c r="B8" s="5" t="s">
        <v>35</v>
      </c>
      <c r="C8" s="18">
        <f>781308/12</f>
        <v>65109</v>
      </c>
      <c r="D8" s="18">
        <f t="shared" ref="D8:N8" si="2">781308/12</f>
        <v>65109</v>
      </c>
      <c r="E8" s="18">
        <f t="shared" si="2"/>
        <v>65109</v>
      </c>
      <c r="F8" s="18">
        <f t="shared" si="2"/>
        <v>65109</v>
      </c>
      <c r="G8" s="18">
        <f t="shared" si="2"/>
        <v>65109</v>
      </c>
      <c r="H8" s="18">
        <f t="shared" si="2"/>
        <v>65109</v>
      </c>
      <c r="I8" s="18">
        <f t="shared" si="2"/>
        <v>65109</v>
      </c>
      <c r="J8" s="18">
        <f t="shared" si="2"/>
        <v>65109</v>
      </c>
      <c r="K8" s="18">
        <f t="shared" si="2"/>
        <v>65109</v>
      </c>
      <c r="L8" s="18">
        <f t="shared" si="2"/>
        <v>65109</v>
      </c>
      <c r="M8" s="18">
        <f t="shared" si="2"/>
        <v>65109</v>
      </c>
      <c r="N8" s="18">
        <f t="shared" si="2"/>
        <v>65109</v>
      </c>
      <c r="O8" s="50">
        <f t="shared" si="1"/>
        <v>781308</v>
      </c>
    </row>
    <row r="9" spans="1:28">
      <c r="B9" s="5" t="s">
        <v>36</v>
      </c>
      <c r="C9" s="18">
        <f>262855/12</f>
        <v>21904.583333333332</v>
      </c>
      <c r="D9" s="18">
        <f t="shared" ref="D9:N9" si="3">262855/12</f>
        <v>21904.583333333332</v>
      </c>
      <c r="E9" s="18">
        <f t="shared" si="3"/>
        <v>21904.583333333332</v>
      </c>
      <c r="F9" s="18">
        <f t="shared" si="3"/>
        <v>21904.583333333332</v>
      </c>
      <c r="G9" s="18">
        <f t="shared" si="3"/>
        <v>21904.583333333332</v>
      </c>
      <c r="H9" s="18">
        <f t="shared" si="3"/>
        <v>21904.583333333332</v>
      </c>
      <c r="I9" s="18">
        <f t="shared" si="3"/>
        <v>21904.583333333332</v>
      </c>
      <c r="J9" s="18">
        <f t="shared" si="3"/>
        <v>21904.583333333332</v>
      </c>
      <c r="K9" s="18">
        <f t="shared" si="3"/>
        <v>21904.583333333332</v>
      </c>
      <c r="L9" s="18">
        <f t="shared" si="3"/>
        <v>21904.583333333332</v>
      </c>
      <c r="M9" s="18">
        <f t="shared" si="3"/>
        <v>21904.583333333332</v>
      </c>
      <c r="N9" s="18">
        <f t="shared" si="3"/>
        <v>21904.583333333332</v>
      </c>
      <c r="O9" s="50">
        <f t="shared" si="1"/>
        <v>262855.00000000006</v>
      </c>
    </row>
    <row r="10" spans="1:28" hidden="1">
      <c r="B10" s="5" t="s">
        <v>37</v>
      </c>
      <c r="E10" s="15"/>
      <c r="F10" s="15"/>
      <c r="G10" s="15"/>
      <c r="H10" s="15"/>
      <c r="I10" s="15"/>
      <c r="J10" s="15"/>
      <c r="K10" s="15"/>
      <c r="L10" s="15"/>
      <c r="M10" s="15"/>
      <c r="N10" s="15"/>
      <c r="O10" s="50">
        <f t="shared" si="1"/>
        <v>0</v>
      </c>
    </row>
    <row r="11" spans="1:28" hidden="1">
      <c r="B11" s="5" t="s">
        <v>38</v>
      </c>
      <c r="E11" s="15"/>
      <c r="F11" s="15"/>
      <c r="G11" s="15"/>
      <c r="H11" s="15"/>
      <c r="I11" s="15"/>
      <c r="J11" s="15"/>
      <c r="K11" s="15"/>
      <c r="L11" s="15"/>
      <c r="M11" s="15"/>
      <c r="N11" s="15"/>
      <c r="O11" s="50">
        <f t="shared" si="1"/>
        <v>0</v>
      </c>
    </row>
    <row r="12" spans="1:28" hidden="1">
      <c r="B12" s="5" t="s">
        <v>39</v>
      </c>
      <c r="E12" s="15"/>
      <c r="F12" s="15"/>
      <c r="G12" s="15"/>
      <c r="H12" s="15"/>
      <c r="I12" s="15"/>
      <c r="J12" s="15"/>
      <c r="K12" s="15"/>
      <c r="L12" s="15"/>
      <c r="M12" s="15"/>
      <c r="N12" s="15"/>
      <c r="O12" s="50">
        <f t="shared" si="1"/>
        <v>0</v>
      </c>
    </row>
    <row r="13" spans="1:28" hidden="1">
      <c r="B13" s="5" t="s">
        <v>40</v>
      </c>
      <c r="E13" s="15"/>
      <c r="F13" s="15"/>
      <c r="G13" s="15"/>
      <c r="H13" s="15"/>
      <c r="I13" s="15"/>
      <c r="J13" s="15"/>
      <c r="K13" s="15"/>
      <c r="L13" s="15"/>
      <c r="M13" s="15"/>
      <c r="N13" s="15"/>
      <c r="O13" s="50">
        <f t="shared" si="1"/>
        <v>0</v>
      </c>
    </row>
    <row r="14" spans="1:28">
      <c r="A14" t="s">
        <v>22</v>
      </c>
      <c r="B14" s="9" t="s">
        <v>41</v>
      </c>
      <c r="C14" s="19">
        <f>SUM(C7:C13)</f>
        <v>146624.16666666669</v>
      </c>
      <c r="D14" s="19">
        <f t="shared" ref="D14:N14" si="4">SUM(D7:D13)</f>
        <v>146624.16666666669</v>
      </c>
      <c r="E14" s="19">
        <f t="shared" si="4"/>
        <v>146624.16666666669</v>
      </c>
      <c r="F14" s="19">
        <f t="shared" si="4"/>
        <v>146624.16666666669</v>
      </c>
      <c r="G14" s="19">
        <f t="shared" si="4"/>
        <v>146624.16666666669</v>
      </c>
      <c r="H14" s="19">
        <f t="shared" si="4"/>
        <v>146624.16666666669</v>
      </c>
      <c r="I14" s="19">
        <f t="shared" si="4"/>
        <v>146624.16666666669</v>
      </c>
      <c r="J14" s="19">
        <f t="shared" si="4"/>
        <v>146624.16666666669</v>
      </c>
      <c r="K14" s="19">
        <f t="shared" si="4"/>
        <v>146624.16666666669</v>
      </c>
      <c r="L14" s="19">
        <f t="shared" si="4"/>
        <v>146624.16666666669</v>
      </c>
      <c r="M14" s="19">
        <f t="shared" si="4"/>
        <v>146624.16666666669</v>
      </c>
      <c r="N14" s="19">
        <f t="shared" si="4"/>
        <v>146624.16666666669</v>
      </c>
      <c r="O14" s="51">
        <f>SUM(O7:O13)</f>
        <v>1759490</v>
      </c>
    </row>
    <row r="15" spans="1:28">
      <c r="B15" s="9"/>
      <c r="E15" s="15"/>
      <c r="F15" s="15"/>
      <c r="G15" s="15"/>
      <c r="H15" s="15"/>
      <c r="I15" s="15"/>
      <c r="J15" s="15"/>
      <c r="K15" s="15"/>
      <c r="L15" s="15"/>
      <c r="M15" s="15"/>
      <c r="N15" s="15"/>
      <c r="O15" s="50"/>
    </row>
    <row r="16" spans="1:28">
      <c r="B16" s="9" t="s">
        <v>85</v>
      </c>
      <c r="E16" s="15"/>
      <c r="F16" s="15"/>
      <c r="G16" s="15"/>
      <c r="H16" s="15"/>
      <c r="I16" s="15"/>
      <c r="J16" s="15"/>
      <c r="K16" s="15"/>
      <c r="L16" s="15"/>
      <c r="M16" s="15"/>
      <c r="N16" s="15"/>
      <c r="O16" s="50"/>
    </row>
    <row r="17" spans="1:15">
      <c r="B17" s="5" t="s">
        <v>34</v>
      </c>
      <c r="C17" s="20">
        <f>593/12</f>
        <v>49.416666666666664</v>
      </c>
      <c r="D17" s="20">
        <f t="shared" ref="D17:N17" si="5">593/12</f>
        <v>49.416666666666664</v>
      </c>
      <c r="E17" s="20">
        <f t="shared" si="5"/>
        <v>49.416666666666664</v>
      </c>
      <c r="F17" s="20">
        <f t="shared" si="5"/>
        <v>49.416666666666664</v>
      </c>
      <c r="G17" s="20">
        <f t="shared" si="5"/>
        <v>49.416666666666664</v>
      </c>
      <c r="H17" s="20">
        <f t="shared" si="5"/>
        <v>49.416666666666664</v>
      </c>
      <c r="I17" s="20">
        <f t="shared" si="5"/>
        <v>49.416666666666664</v>
      </c>
      <c r="J17" s="20">
        <f t="shared" si="5"/>
        <v>49.416666666666664</v>
      </c>
      <c r="K17" s="20">
        <f t="shared" si="5"/>
        <v>49.416666666666664</v>
      </c>
      <c r="L17" s="20">
        <f t="shared" si="5"/>
        <v>49.416666666666664</v>
      </c>
      <c r="M17" s="20">
        <f t="shared" si="5"/>
        <v>49.416666666666664</v>
      </c>
      <c r="N17" s="20">
        <f t="shared" si="5"/>
        <v>49.416666666666664</v>
      </c>
      <c r="O17" s="56">
        <f t="shared" ref="O17:O23" si="6">SUM(C17:N17)</f>
        <v>593</v>
      </c>
    </row>
    <row r="18" spans="1:15">
      <c r="B18" s="5" t="s">
        <v>35</v>
      </c>
      <c r="C18" s="18">
        <f>3929/12</f>
        <v>327.41666666666669</v>
      </c>
      <c r="D18" s="18">
        <f t="shared" ref="D18:N18" si="7">3929/12</f>
        <v>327.41666666666669</v>
      </c>
      <c r="E18" s="18">
        <f t="shared" si="7"/>
        <v>327.41666666666669</v>
      </c>
      <c r="F18" s="18">
        <f t="shared" si="7"/>
        <v>327.41666666666669</v>
      </c>
      <c r="G18" s="18">
        <f t="shared" si="7"/>
        <v>327.41666666666669</v>
      </c>
      <c r="H18" s="18">
        <f t="shared" si="7"/>
        <v>327.41666666666669</v>
      </c>
      <c r="I18" s="18">
        <f t="shared" si="7"/>
        <v>327.41666666666669</v>
      </c>
      <c r="J18" s="18">
        <f t="shared" si="7"/>
        <v>327.41666666666669</v>
      </c>
      <c r="K18" s="18">
        <f t="shared" si="7"/>
        <v>327.41666666666669</v>
      </c>
      <c r="L18" s="18">
        <f t="shared" si="7"/>
        <v>327.41666666666669</v>
      </c>
      <c r="M18" s="18">
        <f t="shared" si="7"/>
        <v>327.41666666666669</v>
      </c>
      <c r="N18" s="18">
        <f t="shared" si="7"/>
        <v>327.41666666666669</v>
      </c>
      <c r="O18" s="50">
        <f t="shared" si="6"/>
        <v>3928.9999999999995</v>
      </c>
    </row>
    <row r="19" spans="1:15">
      <c r="B19" s="5" t="s">
        <v>36</v>
      </c>
      <c r="O19" s="50">
        <f t="shared" si="6"/>
        <v>0</v>
      </c>
    </row>
    <row r="20" spans="1:15">
      <c r="B20" s="5" t="s">
        <v>37</v>
      </c>
      <c r="C20" s="18"/>
      <c r="D20" s="18"/>
      <c r="E20" s="18"/>
      <c r="F20" s="18"/>
      <c r="G20" s="18"/>
      <c r="H20" s="18"/>
      <c r="I20" s="18"/>
      <c r="J20" s="18"/>
      <c r="K20" s="18"/>
      <c r="L20" s="18"/>
      <c r="M20" s="18"/>
      <c r="N20" s="18"/>
      <c r="O20" s="50">
        <f t="shared" si="6"/>
        <v>0</v>
      </c>
    </row>
    <row r="21" spans="1:15" hidden="1">
      <c r="B21" s="5" t="s">
        <v>38</v>
      </c>
      <c r="O21" s="50">
        <f t="shared" si="6"/>
        <v>0</v>
      </c>
    </row>
    <row r="22" spans="1:15">
      <c r="B22" s="5" t="s">
        <v>39</v>
      </c>
      <c r="C22" s="18"/>
      <c r="D22" s="18"/>
      <c r="E22" s="18"/>
      <c r="F22" s="18"/>
      <c r="G22" s="18"/>
      <c r="H22" s="18"/>
      <c r="I22" s="18"/>
      <c r="J22" s="18"/>
      <c r="K22" s="18"/>
      <c r="L22" s="18"/>
      <c r="M22" s="18"/>
      <c r="N22" s="18"/>
      <c r="O22" s="50">
        <f t="shared" si="6"/>
        <v>0</v>
      </c>
    </row>
    <row r="23" spans="1:15">
      <c r="B23" s="5" t="s">
        <v>40</v>
      </c>
      <c r="C23" s="18">
        <f>171020/12</f>
        <v>14251.666666666666</v>
      </c>
      <c r="D23" s="18">
        <f t="shared" ref="D23:N23" si="8">171020/12</f>
        <v>14251.666666666666</v>
      </c>
      <c r="E23" s="18">
        <f t="shared" si="8"/>
        <v>14251.666666666666</v>
      </c>
      <c r="F23" s="18">
        <f t="shared" si="8"/>
        <v>14251.666666666666</v>
      </c>
      <c r="G23" s="18">
        <f t="shared" si="8"/>
        <v>14251.666666666666</v>
      </c>
      <c r="H23" s="18">
        <f t="shared" si="8"/>
        <v>14251.666666666666</v>
      </c>
      <c r="I23" s="18">
        <f t="shared" si="8"/>
        <v>14251.666666666666</v>
      </c>
      <c r="J23" s="18">
        <f t="shared" si="8"/>
        <v>14251.666666666666</v>
      </c>
      <c r="K23" s="18">
        <f t="shared" si="8"/>
        <v>14251.666666666666</v>
      </c>
      <c r="L23" s="18">
        <f t="shared" si="8"/>
        <v>14251.666666666666</v>
      </c>
      <c r="M23" s="18">
        <f t="shared" si="8"/>
        <v>14251.666666666666</v>
      </c>
      <c r="N23" s="18">
        <f t="shared" si="8"/>
        <v>14251.666666666666</v>
      </c>
      <c r="O23" s="50">
        <f t="shared" si="6"/>
        <v>171020</v>
      </c>
    </row>
    <row r="24" spans="1:15">
      <c r="A24" t="s">
        <v>21</v>
      </c>
      <c r="B24" s="9" t="s">
        <v>49</v>
      </c>
      <c r="C24" s="19">
        <f t="shared" ref="C24:N24" si="9">SUM(C17:C23)</f>
        <v>14628.5</v>
      </c>
      <c r="D24" s="19">
        <f t="shared" si="9"/>
        <v>14628.5</v>
      </c>
      <c r="E24" s="19">
        <f t="shared" si="9"/>
        <v>14628.5</v>
      </c>
      <c r="F24" s="19">
        <f t="shared" si="9"/>
        <v>14628.5</v>
      </c>
      <c r="G24" s="19">
        <f t="shared" si="9"/>
        <v>14628.5</v>
      </c>
      <c r="H24" s="19">
        <f t="shared" si="9"/>
        <v>14628.5</v>
      </c>
      <c r="I24" s="19">
        <f t="shared" si="9"/>
        <v>14628.5</v>
      </c>
      <c r="J24" s="19">
        <f t="shared" si="9"/>
        <v>14628.5</v>
      </c>
      <c r="K24" s="19">
        <f t="shared" si="9"/>
        <v>14628.5</v>
      </c>
      <c r="L24" s="19">
        <f t="shared" si="9"/>
        <v>14628.5</v>
      </c>
      <c r="M24" s="19">
        <f t="shared" si="9"/>
        <v>14628.5</v>
      </c>
      <c r="N24" s="19">
        <f t="shared" si="9"/>
        <v>14628.5</v>
      </c>
      <c r="O24" s="51">
        <f>SUM(O17:O23)</f>
        <v>175542</v>
      </c>
    </row>
    <row r="25" spans="1:15" ht="16.149999999999999" customHeight="1">
      <c r="B25" s="9"/>
      <c r="E25" s="15"/>
      <c r="F25" s="15"/>
      <c r="G25" s="15"/>
      <c r="H25" s="15"/>
      <c r="I25" s="15"/>
      <c r="J25" s="15"/>
      <c r="K25" s="15"/>
      <c r="L25" s="15"/>
      <c r="M25" s="15"/>
      <c r="N25" s="15"/>
      <c r="O25" s="50"/>
    </row>
    <row r="26" spans="1:15">
      <c r="B26" s="9" t="s">
        <v>86</v>
      </c>
      <c r="E26" s="15"/>
      <c r="F26" s="15"/>
      <c r="G26" s="15"/>
      <c r="H26" s="15"/>
      <c r="I26" s="15"/>
      <c r="J26" s="15"/>
      <c r="K26" s="15"/>
      <c r="L26" s="15"/>
      <c r="M26" s="15"/>
      <c r="N26" s="15"/>
      <c r="O26" s="50"/>
    </row>
    <row r="27" spans="1:15">
      <c r="B27" s="5" t="s">
        <v>34</v>
      </c>
      <c r="C27" s="20">
        <f>9599/12</f>
        <v>799.91666666666663</v>
      </c>
      <c r="D27" s="20">
        <f t="shared" ref="D27:N27" si="10">9599/12</f>
        <v>799.91666666666663</v>
      </c>
      <c r="E27" s="20">
        <f t="shared" si="10"/>
        <v>799.91666666666663</v>
      </c>
      <c r="F27" s="20">
        <f t="shared" si="10"/>
        <v>799.91666666666663</v>
      </c>
      <c r="G27" s="20">
        <f t="shared" si="10"/>
        <v>799.91666666666663</v>
      </c>
      <c r="H27" s="20">
        <f t="shared" si="10"/>
        <v>799.91666666666663</v>
      </c>
      <c r="I27" s="20">
        <f t="shared" si="10"/>
        <v>799.91666666666663</v>
      </c>
      <c r="J27" s="20">
        <f t="shared" si="10"/>
        <v>799.91666666666663</v>
      </c>
      <c r="K27" s="20">
        <f t="shared" si="10"/>
        <v>799.91666666666663</v>
      </c>
      <c r="L27" s="20">
        <f t="shared" si="10"/>
        <v>799.91666666666663</v>
      </c>
      <c r="M27" s="20">
        <f t="shared" si="10"/>
        <v>799.91666666666663</v>
      </c>
      <c r="N27" s="20">
        <f t="shared" si="10"/>
        <v>799.91666666666663</v>
      </c>
      <c r="O27" s="56">
        <f t="shared" ref="O27:O33" si="11">SUM(C27:N27)</f>
        <v>9599</v>
      </c>
    </row>
    <row r="28" spans="1:15">
      <c r="B28" s="5" t="s">
        <v>35</v>
      </c>
      <c r="C28" s="18">
        <f>2155/12</f>
        <v>179.58333333333334</v>
      </c>
      <c r="D28" s="18">
        <f t="shared" ref="D28:N28" si="12">2155/12</f>
        <v>179.58333333333334</v>
      </c>
      <c r="E28" s="18">
        <f t="shared" si="12"/>
        <v>179.58333333333334</v>
      </c>
      <c r="F28" s="18">
        <f t="shared" si="12"/>
        <v>179.58333333333334</v>
      </c>
      <c r="G28" s="18">
        <f t="shared" si="12"/>
        <v>179.58333333333334</v>
      </c>
      <c r="H28" s="18">
        <f t="shared" si="12"/>
        <v>179.58333333333334</v>
      </c>
      <c r="I28" s="18">
        <f t="shared" si="12"/>
        <v>179.58333333333334</v>
      </c>
      <c r="J28" s="18">
        <f t="shared" si="12"/>
        <v>179.58333333333334</v>
      </c>
      <c r="K28" s="18">
        <f t="shared" si="12"/>
        <v>179.58333333333334</v>
      </c>
      <c r="L28" s="18">
        <f t="shared" si="12"/>
        <v>179.58333333333334</v>
      </c>
      <c r="M28" s="18">
        <f t="shared" si="12"/>
        <v>179.58333333333334</v>
      </c>
      <c r="N28" s="18">
        <f t="shared" si="12"/>
        <v>179.58333333333334</v>
      </c>
      <c r="O28" s="50">
        <f t="shared" si="11"/>
        <v>2154.9999999999995</v>
      </c>
    </row>
    <row r="29" spans="1:15">
      <c r="B29" s="5" t="s">
        <v>36</v>
      </c>
      <c r="C29" s="18">
        <f>910/12</f>
        <v>75.833333333333329</v>
      </c>
      <c r="D29" s="18">
        <f t="shared" ref="D29:N29" si="13">910/12</f>
        <v>75.833333333333329</v>
      </c>
      <c r="E29" s="18">
        <f t="shared" si="13"/>
        <v>75.833333333333329</v>
      </c>
      <c r="F29" s="18">
        <f t="shared" si="13"/>
        <v>75.833333333333329</v>
      </c>
      <c r="G29" s="18">
        <f t="shared" si="13"/>
        <v>75.833333333333329</v>
      </c>
      <c r="H29" s="18">
        <f t="shared" si="13"/>
        <v>75.833333333333329</v>
      </c>
      <c r="I29" s="18">
        <f t="shared" si="13"/>
        <v>75.833333333333329</v>
      </c>
      <c r="J29" s="18">
        <f t="shared" si="13"/>
        <v>75.833333333333329</v>
      </c>
      <c r="K29" s="18">
        <f t="shared" si="13"/>
        <v>75.833333333333329</v>
      </c>
      <c r="L29" s="18">
        <f t="shared" si="13"/>
        <v>75.833333333333329</v>
      </c>
      <c r="M29" s="18">
        <f t="shared" si="13"/>
        <v>75.833333333333329</v>
      </c>
      <c r="N29" s="18">
        <f t="shared" si="13"/>
        <v>75.833333333333329</v>
      </c>
      <c r="O29" s="50">
        <f t="shared" si="11"/>
        <v>910.00000000000011</v>
      </c>
    </row>
    <row r="30" spans="1:15" hidden="1">
      <c r="B30" s="5" t="s">
        <v>37</v>
      </c>
      <c r="O30" s="50">
        <f t="shared" si="11"/>
        <v>0</v>
      </c>
    </row>
    <row r="31" spans="1:15" hidden="1">
      <c r="B31" s="5" t="s">
        <v>38</v>
      </c>
      <c r="O31" s="50">
        <f t="shared" si="11"/>
        <v>0</v>
      </c>
    </row>
    <row r="32" spans="1:15" hidden="1">
      <c r="B32" s="5" t="s">
        <v>39</v>
      </c>
      <c r="O32" s="50">
        <f t="shared" si="11"/>
        <v>0</v>
      </c>
    </row>
    <row r="33" spans="1:16">
      <c r="B33" s="5" t="s">
        <v>40</v>
      </c>
      <c r="C33" s="18">
        <f>129929/12</f>
        <v>10827.416666666666</v>
      </c>
      <c r="D33" s="18">
        <f t="shared" ref="D33:N33" si="14">129929/12</f>
        <v>10827.416666666666</v>
      </c>
      <c r="E33" s="18">
        <f t="shared" si="14"/>
        <v>10827.416666666666</v>
      </c>
      <c r="F33" s="18">
        <f t="shared" si="14"/>
        <v>10827.416666666666</v>
      </c>
      <c r="G33" s="18">
        <f t="shared" si="14"/>
        <v>10827.416666666666</v>
      </c>
      <c r="H33" s="18">
        <f t="shared" si="14"/>
        <v>10827.416666666666</v>
      </c>
      <c r="I33" s="18">
        <f t="shared" si="14"/>
        <v>10827.416666666666</v>
      </c>
      <c r="J33" s="18">
        <f t="shared" si="14"/>
        <v>10827.416666666666</v>
      </c>
      <c r="K33" s="18">
        <f t="shared" si="14"/>
        <v>10827.416666666666</v>
      </c>
      <c r="L33" s="18">
        <f t="shared" si="14"/>
        <v>10827.416666666666</v>
      </c>
      <c r="M33" s="18">
        <f t="shared" si="14"/>
        <v>10827.416666666666</v>
      </c>
      <c r="N33" s="18">
        <f t="shared" si="14"/>
        <v>10827.416666666666</v>
      </c>
      <c r="O33" s="50">
        <f t="shared" si="11"/>
        <v>129929.00000000001</v>
      </c>
    </row>
    <row r="34" spans="1:16">
      <c r="A34" t="s">
        <v>20</v>
      </c>
      <c r="B34" s="9" t="s">
        <v>48</v>
      </c>
      <c r="C34" s="19">
        <f t="shared" ref="C34:O34" si="15">SUM(C27:C33)</f>
        <v>11882.75</v>
      </c>
      <c r="D34" s="19">
        <f t="shared" si="15"/>
        <v>11882.75</v>
      </c>
      <c r="E34" s="19">
        <f t="shared" si="15"/>
        <v>11882.75</v>
      </c>
      <c r="F34" s="19">
        <f t="shared" si="15"/>
        <v>11882.75</v>
      </c>
      <c r="G34" s="19">
        <f t="shared" si="15"/>
        <v>11882.75</v>
      </c>
      <c r="H34" s="19">
        <f t="shared" si="15"/>
        <v>11882.75</v>
      </c>
      <c r="I34" s="19">
        <f t="shared" si="15"/>
        <v>11882.75</v>
      </c>
      <c r="J34" s="19">
        <f t="shared" si="15"/>
        <v>11882.75</v>
      </c>
      <c r="K34" s="19">
        <f t="shared" si="15"/>
        <v>11882.75</v>
      </c>
      <c r="L34" s="19">
        <f t="shared" si="15"/>
        <v>11882.75</v>
      </c>
      <c r="M34" s="19">
        <f t="shared" si="15"/>
        <v>11882.75</v>
      </c>
      <c r="N34" s="19">
        <f t="shared" si="15"/>
        <v>11882.75</v>
      </c>
      <c r="O34" s="51">
        <f t="shared" si="15"/>
        <v>142593</v>
      </c>
    </row>
    <row r="35" spans="1:16">
      <c r="B35" s="9"/>
      <c r="O35" s="52"/>
    </row>
    <row r="36" spans="1:16" ht="15.75" thickBot="1">
      <c r="A36" t="s">
        <v>96</v>
      </c>
      <c r="B36" s="9" t="s">
        <v>87</v>
      </c>
      <c r="C36" s="21">
        <f>C34+C24+C14</f>
        <v>173135.41666666669</v>
      </c>
      <c r="D36" s="21">
        <f t="shared" ref="D36:O36" si="16">D34+D24+D14</f>
        <v>173135.41666666669</v>
      </c>
      <c r="E36" s="21">
        <f t="shared" si="16"/>
        <v>173135.41666666669</v>
      </c>
      <c r="F36" s="21">
        <f t="shared" si="16"/>
        <v>173135.41666666669</v>
      </c>
      <c r="G36" s="21">
        <f t="shared" si="16"/>
        <v>173135.41666666669</v>
      </c>
      <c r="H36" s="21">
        <f t="shared" si="16"/>
        <v>173135.41666666669</v>
      </c>
      <c r="I36" s="21">
        <f t="shared" si="16"/>
        <v>173135.41666666669</v>
      </c>
      <c r="J36" s="21">
        <f t="shared" si="16"/>
        <v>173135.41666666669</v>
      </c>
      <c r="K36" s="21">
        <f t="shared" si="16"/>
        <v>173135.41666666669</v>
      </c>
      <c r="L36" s="21">
        <f t="shared" si="16"/>
        <v>173135.41666666669</v>
      </c>
      <c r="M36" s="21">
        <f t="shared" si="16"/>
        <v>173135.41666666669</v>
      </c>
      <c r="N36" s="21">
        <f t="shared" si="16"/>
        <v>173135.41666666669</v>
      </c>
      <c r="O36" s="53">
        <f t="shared" si="16"/>
        <v>2077625</v>
      </c>
    </row>
    <row r="37" spans="1:16" ht="15.75" thickTop="1">
      <c r="B37" s="9"/>
      <c r="O37" s="52"/>
    </row>
    <row r="38" spans="1:16">
      <c r="B38" s="10" t="s">
        <v>88</v>
      </c>
      <c r="O38" s="52"/>
    </row>
    <row r="39" spans="1:16">
      <c r="B39" s="6" t="s">
        <v>34</v>
      </c>
      <c r="C39" s="18">
        <v>29814</v>
      </c>
      <c r="D39" s="18">
        <v>13672</v>
      </c>
      <c r="E39" s="18">
        <v>15793</v>
      </c>
      <c r="F39" s="18">
        <v>5836</v>
      </c>
      <c r="G39" s="18">
        <v>5687</v>
      </c>
      <c r="H39" s="18">
        <v>35466</v>
      </c>
      <c r="I39" s="18">
        <v>83822</v>
      </c>
      <c r="J39" s="18">
        <v>5298</v>
      </c>
      <c r="K39" s="18">
        <v>21105</v>
      </c>
      <c r="L39" s="18"/>
      <c r="M39" s="18"/>
      <c r="N39" s="18"/>
      <c r="O39" s="54"/>
      <c r="P39" s="16">
        <f t="shared" ref="P39:P45" si="17">SUM(D39:O39)</f>
        <v>186679</v>
      </c>
    </row>
    <row r="40" spans="1:16">
      <c r="B40" s="6" t="s">
        <v>35</v>
      </c>
      <c r="C40" s="18">
        <v>87336.59</v>
      </c>
      <c r="D40" s="18">
        <v>124672.27</v>
      </c>
      <c r="E40" s="18">
        <v>69787.14</v>
      </c>
      <c r="F40" s="18">
        <v>75359</v>
      </c>
      <c r="G40" s="18">
        <v>59961</v>
      </c>
      <c r="H40" s="18">
        <v>79975</v>
      </c>
      <c r="I40" s="18">
        <v>88952</v>
      </c>
      <c r="J40" s="18">
        <v>46033</v>
      </c>
      <c r="K40" s="18">
        <v>41904</v>
      </c>
      <c r="L40" s="18"/>
      <c r="M40" s="18"/>
      <c r="N40" s="18"/>
      <c r="O40" s="54"/>
      <c r="P40" s="16">
        <f t="shared" si="17"/>
        <v>586643.41</v>
      </c>
    </row>
    <row r="41" spans="1:16">
      <c r="B41" s="6" t="s">
        <v>36</v>
      </c>
      <c r="C41" s="18"/>
      <c r="D41" s="18"/>
      <c r="E41" s="18"/>
      <c r="F41" s="18"/>
      <c r="G41" s="18">
        <v>39399</v>
      </c>
      <c r="H41" s="18"/>
      <c r="I41" s="18">
        <v>51442</v>
      </c>
      <c r="J41" s="18">
        <v>39453</v>
      </c>
      <c r="K41" s="18">
        <v>21315</v>
      </c>
      <c r="L41" s="18"/>
      <c r="M41" s="18"/>
      <c r="N41" s="18"/>
      <c r="O41" s="54"/>
      <c r="P41" s="16">
        <f t="shared" si="17"/>
        <v>151609</v>
      </c>
    </row>
    <row r="42" spans="1:16" hidden="1">
      <c r="B42" s="6" t="s">
        <v>37</v>
      </c>
      <c r="C42" s="18"/>
      <c r="D42" s="18"/>
      <c r="E42" s="18"/>
      <c r="F42" s="18"/>
      <c r="G42" s="18"/>
      <c r="H42" s="18"/>
      <c r="I42" s="18"/>
      <c r="J42" s="18"/>
      <c r="K42" s="18"/>
      <c r="L42" s="18"/>
      <c r="M42" s="18"/>
      <c r="N42" s="18"/>
      <c r="O42" s="54"/>
      <c r="P42" s="16">
        <f t="shared" si="17"/>
        <v>0</v>
      </c>
    </row>
    <row r="43" spans="1:16" hidden="1">
      <c r="B43" s="6" t="s">
        <v>38</v>
      </c>
      <c r="C43" s="18"/>
      <c r="D43" s="18"/>
      <c r="E43" s="18"/>
      <c r="F43" s="18"/>
      <c r="G43" s="18"/>
      <c r="H43" s="18"/>
      <c r="I43" s="18"/>
      <c r="J43" s="18"/>
      <c r="K43" s="18"/>
      <c r="L43" s="18"/>
      <c r="M43" s="18"/>
      <c r="N43" s="18"/>
      <c r="O43" s="54"/>
      <c r="P43" s="16">
        <f t="shared" si="17"/>
        <v>0</v>
      </c>
    </row>
    <row r="44" spans="1:16" hidden="1">
      <c r="B44" s="6" t="s">
        <v>39</v>
      </c>
      <c r="C44" s="18"/>
      <c r="D44" s="18"/>
      <c r="E44" s="18"/>
      <c r="F44" s="18"/>
      <c r="G44" s="18"/>
      <c r="H44" s="18"/>
      <c r="I44" s="18"/>
      <c r="J44" s="18"/>
      <c r="K44" s="18"/>
      <c r="L44" s="18"/>
      <c r="M44" s="18"/>
      <c r="N44" s="18"/>
      <c r="O44" s="54"/>
      <c r="P44" s="16">
        <f t="shared" si="17"/>
        <v>0</v>
      </c>
    </row>
    <row r="45" spans="1:16" hidden="1">
      <c r="B45" s="6" t="s">
        <v>40</v>
      </c>
      <c r="C45" s="18"/>
      <c r="D45" s="18"/>
      <c r="E45" s="18"/>
      <c r="F45" s="18"/>
      <c r="G45" s="18"/>
      <c r="H45" s="18"/>
      <c r="I45" s="18"/>
      <c r="J45" s="18"/>
      <c r="K45" s="18"/>
      <c r="L45" s="18"/>
      <c r="M45" s="18"/>
      <c r="N45" s="18"/>
      <c r="O45" s="54"/>
      <c r="P45" s="16">
        <f t="shared" si="17"/>
        <v>0</v>
      </c>
    </row>
    <row r="46" spans="1:16">
      <c r="A46" t="s">
        <v>24</v>
      </c>
      <c r="B46" s="10" t="s">
        <v>42</v>
      </c>
      <c r="C46" s="19">
        <f>SUM(C39:C45)</f>
        <v>117150.59</v>
      </c>
      <c r="D46" s="19">
        <f t="shared" ref="D46:O46" si="18">SUM(D39:D45)</f>
        <v>138344.27000000002</v>
      </c>
      <c r="E46" s="19">
        <f t="shared" si="18"/>
        <v>85580.14</v>
      </c>
      <c r="F46" s="19">
        <f t="shared" si="18"/>
        <v>81195</v>
      </c>
      <c r="G46" s="19">
        <f t="shared" si="18"/>
        <v>105047</v>
      </c>
      <c r="H46" s="19">
        <f t="shared" si="18"/>
        <v>115441</v>
      </c>
      <c r="I46" s="19">
        <f t="shared" si="18"/>
        <v>224216</v>
      </c>
      <c r="J46" s="19">
        <f t="shared" si="18"/>
        <v>90784</v>
      </c>
      <c r="K46" s="19">
        <f>SUM(K39:K45)</f>
        <v>84324</v>
      </c>
      <c r="L46" s="19">
        <f t="shared" si="18"/>
        <v>0</v>
      </c>
      <c r="M46" s="19">
        <f t="shared" si="18"/>
        <v>0</v>
      </c>
      <c r="N46" s="19">
        <f t="shared" si="18"/>
        <v>0</v>
      </c>
      <c r="O46" s="51">
        <f t="shared" si="18"/>
        <v>0</v>
      </c>
      <c r="P46" s="19">
        <f>SUM(P39:P45)</f>
        <v>924931.41</v>
      </c>
    </row>
    <row r="47" spans="1:16">
      <c r="B47" s="10"/>
      <c r="C47" s="18"/>
      <c r="D47" s="18"/>
      <c r="E47" s="18"/>
      <c r="F47" s="18"/>
      <c r="G47" s="18"/>
      <c r="H47" s="18"/>
      <c r="I47" s="18"/>
      <c r="J47" s="18"/>
      <c r="K47" s="18"/>
      <c r="L47" s="18"/>
      <c r="M47" s="18"/>
      <c r="N47" s="18"/>
      <c r="O47" s="54"/>
      <c r="P47" s="18"/>
    </row>
    <row r="48" spans="1:16">
      <c r="B48" s="10" t="s">
        <v>89</v>
      </c>
      <c r="C48" s="18"/>
      <c r="D48" s="18"/>
      <c r="E48" s="18"/>
      <c r="F48" s="18"/>
      <c r="G48" s="18"/>
      <c r="H48" s="18"/>
      <c r="I48" s="18"/>
      <c r="J48" s="18"/>
      <c r="K48" s="18"/>
      <c r="L48" s="18"/>
      <c r="M48" s="18"/>
      <c r="N48" s="18"/>
      <c r="O48" s="54"/>
      <c r="P48" s="18"/>
    </row>
    <row r="49" spans="1:16">
      <c r="B49" s="6" t="s">
        <v>34</v>
      </c>
      <c r="C49" s="18">
        <v>1899.64</v>
      </c>
      <c r="D49" s="18">
        <v>2137.91</v>
      </c>
      <c r="E49" s="18">
        <v>2315.1</v>
      </c>
      <c r="F49" s="18">
        <v>2905</v>
      </c>
      <c r="G49" s="18">
        <v>1628</v>
      </c>
      <c r="H49" s="18">
        <v>2266</v>
      </c>
      <c r="I49" s="18">
        <v>2615</v>
      </c>
      <c r="J49" s="18">
        <v>2027</v>
      </c>
      <c r="K49" s="18">
        <v>4109</v>
      </c>
      <c r="L49" s="18"/>
      <c r="M49" s="18"/>
      <c r="N49" s="18"/>
      <c r="O49" s="54"/>
      <c r="P49" s="16">
        <f t="shared" ref="P49:P55" si="19">SUM(D49:O49)</f>
        <v>20003.010000000002</v>
      </c>
    </row>
    <row r="50" spans="1:16">
      <c r="B50" s="6" t="s">
        <v>35</v>
      </c>
      <c r="C50" s="18">
        <v>7351.74</v>
      </c>
      <c r="D50" s="18">
        <v>8531.83</v>
      </c>
      <c r="E50" s="18">
        <v>5112.6099999999997</v>
      </c>
      <c r="F50" s="18">
        <v>3353</v>
      </c>
      <c r="G50" s="18">
        <v>2349</v>
      </c>
      <c r="H50" s="18">
        <v>1574</v>
      </c>
      <c r="I50" s="18">
        <v>6333</v>
      </c>
      <c r="J50" s="18">
        <v>2266</v>
      </c>
      <c r="K50" s="18">
        <v>10242</v>
      </c>
      <c r="L50" s="18"/>
      <c r="M50" s="18"/>
      <c r="N50" s="18"/>
      <c r="O50" s="54"/>
      <c r="P50" s="16">
        <f t="shared" si="19"/>
        <v>39761.440000000002</v>
      </c>
    </row>
    <row r="51" spans="1:16">
      <c r="B51" s="6" t="s">
        <v>36</v>
      </c>
      <c r="C51" s="18">
        <v>2496.35</v>
      </c>
      <c r="D51" s="18">
        <v>853.8</v>
      </c>
      <c r="E51" s="18">
        <v>978.04</v>
      </c>
      <c r="F51" s="18">
        <v>770</v>
      </c>
      <c r="G51" s="18">
        <v>4691</v>
      </c>
      <c r="H51" s="18">
        <v>832</v>
      </c>
      <c r="I51" s="18">
        <v>5867</v>
      </c>
      <c r="J51" s="18">
        <v>1013</v>
      </c>
      <c r="K51" s="18">
        <v>6330</v>
      </c>
      <c r="L51" s="18"/>
      <c r="M51" s="18"/>
      <c r="N51" s="18"/>
      <c r="O51" s="54"/>
      <c r="P51" s="16">
        <f t="shared" si="19"/>
        <v>21334.84</v>
      </c>
    </row>
    <row r="52" spans="1:16" hidden="1">
      <c r="B52" s="6" t="s">
        <v>37</v>
      </c>
      <c r="C52" s="18"/>
      <c r="D52" s="18"/>
      <c r="E52" s="18"/>
      <c r="F52" s="18"/>
      <c r="G52" s="18"/>
      <c r="H52" s="18"/>
      <c r="I52" s="18"/>
      <c r="J52" s="18"/>
      <c r="K52" s="18"/>
      <c r="L52" s="18"/>
      <c r="M52" s="18"/>
      <c r="N52" s="18"/>
      <c r="O52" s="54"/>
      <c r="P52" s="16">
        <f t="shared" si="19"/>
        <v>0</v>
      </c>
    </row>
    <row r="53" spans="1:16" hidden="1">
      <c r="B53" s="6" t="s">
        <v>38</v>
      </c>
      <c r="C53" s="18"/>
      <c r="D53" s="18"/>
      <c r="E53" s="18"/>
      <c r="F53" s="18"/>
      <c r="G53" s="18"/>
      <c r="H53" s="18"/>
      <c r="I53" s="18"/>
      <c r="J53" s="18"/>
      <c r="K53" s="18"/>
      <c r="L53" s="18"/>
      <c r="M53" s="18"/>
      <c r="N53" s="18"/>
      <c r="O53" s="54"/>
      <c r="P53" s="16">
        <f t="shared" si="19"/>
        <v>0</v>
      </c>
    </row>
    <row r="54" spans="1:16">
      <c r="B54" s="6" t="s">
        <v>39</v>
      </c>
      <c r="C54" s="18"/>
      <c r="D54" s="18"/>
      <c r="E54" s="18"/>
      <c r="F54" s="18"/>
      <c r="G54" s="18"/>
      <c r="H54" s="18"/>
      <c r="I54" s="18"/>
      <c r="J54" s="18"/>
      <c r="K54" s="18"/>
      <c r="L54" s="18"/>
      <c r="M54" s="18"/>
      <c r="N54" s="18"/>
      <c r="O54" s="54"/>
      <c r="P54" s="16">
        <f t="shared" si="19"/>
        <v>0</v>
      </c>
    </row>
    <row r="55" spans="1:16">
      <c r="B55" s="6" t="s">
        <v>40</v>
      </c>
      <c r="C55" s="18">
        <v>23178.37</v>
      </c>
      <c r="D55" s="18">
        <v>24559.19</v>
      </c>
      <c r="E55" s="18">
        <v>31880.42</v>
      </c>
      <c r="F55" s="18">
        <v>26820</v>
      </c>
      <c r="G55" s="18">
        <v>28332</v>
      </c>
      <c r="H55" s="18">
        <v>29287</v>
      </c>
      <c r="I55" s="18">
        <v>34994</v>
      </c>
      <c r="J55" s="18">
        <v>27426</v>
      </c>
      <c r="K55" s="18">
        <v>25454</v>
      </c>
      <c r="L55" s="18"/>
      <c r="M55" s="18"/>
      <c r="N55" s="18"/>
      <c r="O55" s="54"/>
      <c r="P55" s="16">
        <f t="shared" si="19"/>
        <v>228752.61</v>
      </c>
    </row>
    <row r="56" spans="1:16">
      <c r="A56" t="s">
        <v>97</v>
      </c>
      <c r="B56" s="10" t="s">
        <v>90</v>
      </c>
      <c r="C56" s="19">
        <f t="shared" ref="C56:O56" si="20">SUM(C49:C55)</f>
        <v>34926.1</v>
      </c>
      <c r="D56" s="19">
        <f t="shared" si="20"/>
        <v>36082.729999999996</v>
      </c>
      <c r="E56" s="19">
        <f t="shared" si="20"/>
        <v>40286.17</v>
      </c>
      <c r="F56" s="19">
        <f t="shared" si="20"/>
        <v>33848</v>
      </c>
      <c r="G56" s="19">
        <f t="shared" si="20"/>
        <v>37000</v>
      </c>
      <c r="H56" s="19">
        <f t="shared" si="20"/>
        <v>33959</v>
      </c>
      <c r="I56" s="19">
        <f t="shared" si="20"/>
        <v>49809</v>
      </c>
      <c r="J56" s="19">
        <f t="shared" si="20"/>
        <v>32732</v>
      </c>
      <c r="K56" s="19">
        <f t="shared" si="20"/>
        <v>46135</v>
      </c>
      <c r="L56" s="19">
        <f t="shared" si="20"/>
        <v>0</v>
      </c>
      <c r="M56" s="19">
        <f t="shared" si="20"/>
        <v>0</v>
      </c>
      <c r="N56" s="19">
        <f t="shared" si="20"/>
        <v>0</v>
      </c>
      <c r="O56" s="51">
        <f t="shared" si="20"/>
        <v>0</v>
      </c>
      <c r="P56" s="19">
        <f>SUM(P49:P55)</f>
        <v>309851.90000000002</v>
      </c>
    </row>
    <row r="57" spans="1:16">
      <c r="B57" s="10"/>
      <c r="C57" s="18"/>
      <c r="D57" s="18"/>
      <c r="E57" s="18"/>
      <c r="F57" s="18"/>
      <c r="G57" s="18"/>
      <c r="H57" s="18"/>
      <c r="I57" s="18"/>
      <c r="J57" s="18"/>
      <c r="K57" s="18"/>
      <c r="L57" s="18"/>
      <c r="M57" s="18"/>
      <c r="N57" s="18"/>
      <c r="O57" s="54"/>
      <c r="P57" s="18"/>
    </row>
    <row r="58" spans="1:16">
      <c r="B58" s="10" t="s">
        <v>91</v>
      </c>
      <c r="C58" s="18"/>
      <c r="D58" s="18"/>
      <c r="E58" s="18"/>
      <c r="F58" s="18"/>
      <c r="G58" s="18"/>
      <c r="H58" s="18"/>
      <c r="I58" s="18"/>
      <c r="J58" s="18"/>
      <c r="L58" s="18"/>
      <c r="M58" s="18"/>
      <c r="N58" s="18"/>
      <c r="O58" s="54"/>
      <c r="P58" s="18"/>
    </row>
    <row r="59" spans="1:16">
      <c r="B59" s="6" t="s">
        <v>34</v>
      </c>
      <c r="C59" s="18">
        <v>4798.97</v>
      </c>
      <c r="D59" s="18">
        <v>5611.58</v>
      </c>
      <c r="E59" s="18">
        <v>3745.99</v>
      </c>
      <c r="F59" s="18">
        <v>1756</v>
      </c>
      <c r="G59" s="18">
        <v>2540</v>
      </c>
      <c r="H59" s="18">
        <v>2393</v>
      </c>
      <c r="I59" s="18">
        <v>1765</v>
      </c>
      <c r="J59" s="18">
        <v>1448</v>
      </c>
      <c r="K59" s="13">
        <v>2578</v>
      </c>
      <c r="L59" s="18"/>
      <c r="M59" s="18"/>
      <c r="N59" s="18"/>
      <c r="O59" s="54"/>
      <c r="P59" s="16">
        <f t="shared" ref="P59:P65" si="21">SUM(D59:O59)</f>
        <v>21837.57</v>
      </c>
    </row>
    <row r="60" spans="1:16">
      <c r="B60" s="6" t="s">
        <v>35</v>
      </c>
      <c r="C60" s="18"/>
      <c r="D60" s="18"/>
      <c r="E60" s="18"/>
      <c r="F60" s="18"/>
      <c r="G60" s="18"/>
      <c r="H60" s="18"/>
      <c r="I60" s="18"/>
      <c r="J60" s="18"/>
      <c r="L60" s="18"/>
      <c r="M60" s="18"/>
      <c r="N60" s="18"/>
      <c r="O60" s="54"/>
      <c r="P60" s="16">
        <f t="shared" si="21"/>
        <v>0</v>
      </c>
    </row>
    <row r="61" spans="1:16">
      <c r="B61" s="6" t="s">
        <v>36</v>
      </c>
      <c r="D61" s="18"/>
      <c r="E61" s="18"/>
      <c r="F61" s="18"/>
      <c r="G61" s="18"/>
      <c r="H61" s="18"/>
      <c r="I61" s="18"/>
      <c r="J61" s="18"/>
      <c r="L61" s="18"/>
      <c r="M61" s="18"/>
      <c r="N61" s="18"/>
      <c r="O61" s="54"/>
      <c r="P61" s="16">
        <f t="shared" si="21"/>
        <v>0</v>
      </c>
    </row>
    <row r="62" spans="1:16" hidden="1">
      <c r="B62" s="6" t="s">
        <v>37</v>
      </c>
      <c r="D62" s="18"/>
      <c r="E62" s="18"/>
      <c r="F62" s="18"/>
      <c r="G62" s="18"/>
      <c r="H62" s="18"/>
      <c r="I62" s="18"/>
      <c r="J62" s="18"/>
      <c r="K62" s="18"/>
      <c r="L62" s="18"/>
      <c r="M62" s="18"/>
      <c r="N62" s="18"/>
      <c r="O62" s="54"/>
      <c r="P62" s="16">
        <f t="shared" si="21"/>
        <v>0</v>
      </c>
    </row>
    <row r="63" spans="1:16" hidden="1">
      <c r="B63" s="6" t="s">
        <v>38</v>
      </c>
      <c r="D63" s="18"/>
      <c r="E63" s="18"/>
      <c r="F63" s="18"/>
      <c r="G63" s="18"/>
      <c r="H63" s="18"/>
      <c r="I63" s="18"/>
      <c r="J63" s="18"/>
      <c r="K63" s="18"/>
      <c r="L63" s="18"/>
      <c r="M63" s="18"/>
      <c r="N63" s="18"/>
      <c r="O63" s="54"/>
      <c r="P63" s="16">
        <f t="shared" si="21"/>
        <v>0</v>
      </c>
    </row>
    <row r="64" spans="1:16">
      <c r="B64" s="6" t="s">
        <v>39</v>
      </c>
      <c r="D64" s="18"/>
      <c r="E64" s="18"/>
      <c r="F64" s="18"/>
      <c r="G64" s="18"/>
      <c r="H64" s="18"/>
      <c r="I64" s="18"/>
      <c r="J64" s="18"/>
      <c r="K64" s="18"/>
      <c r="L64" s="18"/>
      <c r="M64" s="18"/>
      <c r="N64" s="18"/>
      <c r="O64" s="54"/>
      <c r="P64" s="16">
        <f t="shared" si="21"/>
        <v>0</v>
      </c>
    </row>
    <row r="65" spans="1:16">
      <c r="B65" s="6" t="s">
        <v>40</v>
      </c>
      <c r="D65" s="18"/>
      <c r="E65" s="18"/>
      <c r="F65" s="18"/>
      <c r="G65" s="18">
        <v>460</v>
      </c>
      <c r="H65" s="18">
        <v>632</v>
      </c>
      <c r="I65" s="18">
        <v>-158</v>
      </c>
      <c r="J65" s="18"/>
      <c r="K65" s="18"/>
      <c r="L65" s="18"/>
      <c r="M65" s="18"/>
      <c r="N65" s="18"/>
      <c r="O65" s="54"/>
      <c r="P65" s="16">
        <f t="shared" si="21"/>
        <v>934</v>
      </c>
    </row>
    <row r="66" spans="1:16">
      <c r="A66" t="s">
        <v>98</v>
      </c>
      <c r="B66" s="10" t="s">
        <v>43</v>
      </c>
      <c r="C66" s="19">
        <f t="shared" ref="C66:P66" si="22">SUM(C59:C65)</f>
        <v>4798.97</v>
      </c>
      <c r="D66" s="19">
        <f t="shared" si="22"/>
        <v>5611.58</v>
      </c>
      <c r="E66" s="19">
        <f t="shared" si="22"/>
        <v>3745.99</v>
      </c>
      <c r="F66" s="19">
        <f t="shared" si="22"/>
        <v>1756</v>
      </c>
      <c r="G66" s="19">
        <f t="shared" si="22"/>
        <v>3000</v>
      </c>
      <c r="H66" s="19">
        <f t="shared" si="22"/>
        <v>3025</v>
      </c>
      <c r="I66" s="19">
        <f t="shared" si="22"/>
        <v>1607</v>
      </c>
      <c r="J66" s="19">
        <f t="shared" si="22"/>
        <v>1448</v>
      </c>
      <c r="K66" s="19">
        <f>SUM(K59:K65)</f>
        <v>2578</v>
      </c>
      <c r="L66" s="19">
        <f t="shared" si="22"/>
        <v>0</v>
      </c>
      <c r="M66" s="19">
        <f t="shared" si="22"/>
        <v>0</v>
      </c>
      <c r="N66" s="19">
        <f t="shared" si="22"/>
        <v>0</v>
      </c>
      <c r="O66" s="51">
        <f t="shared" si="22"/>
        <v>0</v>
      </c>
      <c r="P66" s="19">
        <f t="shared" si="22"/>
        <v>22771.57</v>
      </c>
    </row>
    <row r="67" spans="1:16">
      <c r="B67" s="10"/>
      <c r="C67" s="18"/>
      <c r="D67" s="18"/>
      <c r="E67" s="18"/>
      <c r="F67" s="18"/>
      <c r="G67" s="18"/>
      <c r="H67" s="18"/>
      <c r="I67" s="18"/>
      <c r="J67" s="18"/>
      <c r="K67" s="18"/>
      <c r="L67" s="18"/>
      <c r="M67" s="18"/>
      <c r="N67" s="18"/>
      <c r="O67" s="54"/>
      <c r="P67" s="18"/>
    </row>
    <row r="68" spans="1:16" ht="15.75" thickBot="1">
      <c r="A68" t="s">
        <v>99</v>
      </c>
      <c r="B68" s="10" t="s">
        <v>92</v>
      </c>
      <c r="C68" s="21">
        <f>C66+C56+C46</f>
        <v>156875.66</v>
      </c>
      <c r="D68" s="21">
        <f>D66+D56+D46</f>
        <v>180038.58000000002</v>
      </c>
      <c r="E68" s="21">
        <f t="shared" ref="E68:P68" si="23">E66+E56+E46</f>
        <v>129612.29999999999</v>
      </c>
      <c r="F68" s="21">
        <f t="shared" si="23"/>
        <v>116799</v>
      </c>
      <c r="G68" s="21">
        <f t="shared" si="23"/>
        <v>145047</v>
      </c>
      <c r="H68" s="21">
        <f t="shared" si="23"/>
        <v>152425</v>
      </c>
      <c r="I68" s="21">
        <f t="shared" si="23"/>
        <v>275632</v>
      </c>
      <c r="J68" s="21">
        <f t="shared" si="23"/>
        <v>124964</v>
      </c>
      <c r="K68" s="21">
        <f t="shared" si="23"/>
        <v>133037</v>
      </c>
      <c r="L68" s="21">
        <f t="shared" si="23"/>
        <v>0</v>
      </c>
      <c r="M68" s="21">
        <f t="shared" si="23"/>
        <v>0</v>
      </c>
      <c r="N68" s="21">
        <f t="shared" si="23"/>
        <v>0</v>
      </c>
      <c r="O68" s="53">
        <f t="shared" si="23"/>
        <v>0</v>
      </c>
      <c r="P68" s="21">
        <f t="shared" si="23"/>
        <v>1257554.8800000001</v>
      </c>
    </row>
    <row r="69" spans="1:16" ht="15.75" thickTop="1">
      <c r="B69" s="9"/>
      <c r="O69" s="52"/>
    </row>
    <row r="70" spans="1:16">
      <c r="B70" s="11" t="s">
        <v>44</v>
      </c>
      <c r="O70" s="52"/>
    </row>
    <row r="71" spans="1:16">
      <c r="B71" s="11" t="s">
        <v>93</v>
      </c>
      <c r="O71" s="52"/>
    </row>
    <row r="72" spans="1:16">
      <c r="B72" s="12" t="s">
        <v>34</v>
      </c>
      <c r="C72" s="20">
        <f>C7-C39</f>
        <v>29796.583333333336</v>
      </c>
      <c r="D72" s="20">
        <f t="shared" ref="D72:E72" si="24">D7-D39</f>
        <v>45938.583333333336</v>
      </c>
      <c r="E72" s="20">
        <f t="shared" si="24"/>
        <v>43817.583333333336</v>
      </c>
      <c r="F72" s="20">
        <f t="shared" ref="F72:G72" si="25">F7-F39</f>
        <v>53774.583333333336</v>
      </c>
      <c r="G72" s="20">
        <f t="shared" si="25"/>
        <v>53923.583333333336</v>
      </c>
      <c r="H72" s="20">
        <f t="shared" ref="H72:I72" si="26">H7-H39</f>
        <v>24144.583333333336</v>
      </c>
      <c r="I72" s="20">
        <f t="shared" si="26"/>
        <v>-24211.416666666664</v>
      </c>
      <c r="J72" s="20">
        <f t="shared" ref="J72:N72" si="27">J7-J39</f>
        <v>54312.583333333336</v>
      </c>
      <c r="K72" s="20">
        <f t="shared" ref="K72" si="28">K7-K39</f>
        <v>38505.583333333336</v>
      </c>
      <c r="L72" s="20">
        <f t="shared" si="27"/>
        <v>59610.583333333336</v>
      </c>
      <c r="M72" s="20">
        <f t="shared" si="27"/>
        <v>59610.583333333336</v>
      </c>
      <c r="N72" s="20">
        <f t="shared" si="27"/>
        <v>59610.583333333336</v>
      </c>
      <c r="O72" s="50">
        <f t="shared" ref="O72:O78" si="29">SUM(C72:N72)</f>
        <v>498833.99999999994</v>
      </c>
    </row>
    <row r="73" spans="1:16">
      <c r="B73" s="12" t="s">
        <v>35</v>
      </c>
      <c r="C73" s="20">
        <f t="shared" ref="C73:E79" si="30">C8-C40</f>
        <v>-22227.589999999997</v>
      </c>
      <c r="D73" s="20">
        <f t="shared" si="30"/>
        <v>-59563.270000000004</v>
      </c>
      <c r="E73" s="20">
        <f t="shared" si="30"/>
        <v>-4678.1399999999994</v>
      </c>
      <c r="F73" s="20">
        <f t="shared" ref="F73:G73" si="31">F8-F40</f>
        <v>-10250</v>
      </c>
      <c r="G73" s="20">
        <f t="shared" si="31"/>
        <v>5148</v>
      </c>
      <c r="H73" s="20">
        <f t="shared" ref="H73:I73" si="32">H8-H40</f>
        <v>-14866</v>
      </c>
      <c r="I73" s="20">
        <f t="shared" si="32"/>
        <v>-23843</v>
      </c>
      <c r="J73" s="20">
        <f t="shared" ref="J73:N73" si="33">J8-J40</f>
        <v>19076</v>
      </c>
      <c r="K73" s="20">
        <f t="shared" ref="K73" si="34">K8-K40</f>
        <v>23205</v>
      </c>
      <c r="L73" s="20">
        <f t="shared" si="33"/>
        <v>65109</v>
      </c>
      <c r="M73" s="20">
        <f t="shared" si="33"/>
        <v>65109</v>
      </c>
      <c r="N73" s="20">
        <f t="shared" si="33"/>
        <v>65109</v>
      </c>
      <c r="O73" s="50">
        <f t="shared" si="29"/>
        <v>107328</v>
      </c>
    </row>
    <row r="74" spans="1:16">
      <c r="B74" s="12" t="s">
        <v>36</v>
      </c>
      <c r="C74" s="20">
        <f t="shared" si="30"/>
        <v>21904.583333333332</v>
      </c>
      <c r="D74" s="20">
        <f t="shared" si="30"/>
        <v>21904.583333333332</v>
      </c>
      <c r="E74" s="20">
        <f t="shared" si="30"/>
        <v>21904.583333333332</v>
      </c>
      <c r="F74" s="20">
        <f t="shared" ref="F74:G74" si="35">F9-F41</f>
        <v>21904.583333333332</v>
      </c>
      <c r="G74" s="20">
        <f t="shared" si="35"/>
        <v>-17494.416666666668</v>
      </c>
      <c r="H74" s="20">
        <f t="shared" ref="H74:I74" si="36">H9-H41</f>
        <v>21904.583333333332</v>
      </c>
      <c r="I74" s="20">
        <f t="shared" si="36"/>
        <v>-29537.416666666668</v>
      </c>
      <c r="J74" s="20">
        <f t="shared" ref="J74:N74" si="37">J9-J41</f>
        <v>-17548.416666666668</v>
      </c>
      <c r="K74" s="20">
        <f t="shared" ref="K74" si="38">K9-K41</f>
        <v>589.58333333333212</v>
      </c>
      <c r="L74" s="20">
        <f t="shared" si="37"/>
        <v>21904.583333333332</v>
      </c>
      <c r="M74" s="20">
        <f t="shared" si="37"/>
        <v>21904.583333333332</v>
      </c>
      <c r="N74" s="20">
        <f t="shared" si="37"/>
        <v>21904.583333333332</v>
      </c>
      <c r="O74" s="50">
        <f t="shared" si="29"/>
        <v>111245.99999999996</v>
      </c>
    </row>
    <row r="75" spans="1:16" hidden="1">
      <c r="B75" s="12" t="s">
        <v>37</v>
      </c>
      <c r="C75" s="20">
        <f t="shared" si="30"/>
        <v>0</v>
      </c>
      <c r="D75" s="20">
        <f t="shared" si="30"/>
        <v>0</v>
      </c>
      <c r="E75" s="20">
        <f t="shared" si="30"/>
        <v>0</v>
      </c>
      <c r="F75" s="20">
        <f t="shared" ref="F75:G75" si="39">F10-F42</f>
        <v>0</v>
      </c>
      <c r="G75" s="20">
        <f t="shared" si="39"/>
        <v>0</v>
      </c>
      <c r="H75" s="20">
        <f t="shared" ref="H75:I75" si="40">H10-H42</f>
        <v>0</v>
      </c>
      <c r="I75" s="20">
        <f t="shared" si="40"/>
        <v>0</v>
      </c>
      <c r="J75" s="20">
        <f t="shared" ref="J75:N75" si="41">J10-J42</f>
        <v>0</v>
      </c>
      <c r="K75" s="20">
        <f t="shared" si="41"/>
        <v>0</v>
      </c>
      <c r="L75" s="20">
        <f t="shared" si="41"/>
        <v>0</v>
      </c>
      <c r="M75" s="20">
        <f t="shared" si="41"/>
        <v>0</v>
      </c>
      <c r="N75" s="20">
        <f t="shared" si="41"/>
        <v>0</v>
      </c>
      <c r="O75" s="50">
        <f t="shared" si="29"/>
        <v>0</v>
      </c>
    </row>
    <row r="76" spans="1:16" hidden="1">
      <c r="B76" s="12" t="s">
        <v>38</v>
      </c>
      <c r="C76" s="20">
        <f t="shared" si="30"/>
        <v>0</v>
      </c>
      <c r="D76" s="20">
        <f t="shared" si="30"/>
        <v>0</v>
      </c>
      <c r="E76" s="20">
        <f t="shared" si="30"/>
        <v>0</v>
      </c>
      <c r="F76" s="20">
        <f t="shared" ref="F76:G76" si="42">F11-F43</f>
        <v>0</v>
      </c>
      <c r="G76" s="20">
        <f t="shared" si="42"/>
        <v>0</v>
      </c>
      <c r="H76" s="20">
        <f t="shared" ref="H76:I76" si="43">H11-H43</f>
        <v>0</v>
      </c>
      <c r="I76" s="20">
        <f t="shared" si="43"/>
        <v>0</v>
      </c>
      <c r="J76" s="20">
        <f t="shared" ref="J76:N76" si="44">J11-J43</f>
        <v>0</v>
      </c>
      <c r="K76" s="20">
        <f t="shared" si="44"/>
        <v>0</v>
      </c>
      <c r="L76" s="20">
        <f t="shared" si="44"/>
        <v>0</v>
      </c>
      <c r="M76" s="20">
        <f t="shared" si="44"/>
        <v>0</v>
      </c>
      <c r="N76" s="20">
        <f t="shared" si="44"/>
        <v>0</v>
      </c>
      <c r="O76" s="50">
        <f t="shared" si="29"/>
        <v>0</v>
      </c>
    </row>
    <row r="77" spans="1:16" hidden="1">
      <c r="B77" s="12" t="s">
        <v>39</v>
      </c>
      <c r="C77" s="20">
        <f t="shared" si="30"/>
        <v>0</v>
      </c>
      <c r="D77" s="20">
        <f t="shared" si="30"/>
        <v>0</v>
      </c>
      <c r="E77" s="20">
        <f t="shared" si="30"/>
        <v>0</v>
      </c>
      <c r="F77" s="20">
        <f t="shared" ref="F77:G77" si="45">F12-F44</f>
        <v>0</v>
      </c>
      <c r="G77" s="20">
        <f t="shared" si="45"/>
        <v>0</v>
      </c>
      <c r="H77" s="20">
        <f t="shared" ref="H77:I77" si="46">H12-H44</f>
        <v>0</v>
      </c>
      <c r="I77" s="20">
        <f t="shared" si="46"/>
        <v>0</v>
      </c>
      <c r="J77" s="20">
        <f t="shared" ref="J77:N77" si="47">J12-J44</f>
        <v>0</v>
      </c>
      <c r="K77" s="20">
        <f t="shared" si="47"/>
        <v>0</v>
      </c>
      <c r="L77" s="20">
        <f t="shared" si="47"/>
        <v>0</v>
      </c>
      <c r="M77" s="20">
        <f t="shared" si="47"/>
        <v>0</v>
      </c>
      <c r="N77" s="20">
        <f t="shared" si="47"/>
        <v>0</v>
      </c>
      <c r="O77" s="50">
        <f t="shared" si="29"/>
        <v>0</v>
      </c>
    </row>
    <row r="78" spans="1:16" hidden="1">
      <c r="B78" s="12" t="s">
        <v>40</v>
      </c>
      <c r="C78" s="20">
        <f t="shared" si="30"/>
        <v>0</v>
      </c>
      <c r="D78" s="20">
        <f t="shared" si="30"/>
        <v>0</v>
      </c>
      <c r="E78" s="20">
        <f t="shared" si="30"/>
        <v>0</v>
      </c>
      <c r="F78" s="20">
        <f t="shared" ref="F78:G78" si="48">F13-F45</f>
        <v>0</v>
      </c>
      <c r="G78" s="20">
        <f t="shared" si="48"/>
        <v>0</v>
      </c>
      <c r="H78" s="20">
        <f t="shared" ref="H78:I78" si="49">H13-H45</f>
        <v>0</v>
      </c>
      <c r="I78" s="20">
        <f t="shared" si="49"/>
        <v>0</v>
      </c>
      <c r="J78" s="20">
        <f t="shared" ref="J78:N78" si="50">J13-J45</f>
        <v>0</v>
      </c>
      <c r="K78" s="20">
        <f t="shared" si="50"/>
        <v>0</v>
      </c>
      <c r="L78" s="20">
        <f t="shared" si="50"/>
        <v>0</v>
      </c>
      <c r="M78" s="20">
        <f t="shared" si="50"/>
        <v>0</v>
      </c>
      <c r="N78" s="20">
        <f t="shared" si="50"/>
        <v>0</v>
      </c>
      <c r="O78" s="50">
        <f t="shared" si="29"/>
        <v>0</v>
      </c>
    </row>
    <row r="79" spans="1:16">
      <c r="A79" t="s">
        <v>100</v>
      </c>
      <c r="B79" s="11" t="s">
        <v>45</v>
      </c>
      <c r="C79" s="19">
        <f t="shared" si="30"/>
        <v>29473.57666666669</v>
      </c>
      <c r="D79" s="19">
        <f t="shared" si="30"/>
        <v>8279.8966666666674</v>
      </c>
      <c r="E79" s="19">
        <f t="shared" si="30"/>
        <v>61044.026666666687</v>
      </c>
      <c r="F79" s="19">
        <f t="shared" ref="F79:G79" si="51">F14-F46</f>
        <v>65429.166666666686</v>
      </c>
      <c r="G79" s="19">
        <f t="shared" si="51"/>
        <v>41577.166666666686</v>
      </c>
      <c r="H79" s="19">
        <f t="shared" ref="H79:I79" si="52">H14-H46</f>
        <v>31183.166666666686</v>
      </c>
      <c r="I79" s="19">
        <f t="shared" si="52"/>
        <v>-77591.833333333314</v>
      </c>
      <c r="J79" s="19">
        <f t="shared" ref="J79:N79" si="53">J14-J46</f>
        <v>55840.166666666686</v>
      </c>
      <c r="K79" s="19">
        <f t="shared" si="53"/>
        <v>62300.166666666686</v>
      </c>
      <c r="L79" s="19">
        <f t="shared" si="53"/>
        <v>146624.16666666669</v>
      </c>
      <c r="M79" s="19">
        <f t="shared" si="53"/>
        <v>146624.16666666669</v>
      </c>
      <c r="N79" s="19">
        <f t="shared" si="53"/>
        <v>146624.16666666669</v>
      </c>
      <c r="O79" s="51">
        <f t="shared" ref="O79" si="54">SUM(O72:O78)</f>
        <v>717408</v>
      </c>
    </row>
    <row r="80" spans="1:16">
      <c r="B80" s="11"/>
      <c r="C80" s="20"/>
      <c r="D80" s="20"/>
      <c r="E80" s="20"/>
      <c r="F80" s="20"/>
      <c r="G80" s="20"/>
      <c r="H80" s="20"/>
      <c r="I80" s="20"/>
      <c r="J80" s="20"/>
      <c r="K80" s="20"/>
      <c r="L80" s="20"/>
      <c r="M80" s="20"/>
      <c r="N80" s="20"/>
      <c r="O80" s="54"/>
    </row>
    <row r="81" spans="1:15">
      <c r="B81" s="11" t="s">
        <v>94</v>
      </c>
      <c r="C81" s="20"/>
      <c r="D81" s="20"/>
      <c r="E81" s="20"/>
      <c r="F81" s="20"/>
      <c r="G81" s="20"/>
      <c r="H81" s="20"/>
      <c r="I81" s="20"/>
      <c r="J81" s="20"/>
      <c r="K81" s="20"/>
      <c r="L81" s="20"/>
      <c r="M81" s="20"/>
      <c r="N81" s="20"/>
      <c r="O81" s="50"/>
    </row>
    <row r="82" spans="1:15">
      <c r="B82" s="12" t="s">
        <v>34</v>
      </c>
      <c r="C82" s="20">
        <f t="shared" ref="C82:E89" si="55">C17-C49</f>
        <v>-1850.2233333333334</v>
      </c>
      <c r="D82" s="20">
        <f t="shared" si="55"/>
        <v>-2088.4933333333333</v>
      </c>
      <c r="E82" s="20">
        <f t="shared" si="55"/>
        <v>-2265.6833333333334</v>
      </c>
      <c r="F82" s="20">
        <f t="shared" ref="F82:G82" si="56">F17-F49</f>
        <v>-2855.5833333333335</v>
      </c>
      <c r="G82" s="20">
        <f t="shared" si="56"/>
        <v>-1578.5833333333333</v>
      </c>
      <c r="H82" s="20">
        <f t="shared" ref="H82:I82" si="57">H17-H49</f>
        <v>-2216.5833333333335</v>
      </c>
      <c r="I82" s="20">
        <f t="shared" si="57"/>
        <v>-2565.5833333333335</v>
      </c>
      <c r="J82" s="20">
        <f t="shared" ref="J82:N82" si="58">J17-J49</f>
        <v>-1977.5833333333333</v>
      </c>
      <c r="K82" s="20">
        <f t="shared" si="58"/>
        <v>-4059.5833333333335</v>
      </c>
      <c r="L82" s="20">
        <f t="shared" si="58"/>
        <v>49.416666666666664</v>
      </c>
      <c r="M82" s="20">
        <f t="shared" si="58"/>
        <v>49.416666666666664</v>
      </c>
      <c r="N82" s="20">
        <f t="shared" si="58"/>
        <v>49.416666666666664</v>
      </c>
      <c r="O82" s="50">
        <f t="shared" ref="O82:O88" si="59">SUM(C82:N82)</f>
        <v>-21309.649999999998</v>
      </c>
    </row>
    <row r="83" spans="1:15">
      <c r="B83" s="12" t="s">
        <v>35</v>
      </c>
      <c r="C83" s="20">
        <f t="shared" si="55"/>
        <v>-7024.3233333333328</v>
      </c>
      <c r="D83" s="20">
        <f t="shared" si="55"/>
        <v>-8204.4133333333339</v>
      </c>
      <c r="E83" s="20">
        <f t="shared" si="55"/>
        <v>-4785.1933333333327</v>
      </c>
      <c r="F83" s="20">
        <f t="shared" ref="F83:G83" si="60">F18-F50</f>
        <v>-3025.5833333333335</v>
      </c>
      <c r="G83" s="20">
        <f t="shared" si="60"/>
        <v>-2021.5833333333333</v>
      </c>
      <c r="H83" s="20">
        <f t="shared" ref="H83:I83" si="61">H18-H50</f>
        <v>-1246.5833333333333</v>
      </c>
      <c r="I83" s="20">
        <f t="shared" si="61"/>
        <v>-6005.583333333333</v>
      </c>
      <c r="J83" s="20">
        <f t="shared" ref="J83:N83" si="62">J18-J50</f>
        <v>-1938.5833333333333</v>
      </c>
      <c r="K83" s="20">
        <f t="shared" si="62"/>
        <v>-9914.5833333333339</v>
      </c>
      <c r="L83" s="20">
        <f t="shared" si="62"/>
        <v>327.41666666666669</v>
      </c>
      <c r="M83" s="20">
        <f t="shared" si="62"/>
        <v>327.41666666666669</v>
      </c>
      <c r="N83" s="20">
        <f t="shared" si="62"/>
        <v>327.41666666666669</v>
      </c>
      <c r="O83" s="50">
        <f t="shared" si="59"/>
        <v>-43184.180000000008</v>
      </c>
    </row>
    <row r="84" spans="1:15" hidden="1">
      <c r="B84" s="12" t="s">
        <v>36</v>
      </c>
      <c r="C84" s="20">
        <f t="shared" si="55"/>
        <v>-2496.35</v>
      </c>
      <c r="D84" s="20">
        <f t="shared" si="55"/>
        <v>-853.8</v>
      </c>
      <c r="E84" s="20">
        <f t="shared" si="55"/>
        <v>-978.04</v>
      </c>
      <c r="F84" s="20">
        <f t="shared" ref="F84:G84" si="63">F19-F51</f>
        <v>-770</v>
      </c>
      <c r="G84" s="20">
        <f t="shared" si="63"/>
        <v>-4691</v>
      </c>
      <c r="H84" s="20">
        <f t="shared" ref="H84:I84" si="64">H19-H51</f>
        <v>-832</v>
      </c>
      <c r="I84" s="20">
        <f t="shared" si="64"/>
        <v>-5867</v>
      </c>
      <c r="J84" s="20">
        <f t="shared" ref="J84:N84" si="65">J19-J51</f>
        <v>-1013</v>
      </c>
      <c r="K84" s="20">
        <f t="shared" si="65"/>
        <v>-6330</v>
      </c>
      <c r="L84" s="20">
        <f t="shared" si="65"/>
        <v>0</v>
      </c>
      <c r="M84" s="20">
        <f t="shared" si="65"/>
        <v>0</v>
      </c>
      <c r="N84" s="20">
        <f t="shared" si="65"/>
        <v>0</v>
      </c>
      <c r="O84" s="50">
        <f t="shared" si="59"/>
        <v>-23831.19</v>
      </c>
    </row>
    <row r="85" spans="1:15" hidden="1">
      <c r="B85" s="12" t="s">
        <v>37</v>
      </c>
      <c r="C85" s="20">
        <f t="shared" si="55"/>
        <v>0</v>
      </c>
      <c r="D85" s="20">
        <f t="shared" si="55"/>
        <v>0</v>
      </c>
      <c r="E85" s="20">
        <f t="shared" si="55"/>
        <v>0</v>
      </c>
      <c r="F85" s="20">
        <f t="shared" ref="F85:G85" si="66">F20-F52</f>
        <v>0</v>
      </c>
      <c r="G85" s="20">
        <f t="shared" si="66"/>
        <v>0</v>
      </c>
      <c r="H85" s="20">
        <f t="shared" ref="H85:I85" si="67">H20-H52</f>
        <v>0</v>
      </c>
      <c r="I85" s="20">
        <f t="shared" si="67"/>
        <v>0</v>
      </c>
      <c r="J85" s="20">
        <f t="shared" ref="J85:N85" si="68">J20-J52</f>
        <v>0</v>
      </c>
      <c r="K85" s="20">
        <f t="shared" si="68"/>
        <v>0</v>
      </c>
      <c r="L85" s="20">
        <f t="shared" si="68"/>
        <v>0</v>
      </c>
      <c r="M85" s="20">
        <f t="shared" si="68"/>
        <v>0</v>
      </c>
      <c r="N85" s="20">
        <f t="shared" si="68"/>
        <v>0</v>
      </c>
      <c r="O85" s="50">
        <f t="shared" si="59"/>
        <v>0</v>
      </c>
    </row>
    <row r="86" spans="1:15" hidden="1">
      <c r="B86" s="12" t="s">
        <v>38</v>
      </c>
      <c r="C86" s="20">
        <f t="shared" si="55"/>
        <v>0</v>
      </c>
      <c r="D86" s="20">
        <f t="shared" si="55"/>
        <v>0</v>
      </c>
      <c r="E86" s="20">
        <f t="shared" si="55"/>
        <v>0</v>
      </c>
      <c r="F86" s="20">
        <f t="shared" ref="F86:G86" si="69">F21-F53</f>
        <v>0</v>
      </c>
      <c r="G86" s="20">
        <f t="shared" si="69"/>
        <v>0</v>
      </c>
      <c r="H86" s="20">
        <f t="shared" ref="H86:I86" si="70">H21-H53</f>
        <v>0</v>
      </c>
      <c r="I86" s="20">
        <f t="shared" si="70"/>
        <v>0</v>
      </c>
      <c r="J86" s="20">
        <f t="shared" ref="J86:N86" si="71">J21-J53</f>
        <v>0</v>
      </c>
      <c r="K86" s="20">
        <f t="shared" si="71"/>
        <v>0</v>
      </c>
      <c r="L86" s="20">
        <f t="shared" si="71"/>
        <v>0</v>
      </c>
      <c r="M86" s="20">
        <f t="shared" si="71"/>
        <v>0</v>
      </c>
      <c r="N86" s="20">
        <f t="shared" si="71"/>
        <v>0</v>
      </c>
      <c r="O86" s="50">
        <f t="shared" si="59"/>
        <v>0</v>
      </c>
    </row>
    <row r="87" spans="1:15">
      <c r="B87" s="12" t="s">
        <v>39</v>
      </c>
      <c r="C87" s="20">
        <f t="shared" si="55"/>
        <v>0</v>
      </c>
      <c r="D87" s="20">
        <f t="shared" si="55"/>
        <v>0</v>
      </c>
      <c r="E87" s="20">
        <f t="shared" si="55"/>
        <v>0</v>
      </c>
      <c r="F87" s="20">
        <f t="shared" ref="F87:G87" si="72">F22-F54</f>
        <v>0</v>
      </c>
      <c r="G87" s="20">
        <f t="shared" si="72"/>
        <v>0</v>
      </c>
      <c r="H87" s="20">
        <f t="shared" ref="H87:I87" si="73">H22-H54</f>
        <v>0</v>
      </c>
      <c r="I87" s="20">
        <f t="shared" si="73"/>
        <v>0</v>
      </c>
      <c r="J87" s="20">
        <f t="shared" ref="J87:N87" si="74">J22-J54</f>
        <v>0</v>
      </c>
      <c r="K87" s="20">
        <f t="shared" si="74"/>
        <v>0</v>
      </c>
      <c r="L87" s="20">
        <f t="shared" si="74"/>
        <v>0</v>
      </c>
      <c r="M87" s="20">
        <f t="shared" si="74"/>
        <v>0</v>
      </c>
      <c r="N87" s="20">
        <f t="shared" si="74"/>
        <v>0</v>
      </c>
      <c r="O87" s="50">
        <f t="shared" si="59"/>
        <v>0</v>
      </c>
    </row>
    <row r="88" spans="1:15">
      <c r="B88" s="12" t="s">
        <v>40</v>
      </c>
      <c r="C88" s="20">
        <f t="shared" si="55"/>
        <v>-8926.7033333333329</v>
      </c>
      <c r="D88" s="20">
        <f t="shared" si="55"/>
        <v>-10307.523333333333</v>
      </c>
      <c r="E88" s="20">
        <f t="shared" si="55"/>
        <v>-17628.753333333334</v>
      </c>
      <c r="F88" s="20">
        <f t="shared" ref="F88:G88" si="75">F23-F55</f>
        <v>-12568.333333333334</v>
      </c>
      <c r="G88" s="20">
        <f t="shared" si="75"/>
        <v>-14080.333333333334</v>
      </c>
      <c r="H88" s="20">
        <f t="shared" ref="H88:I88" si="76">H23-H55</f>
        <v>-15035.333333333334</v>
      </c>
      <c r="I88" s="20">
        <f t="shared" si="76"/>
        <v>-20742.333333333336</v>
      </c>
      <c r="J88" s="20">
        <f t="shared" ref="J88:N88" si="77">J23-J55</f>
        <v>-13174.333333333334</v>
      </c>
      <c r="K88" s="20">
        <f t="shared" si="77"/>
        <v>-11202.333333333334</v>
      </c>
      <c r="L88" s="20">
        <f t="shared" si="77"/>
        <v>14251.666666666666</v>
      </c>
      <c r="M88" s="20">
        <f t="shared" si="77"/>
        <v>14251.666666666666</v>
      </c>
      <c r="N88" s="20">
        <f t="shared" si="77"/>
        <v>14251.666666666666</v>
      </c>
      <c r="O88" s="50">
        <f t="shared" si="59"/>
        <v>-80910.979999999967</v>
      </c>
    </row>
    <row r="89" spans="1:15">
      <c r="A89" t="s">
        <v>101</v>
      </c>
      <c r="B89" s="11" t="s">
        <v>45</v>
      </c>
      <c r="C89" s="19">
        <f t="shared" si="55"/>
        <v>-20297.599999999999</v>
      </c>
      <c r="D89" s="19">
        <f t="shared" si="55"/>
        <v>-21454.229999999996</v>
      </c>
      <c r="E89" s="19">
        <f t="shared" si="55"/>
        <v>-25657.67</v>
      </c>
      <c r="F89" s="19">
        <f t="shared" ref="F89:G89" si="78">F24-F56</f>
        <v>-19219.5</v>
      </c>
      <c r="G89" s="19">
        <f t="shared" si="78"/>
        <v>-22371.5</v>
      </c>
      <c r="H89" s="19">
        <f t="shared" ref="H89:I89" si="79">H24-H56</f>
        <v>-19330.5</v>
      </c>
      <c r="I89" s="19">
        <f t="shared" si="79"/>
        <v>-35180.5</v>
      </c>
      <c r="J89" s="19">
        <f t="shared" ref="J89:N89" si="80">J24-J56</f>
        <v>-18103.5</v>
      </c>
      <c r="K89" s="19">
        <f t="shared" si="80"/>
        <v>-31506.5</v>
      </c>
      <c r="L89" s="19">
        <f t="shared" si="80"/>
        <v>14628.5</v>
      </c>
      <c r="M89" s="19">
        <f t="shared" si="80"/>
        <v>14628.5</v>
      </c>
      <c r="N89" s="19">
        <f t="shared" si="80"/>
        <v>14628.5</v>
      </c>
      <c r="O89" s="51">
        <f t="shared" ref="O89" si="81">SUM(O82:O88)</f>
        <v>-169235.99999999997</v>
      </c>
    </row>
    <row r="90" spans="1:15">
      <c r="B90" s="11"/>
      <c r="C90" s="20"/>
      <c r="D90" s="20"/>
      <c r="E90" s="20"/>
      <c r="F90" s="20"/>
      <c r="G90" s="20"/>
      <c r="H90" s="20"/>
      <c r="I90" s="20"/>
      <c r="J90" s="20"/>
      <c r="K90" s="20"/>
      <c r="L90" s="20"/>
      <c r="M90" s="20"/>
      <c r="N90" s="20"/>
      <c r="O90" s="54"/>
    </row>
    <row r="91" spans="1:15">
      <c r="B91" s="11" t="s">
        <v>95</v>
      </c>
      <c r="C91" s="20"/>
      <c r="D91" s="20"/>
      <c r="E91" s="20"/>
      <c r="F91" s="20"/>
      <c r="G91" s="20"/>
      <c r="H91" s="20"/>
      <c r="I91" s="20"/>
      <c r="J91" s="20"/>
      <c r="K91" s="20"/>
      <c r="L91" s="20"/>
      <c r="M91" s="20"/>
      <c r="N91" s="20"/>
      <c r="O91" s="54"/>
    </row>
    <row r="92" spans="1:15">
      <c r="B92" s="12" t="s">
        <v>34</v>
      </c>
      <c r="C92" s="20">
        <f t="shared" ref="C92:E99" si="82">C27-C59</f>
        <v>-3999.0533333333337</v>
      </c>
      <c r="D92" s="20">
        <f t="shared" si="82"/>
        <v>-4811.663333333333</v>
      </c>
      <c r="E92" s="20">
        <f t="shared" si="82"/>
        <v>-2946.0733333333333</v>
      </c>
      <c r="F92" s="20">
        <f t="shared" ref="F92:G92" si="83">F27-F59</f>
        <v>-956.08333333333337</v>
      </c>
      <c r="G92" s="20">
        <f t="shared" si="83"/>
        <v>-1740.0833333333335</v>
      </c>
      <c r="H92" s="20">
        <f t="shared" ref="H92:I92" si="84">H27-H59</f>
        <v>-1593.0833333333335</v>
      </c>
      <c r="I92" s="20">
        <f t="shared" si="84"/>
        <v>-965.08333333333337</v>
      </c>
      <c r="J92" s="20">
        <f t="shared" ref="J92:N92" si="85">J27-J59</f>
        <v>-648.08333333333337</v>
      </c>
      <c r="K92" s="20">
        <f t="shared" si="85"/>
        <v>-1778.0833333333335</v>
      </c>
      <c r="L92" s="20">
        <f t="shared" si="85"/>
        <v>799.91666666666663</v>
      </c>
      <c r="M92" s="20">
        <f t="shared" si="85"/>
        <v>799.91666666666663</v>
      </c>
      <c r="N92" s="20">
        <f t="shared" si="85"/>
        <v>799.91666666666663</v>
      </c>
      <c r="O92" s="50">
        <f t="shared" ref="O92:O98" si="86">SUM(C92:N92)</f>
        <v>-17037.539999999997</v>
      </c>
    </row>
    <row r="93" spans="1:15">
      <c r="B93" s="12" t="s">
        <v>35</v>
      </c>
      <c r="C93" s="20">
        <f t="shared" si="82"/>
        <v>179.58333333333334</v>
      </c>
      <c r="D93" s="20">
        <f t="shared" si="82"/>
        <v>179.58333333333334</v>
      </c>
      <c r="E93" s="20">
        <f t="shared" si="82"/>
        <v>179.58333333333334</v>
      </c>
      <c r="F93" s="20">
        <f t="shared" ref="F93:G93" si="87">F28-F60</f>
        <v>179.58333333333334</v>
      </c>
      <c r="G93" s="20">
        <f t="shared" si="87"/>
        <v>179.58333333333334</v>
      </c>
      <c r="H93" s="20">
        <f t="shared" ref="H93:I93" si="88">H28-H60</f>
        <v>179.58333333333334</v>
      </c>
      <c r="I93" s="20">
        <f t="shared" si="88"/>
        <v>179.58333333333334</v>
      </c>
      <c r="J93" s="20">
        <f t="shared" ref="J93:N93" si="89">J28-J60</f>
        <v>179.58333333333334</v>
      </c>
      <c r="K93" s="20">
        <f>K28-K40</f>
        <v>-41724.416666666664</v>
      </c>
      <c r="L93" s="20">
        <f t="shared" si="89"/>
        <v>179.58333333333334</v>
      </c>
      <c r="M93" s="20">
        <f t="shared" si="89"/>
        <v>179.58333333333334</v>
      </c>
      <c r="N93" s="20">
        <f t="shared" si="89"/>
        <v>179.58333333333334</v>
      </c>
      <c r="O93" s="50">
        <f t="shared" si="86"/>
        <v>-39748.999999999993</v>
      </c>
    </row>
    <row r="94" spans="1:15">
      <c r="B94" s="12" t="s">
        <v>36</v>
      </c>
      <c r="C94" s="20">
        <f t="shared" si="82"/>
        <v>75.833333333333329</v>
      </c>
      <c r="D94" s="20">
        <f t="shared" si="82"/>
        <v>75.833333333333329</v>
      </c>
      <c r="E94" s="20">
        <f t="shared" si="82"/>
        <v>75.833333333333329</v>
      </c>
      <c r="F94" s="20">
        <f t="shared" ref="F94:G94" si="90">F29-F61</f>
        <v>75.833333333333329</v>
      </c>
      <c r="G94" s="20">
        <f t="shared" si="90"/>
        <v>75.833333333333329</v>
      </c>
      <c r="H94" s="20">
        <f t="shared" ref="H94:I94" si="91">H29-H61</f>
        <v>75.833333333333329</v>
      </c>
      <c r="I94" s="20">
        <f t="shared" si="91"/>
        <v>75.833333333333329</v>
      </c>
      <c r="J94" s="20">
        <f t="shared" ref="J94:N94" si="92">J29-J61</f>
        <v>75.833333333333329</v>
      </c>
      <c r="K94" s="20">
        <f>K29-K41</f>
        <v>-21239.166666666668</v>
      </c>
      <c r="L94" s="20">
        <f t="shared" si="92"/>
        <v>75.833333333333329</v>
      </c>
      <c r="M94" s="20">
        <f t="shared" si="92"/>
        <v>75.833333333333329</v>
      </c>
      <c r="N94" s="20">
        <f t="shared" si="92"/>
        <v>75.833333333333329</v>
      </c>
      <c r="O94" s="50">
        <f t="shared" si="86"/>
        <v>-20405.000000000004</v>
      </c>
    </row>
    <row r="95" spans="1:15" hidden="1">
      <c r="B95" s="12" t="s">
        <v>37</v>
      </c>
      <c r="C95" s="20">
        <f t="shared" si="82"/>
        <v>0</v>
      </c>
      <c r="D95" s="20">
        <f t="shared" si="82"/>
        <v>0</v>
      </c>
      <c r="E95" s="20">
        <f t="shared" si="82"/>
        <v>0</v>
      </c>
      <c r="F95" s="20">
        <f t="shared" ref="F95:G95" si="93">F30-F62</f>
        <v>0</v>
      </c>
      <c r="G95" s="20">
        <f t="shared" si="93"/>
        <v>0</v>
      </c>
      <c r="H95" s="20">
        <f t="shared" ref="H95:I95" si="94">H30-H62</f>
        <v>0</v>
      </c>
      <c r="I95" s="20">
        <f t="shared" si="94"/>
        <v>0</v>
      </c>
      <c r="J95" s="20">
        <f t="shared" ref="J95:N95" si="95">J30-J62</f>
        <v>0</v>
      </c>
      <c r="K95" s="20">
        <f t="shared" si="95"/>
        <v>0</v>
      </c>
      <c r="L95" s="20">
        <f t="shared" si="95"/>
        <v>0</v>
      </c>
      <c r="M95" s="20">
        <f t="shared" si="95"/>
        <v>0</v>
      </c>
      <c r="N95" s="20">
        <f t="shared" si="95"/>
        <v>0</v>
      </c>
      <c r="O95" s="50">
        <f t="shared" si="86"/>
        <v>0</v>
      </c>
    </row>
    <row r="96" spans="1:15" hidden="1">
      <c r="B96" s="12" t="s">
        <v>38</v>
      </c>
      <c r="C96" s="20">
        <f t="shared" si="82"/>
        <v>0</v>
      </c>
      <c r="D96" s="20">
        <f t="shared" si="82"/>
        <v>0</v>
      </c>
      <c r="E96" s="20">
        <f t="shared" si="82"/>
        <v>0</v>
      </c>
      <c r="F96" s="20">
        <f t="shared" ref="F96:G96" si="96">F31-F63</f>
        <v>0</v>
      </c>
      <c r="G96" s="20">
        <f t="shared" si="96"/>
        <v>0</v>
      </c>
      <c r="H96" s="20">
        <f t="shared" ref="H96:I96" si="97">H31-H63</f>
        <v>0</v>
      </c>
      <c r="I96" s="20">
        <f t="shared" si="97"/>
        <v>0</v>
      </c>
      <c r="J96" s="20">
        <f t="shared" ref="J96:N96" si="98">J31-J63</f>
        <v>0</v>
      </c>
      <c r="K96" s="20">
        <f t="shared" si="98"/>
        <v>0</v>
      </c>
      <c r="L96" s="20">
        <f t="shared" si="98"/>
        <v>0</v>
      </c>
      <c r="M96" s="20">
        <f t="shared" si="98"/>
        <v>0</v>
      </c>
      <c r="N96" s="20">
        <f t="shared" si="98"/>
        <v>0</v>
      </c>
      <c r="O96" s="50">
        <f t="shared" si="86"/>
        <v>0</v>
      </c>
    </row>
    <row r="97" spans="1:15" hidden="1">
      <c r="B97" s="12" t="s">
        <v>39</v>
      </c>
      <c r="C97" s="20">
        <f t="shared" si="82"/>
        <v>0</v>
      </c>
      <c r="D97" s="20">
        <f t="shared" si="82"/>
        <v>0</v>
      </c>
      <c r="E97" s="20">
        <f t="shared" si="82"/>
        <v>0</v>
      </c>
      <c r="F97" s="20">
        <f t="shared" ref="F97:G97" si="99">F32-F64</f>
        <v>0</v>
      </c>
      <c r="G97" s="20">
        <f t="shared" si="99"/>
        <v>0</v>
      </c>
      <c r="H97" s="20">
        <f t="shared" ref="H97:I97" si="100">H32-H64</f>
        <v>0</v>
      </c>
      <c r="I97" s="20">
        <f t="shared" si="100"/>
        <v>0</v>
      </c>
      <c r="J97" s="20">
        <f t="shared" ref="J97:N97" si="101">J32-J64</f>
        <v>0</v>
      </c>
      <c r="K97" s="20">
        <f t="shared" si="101"/>
        <v>0</v>
      </c>
      <c r="L97" s="20">
        <f t="shared" si="101"/>
        <v>0</v>
      </c>
      <c r="M97" s="20">
        <f t="shared" si="101"/>
        <v>0</v>
      </c>
      <c r="N97" s="20">
        <f t="shared" si="101"/>
        <v>0</v>
      </c>
      <c r="O97" s="50">
        <f t="shared" si="86"/>
        <v>0</v>
      </c>
    </row>
    <row r="98" spans="1:15">
      <c r="B98" s="12" t="s">
        <v>40</v>
      </c>
      <c r="C98" s="20">
        <f t="shared" si="82"/>
        <v>10827.416666666666</v>
      </c>
      <c r="D98" s="20">
        <f t="shared" si="82"/>
        <v>10827.416666666666</v>
      </c>
      <c r="E98" s="20">
        <f t="shared" si="82"/>
        <v>10827.416666666666</v>
      </c>
      <c r="F98" s="20">
        <f t="shared" ref="F98:G98" si="102">F33-F65</f>
        <v>10827.416666666666</v>
      </c>
      <c r="G98" s="20">
        <f t="shared" si="102"/>
        <v>10367.416666666666</v>
      </c>
      <c r="H98" s="20">
        <f t="shared" ref="H98:I98" si="103">H33-H65</f>
        <v>10195.416666666666</v>
      </c>
      <c r="I98" s="20">
        <f t="shared" si="103"/>
        <v>10985.416666666666</v>
      </c>
      <c r="J98" s="20">
        <f t="shared" ref="J98:N98" si="104">J33-J65</f>
        <v>10827.416666666666</v>
      </c>
      <c r="K98" s="20">
        <f t="shared" si="104"/>
        <v>10827.416666666666</v>
      </c>
      <c r="L98" s="20">
        <f t="shared" si="104"/>
        <v>10827.416666666666</v>
      </c>
      <c r="M98" s="20">
        <f t="shared" si="104"/>
        <v>10827.416666666666</v>
      </c>
      <c r="N98" s="20">
        <f t="shared" si="104"/>
        <v>10827.416666666666</v>
      </c>
      <c r="O98" s="50">
        <f t="shared" si="86"/>
        <v>128995.00000000001</v>
      </c>
    </row>
    <row r="99" spans="1:15">
      <c r="A99" t="s">
        <v>102</v>
      </c>
      <c r="B99" s="11" t="s">
        <v>45</v>
      </c>
      <c r="C99" s="19">
        <f t="shared" si="82"/>
        <v>7083.78</v>
      </c>
      <c r="D99" s="19">
        <f t="shared" si="82"/>
        <v>6271.17</v>
      </c>
      <c r="E99" s="19">
        <f t="shared" si="82"/>
        <v>8136.76</v>
      </c>
      <c r="F99" s="19">
        <f t="shared" ref="F99:G99" si="105">F34-F66</f>
        <v>10126.75</v>
      </c>
      <c r="G99" s="19">
        <f t="shared" si="105"/>
        <v>8882.75</v>
      </c>
      <c r="H99" s="19">
        <f t="shared" ref="H99:I99" si="106">H34-H66</f>
        <v>8857.75</v>
      </c>
      <c r="I99" s="19">
        <f t="shared" si="106"/>
        <v>10275.75</v>
      </c>
      <c r="J99" s="19">
        <f t="shared" ref="J99:N99" si="107">J34-J66</f>
        <v>10434.75</v>
      </c>
      <c r="K99" s="19">
        <f t="shared" si="107"/>
        <v>9304.75</v>
      </c>
      <c r="L99" s="19">
        <f t="shared" si="107"/>
        <v>11882.75</v>
      </c>
      <c r="M99" s="19">
        <f t="shared" si="107"/>
        <v>11882.75</v>
      </c>
      <c r="N99" s="19">
        <f t="shared" si="107"/>
        <v>11882.75</v>
      </c>
      <c r="O99" s="51">
        <f t="shared" ref="O99" si="108">SUM(O92:O98)</f>
        <v>51803.460000000021</v>
      </c>
    </row>
    <row r="100" spans="1:15">
      <c r="B100" s="11"/>
      <c r="C100" s="20"/>
      <c r="D100" s="20"/>
      <c r="E100" s="20"/>
      <c r="F100" s="20"/>
      <c r="G100" s="20"/>
      <c r="H100" s="20"/>
      <c r="I100" s="20"/>
      <c r="J100" s="33"/>
      <c r="K100" s="33"/>
      <c r="L100" s="33"/>
      <c r="M100" s="33"/>
      <c r="N100" s="33"/>
      <c r="O100" s="54"/>
    </row>
    <row r="101" spans="1:15" ht="15.75" thickBot="1">
      <c r="B101" s="11" t="s">
        <v>45</v>
      </c>
      <c r="C101" s="36">
        <f>C36-C68</f>
        <v>16259.756666666683</v>
      </c>
      <c r="D101" s="36">
        <f t="shared" ref="D101:E101" si="109">D36-D68</f>
        <v>-6903.1633333333302</v>
      </c>
      <c r="E101" s="36">
        <f t="shared" si="109"/>
        <v>43523.116666666698</v>
      </c>
      <c r="F101" s="36">
        <f t="shared" ref="F101:G101" si="110">F36-F68</f>
        <v>56336.416666666686</v>
      </c>
      <c r="G101" s="36">
        <f t="shared" si="110"/>
        <v>28088.416666666686</v>
      </c>
      <c r="H101" s="36">
        <f t="shared" ref="H101:J101" si="111">H36-H68</f>
        <v>20710.416666666686</v>
      </c>
      <c r="I101" s="36">
        <f t="shared" si="111"/>
        <v>-102496.58333333331</v>
      </c>
      <c r="J101" s="36">
        <f t="shared" si="111"/>
        <v>48171.416666666686</v>
      </c>
      <c r="K101" s="36">
        <f t="shared" ref="K101:N101" si="112">K36-K68</f>
        <v>40098.416666666686</v>
      </c>
      <c r="L101" s="36">
        <f t="shared" si="112"/>
        <v>173135.41666666669</v>
      </c>
      <c r="M101" s="36">
        <f t="shared" si="112"/>
        <v>173135.41666666669</v>
      </c>
      <c r="N101" s="36">
        <f t="shared" si="112"/>
        <v>173135.41666666669</v>
      </c>
      <c r="O101" s="53">
        <f t="shared" ref="O101" si="113">O99+O89+O79</f>
        <v>599975.46000000008</v>
      </c>
    </row>
    <row r="102" spans="1:15" ht="15.75" thickTop="1">
      <c r="B102" s="9"/>
    </row>
    <row r="103" spans="1:15">
      <c r="B103" s="9"/>
    </row>
    <row r="104" spans="1:15">
      <c r="B104" s="30" t="s">
        <v>59</v>
      </c>
      <c r="C104" s="18"/>
      <c r="D104" s="18"/>
      <c r="E104" s="18"/>
      <c r="F104" s="18"/>
      <c r="G104" s="18"/>
      <c r="H104" s="18"/>
      <c r="I104" s="18"/>
      <c r="J104" s="18"/>
      <c r="K104" s="18"/>
      <c r="L104" s="18"/>
      <c r="M104" s="18"/>
      <c r="N104" s="18"/>
      <c r="O104" s="18"/>
    </row>
    <row r="105" spans="1:15" ht="31.5" customHeight="1">
      <c r="B105" s="91" t="s">
        <v>68</v>
      </c>
      <c r="C105" s="91"/>
      <c r="D105" s="91"/>
      <c r="E105" s="91"/>
      <c r="F105" s="91"/>
      <c r="G105" s="91"/>
      <c r="H105" s="91"/>
      <c r="I105" s="91"/>
      <c r="J105" s="91"/>
      <c r="K105" s="91"/>
      <c r="L105" s="91"/>
      <c r="M105" s="91"/>
      <c r="N105" s="91"/>
      <c r="O105" s="91"/>
    </row>
    <row r="106" spans="1:15" ht="31.5" customHeight="1">
      <c r="B106" s="91" t="s">
        <v>69</v>
      </c>
      <c r="C106" s="91"/>
      <c r="D106" s="91"/>
      <c r="E106" s="91"/>
      <c r="F106" s="91"/>
      <c r="G106" s="91"/>
      <c r="H106" s="91"/>
      <c r="I106" s="91"/>
      <c r="J106" s="91"/>
      <c r="K106" s="91"/>
      <c r="L106" s="91"/>
      <c r="M106" s="91"/>
      <c r="N106" s="91"/>
      <c r="O106" s="91"/>
    </row>
    <row r="108" spans="1:15">
      <c r="B108" s="59" t="s">
        <v>61</v>
      </c>
      <c r="C108" s="60"/>
      <c r="D108" s="60"/>
      <c r="E108" s="60"/>
      <c r="F108" s="61"/>
      <c r="G108" s="61"/>
      <c r="H108" s="61"/>
      <c r="I108" s="61"/>
      <c r="J108" s="61"/>
      <c r="K108" s="61"/>
      <c r="L108" s="61"/>
      <c r="M108" s="61"/>
      <c r="N108" s="61"/>
      <c r="O108" s="61"/>
    </row>
    <row r="109" spans="1:15" ht="29.25" customHeight="1">
      <c r="B109" s="90" t="s">
        <v>67</v>
      </c>
      <c r="C109" s="90"/>
      <c r="D109" s="90"/>
      <c r="E109" s="90"/>
      <c r="F109" s="90"/>
      <c r="G109" s="90"/>
      <c r="H109" s="90"/>
      <c r="I109" s="90"/>
      <c r="J109" s="90"/>
      <c r="K109" s="90"/>
      <c r="L109" s="90"/>
      <c r="M109" s="90"/>
      <c r="N109" s="90"/>
      <c r="O109" s="90"/>
    </row>
    <row r="110" spans="1:15" ht="27.75" customHeight="1">
      <c r="B110" s="90" t="s">
        <v>83</v>
      </c>
      <c r="C110" s="90"/>
      <c r="D110" s="90"/>
      <c r="E110" s="90"/>
      <c r="F110" s="90"/>
      <c r="G110" s="90"/>
      <c r="H110" s="90"/>
      <c r="I110" s="90"/>
      <c r="J110" s="90"/>
      <c r="K110" s="90"/>
      <c r="L110" s="90"/>
      <c r="M110" s="90"/>
      <c r="N110" s="90"/>
      <c r="O110" s="90"/>
    </row>
    <row r="111" spans="1:15" ht="29.25" customHeight="1">
      <c r="B111" s="90" t="s">
        <v>132</v>
      </c>
      <c r="C111" s="90"/>
      <c r="D111" s="90"/>
      <c r="E111" s="90"/>
      <c r="F111" s="90"/>
      <c r="G111" s="90"/>
      <c r="H111" s="90"/>
      <c r="I111" s="90"/>
      <c r="J111" s="90"/>
      <c r="K111" s="90"/>
      <c r="L111" s="90"/>
      <c r="M111" s="90"/>
      <c r="N111" s="90"/>
      <c r="O111" s="90"/>
    </row>
    <row r="112" spans="1:15">
      <c r="B112" s="90" t="s">
        <v>131</v>
      </c>
      <c r="C112" s="90"/>
      <c r="D112" s="90"/>
      <c r="E112" s="90"/>
      <c r="F112" s="90"/>
      <c r="G112" s="90"/>
      <c r="H112" s="90"/>
      <c r="I112" s="90"/>
      <c r="J112" s="90"/>
      <c r="K112" s="90"/>
      <c r="L112" s="90"/>
      <c r="M112" s="90"/>
      <c r="N112" s="90"/>
    </row>
    <row r="113" spans="2:14">
      <c r="B113" s="90" t="s">
        <v>151</v>
      </c>
      <c r="C113" s="90"/>
      <c r="D113" s="90"/>
      <c r="E113" s="90"/>
      <c r="F113" s="90"/>
      <c r="G113" s="90"/>
      <c r="H113" s="90"/>
      <c r="I113" s="90"/>
      <c r="J113" s="90"/>
      <c r="K113" s="90"/>
      <c r="L113" s="90"/>
      <c r="M113" s="90"/>
      <c r="N113" s="90"/>
    </row>
    <row r="114" spans="2:14">
      <c r="B114" s="90" t="s">
        <v>152</v>
      </c>
      <c r="C114" s="90"/>
      <c r="D114" s="90"/>
      <c r="E114" s="90"/>
      <c r="F114" s="90"/>
      <c r="G114" s="90"/>
      <c r="H114" s="90"/>
      <c r="I114" s="90"/>
      <c r="J114" s="90"/>
      <c r="K114" s="90"/>
      <c r="L114" s="90"/>
      <c r="M114" s="90"/>
      <c r="N114" s="90"/>
    </row>
    <row r="115" spans="2:14" ht="29.25" customHeight="1">
      <c r="B115" s="90" t="s">
        <v>153</v>
      </c>
      <c r="C115" s="90"/>
      <c r="D115" s="90"/>
      <c r="E115" s="90"/>
      <c r="F115" s="90"/>
      <c r="G115" s="90"/>
      <c r="H115" s="90"/>
      <c r="I115" s="90"/>
      <c r="J115" s="90"/>
      <c r="K115" s="90"/>
      <c r="L115" s="90"/>
      <c r="M115" s="90"/>
      <c r="N115" s="90"/>
    </row>
    <row r="116" spans="2:14">
      <c r="B116" s="90" t="s">
        <v>183</v>
      </c>
      <c r="C116" s="90"/>
      <c r="D116" s="90"/>
      <c r="E116" s="90"/>
      <c r="F116" s="90"/>
      <c r="G116" s="90"/>
      <c r="H116" s="90"/>
      <c r="I116" s="90"/>
      <c r="J116" s="90"/>
      <c r="K116" s="90"/>
      <c r="L116" s="90"/>
      <c r="M116" s="90"/>
      <c r="N116" s="90"/>
    </row>
    <row r="117" spans="2:14">
      <c r="B117" s="90" t="s">
        <v>182</v>
      </c>
      <c r="C117" s="90"/>
      <c r="D117" s="90"/>
      <c r="E117" s="90"/>
      <c r="F117" s="90"/>
      <c r="G117" s="90"/>
      <c r="H117" s="90"/>
      <c r="I117" s="90"/>
      <c r="J117" s="90"/>
      <c r="K117" s="90"/>
      <c r="L117" s="90"/>
      <c r="M117" s="90"/>
      <c r="N117" s="90"/>
    </row>
  </sheetData>
  <mergeCells count="11">
    <mergeCell ref="B117:N117"/>
    <mergeCell ref="B105:O105"/>
    <mergeCell ref="B109:O109"/>
    <mergeCell ref="B110:O110"/>
    <mergeCell ref="B111:O111"/>
    <mergeCell ref="B106:O106"/>
    <mergeCell ref="B116:N116"/>
    <mergeCell ref="B115:N115"/>
    <mergeCell ref="B114:N114"/>
    <mergeCell ref="B113:N113"/>
    <mergeCell ref="B112:N112"/>
  </mergeCells>
  <pageMargins left="0" right="0" top="0.75" bottom="0.75" header="0.3" footer="0.3"/>
  <pageSetup scale="75" orientation="landscape" r:id="rId1"/>
</worksheet>
</file>

<file path=xl/worksheets/sheet2.xml><?xml version="1.0" encoding="utf-8"?>
<worksheet xmlns="http://schemas.openxmlformats.org/spreadsheetml/2006/main" xmlns:r="http://schemas.openxmlformats.org/officeDocument/2006/relationships">
  <dimension ref="A2:B14"/>
  <sheetViews>
    <sheetView workbookViewId="0">
      <selection activeCell="B14" sqref="B14"/>
    </sheetView>
  </sheetViews>
  <sheetFormatPr defaultRowHeight="15"/>
  <cols>
    <col min="1" max="1" width="51.5703125" bestFit="1" customWidth="1"/>
    <col min="2" max="2" width="14.28515625" bestFit="1" customWidth="1"/>
  </cols>
  <sheetData>
    <row r="2" spans="1:2">
      <c r="A2" s="79" t="s">
        <v>169</v>
      </c>
      <c r="B2" s="1">
        <f>'WA-Sch91 Rider Balance'!J17</f>
        <v>46670.388118010946</v>
      </c>
    </row>
    <row r="3" spans="1:2">
      <c r="A3" s="79"/>
    </row>
    <row r="4" spans="1:2">
      <c r="A4" s="79" t="s">
        <v>170</v>
      </c>
      <c r="B4" s="1">
        <v>5433000</v>
      </c>
    </row>
    <row r="5" spans="1:2">
      <c r="A5" s="79" t="s">
        <v>171</v>
      </c>
      <c r="B5" s="87">
        <f>SUM('WA-Sch91 Rider Balance'!K13:N13)</f>
        <v>3009275.6733333338</v>
      </c>
    </row>
    <row r="6" spans="1:2">
      <c r="A6" s="79"/>
      <c r="B6" s="1">
        <f>B5-B4</f>
        <v>-2423724.3266666662</v>
      </c>
    </row>
    <row r="8" spans="1:2">
      <c r="A8" s="79" t="s">
        <v>172</v>
      </c>
      <c r="B8" s="3">
        <f>B2+B6</f>
        <v>-2377053.9385486552</v>
      </c>
    </row>
    <row r="10" spans="1:2">
      <c r="A10" s="79" t="s">
        <v>173</v>
      </c>
      <c r="B10" s="1">
        <v>16735000</v>
      </c>
    </row>
    <row r="11" spans="1:2">
      <c r="A11" t="s">
        <v>174</v>
      </c>
      <c r="B11" s="88"/>
    </row>
    <row r="12" spans="1:2">
      <c r="B12" s="3">
        <f>B11-B10</f>
        <v>-16735000</v>
      </c>
    </row>
    <row r="14" spans="1:2">
      <c r="A14" t="s">
        <v>175</v>
      </c>
      <c r="B14" s="3">
        <f>B8+B12</f>
        <v>-19112053.938548654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tabColor theme="7" tint="0.39997558519241921"/>
  </sheetPr>
  <dimension ref="A2:AF31"/>
  <sheetViews>
    <sheetView workbookViewId="0">
      <pane xSplit="2" ySplit="4" topLeftCell="I5" activePane="bottomRight" state="frozen"/>
      <selection activeCell="G22" sqref="G22:H22"/>
      <selection pane="topRight" activeCell="G22" sqref="G22:H22"/>
      <selection pane="bottomLeft" activeCell="G22" sqref="G22:H22"/>
      <selection pane="bottomRight" activeCell="C5" sqref="C5:S19"/>
    </sheetView>
  </sheetViews>
  <sheetFormatPr defaultRowHeight="15"/>
  <cols>
    <col min="1" max="1" width="3.42578125" style="38" bestFit="1" customWidth="1"/>
    <col min="2" max="2" width="34.85546875" style="38" customWidth="1"/>
    <col min="3" max="3" width="13.7109375" style="38" bestFit="1" customWidth="1"/>
    <col min="4" max="14" width="13.28515625" style="38" bestFit="1" customWidth="1"/>
    <col min="15" max="15" width="12.28515625" style="38" bestFit="1" customWidth="1"/>
    <col min="16" max="16" width="11.5703125" style="38" bestFit="1" customWidth="1"/>
    <col min="17" max="19" width="11.28515625" style="38" bestFit="1" customWidth="1"/>
    <col min="20" max="32" width="11.7109375" style="38" hidden="1" customWidth="1"/>
    <col min="33" max="60" width="11.7109375" style="38" customWidth="1"/>
    <col min="61" max="16384" width="9.140625" style="38"/>
  </cols>
  <sheetData>
    <row r="2" spans="1:32">
      <c r="B2" s="39" t="s">
        <v>12</v>
      </c>
    </row>
    <row r="3" spans="1:32">
      <c r="B3" s="38" t="s">
        <v>33</v>
      </c>
      <c r="C3" s="40">
        <v>2010</v>
      </c>
      <c r="D3" s="40">
        <v>2010</v>
      </c>
      <c r="E3" s="40">
        <v>2010</v>
      </c>
      <c r="F3" s="40">
        <v>2010</v>
      </c>
      <c r="G3" s="40">
        <v>2010</v>
      </c>
      <c r="H3" s="40">
        <v>2010</v>
      </c>
      <c r="I3" s="40">
        <v>2010</v>
      </c>
      <c r="J3" s="40">
        <v>2010</v>
      </c>
      <c r="K3" s="40">
        <v>2010</v>
      </c>
      <c r="L3" s="40">
        <v>2010</v>
      </c>
      <c r="M3" s="40">
        <v>2010</v>
      </c>
      <c r="N3" s="40">
        <v>2010</v>
      </c>
      <c r="O3" s="40" t="s">
        <v>31</v>
      </c>
      <c r="P3" s="40">
        <v>2010</v>
      </c>
      <c r="Q3" s="40">
        <v>2010</v>
      </c>
      <c r="R3" s="40">
        <v>2010</v>
      </c>
      <c r="S3" s="40">
        <v>2010</v>
      </c>
      <c r="T3" s="38">
        <v>2011</v>
      </c>
      <c r="U3" s="38">
        <v>2011</v>
      </c>
      <c r="V3" s="38">
        <v>2011</v>
      </c>
      <c r="W3" s="38">
        <v>2011</v>
      </c>
      <c r="X3" s="38">
        <v>2011</v>
      </c>
      <c r="Y3" s="38">
        <v>2011</v>
      </c>
      <c r="Z3" s="38">
        <v>2011</v>
      </c>
      <c r="AA3" s="38">
        <v>2011</v>
      </c>
      <c r="AB3" s="38">
        <v>2011</v>
      </c>
      <c r="AC3" s="38">
        <v>2011</v>
      </c>
      <c r="AD3" s="38">
        <v>2011</v>
      </c>
      <c r="AE3" s="38">
        <v>2011</v>
      </c>
      <c r="AF3" s="40" t="s">
        <v>32</v>
      </c>
    </row>
    <row r="4" spans="1:32">
      <c r="C4" s="40" t="s">
        <v>0</v>
      </c>
      <c r="D4" s="40" t="s">
        <v>1</v>
      </c>
      <c r="E4" s="40" t="s">
        <v>2</v>
      </c>
      <c r="F4" s="40" t="s">
        <v>3</v>
      </c>
      <c r="G4" s="40" t="s">
        <v>4</v>
      </c>
      <c r="H4" s="40" t="s">
        <v>5</v>
      </c>
      <c r="I4" s="40" t="s">
        <v>6</v>
      </c>
      <c r="J4" s="40" t="s">
        <v>7</v>
      </c>
      <c r="K4" s="40" t="s">
        <v>8</v>
      </c>
      <c r="L4" s="40" t="s">
        <v>9</v>
      </c>
      <c r="M4" s="40" t="s">
        <v>10</v>
      </c>
      <c r="N4" s="40" t="s">
        <v>11</v>
      </c>
      <c r="O4" s="40"/>
      <c r="P4" s="40" t="s">
        <v>70</v>
      </c>
      <c r="Q4" s="40" t="s">
        <v>71</v>
      </c>
      <c r="R4" s="40" t="s">
        <v>72</v>
      </c>
      <c r="S4" s="40" t="s">
        <v>73</v>
      </c>
      <c r="T4" s="38" t="s">
        <v>0</v>
      </c>
      <c r="U4" s="38" t="s">
        <v>1</v>
      </c>
      <c r="V4" s="38" t="s">
        <v>2</v>
      </c>
      <c r="W4" s="38" t="s">
        <v>3</v>
      </c>
      <c r="X4" s="38" t="s">
        <v>4</v>
      </c>
      <c r="Y4" s="38" t="s">
        <v>5</v>
      </c>
      <c r="Z4" s="38" t="s">
        <v>6</v>
      </c>
      <c r="AA4" s="38" t="s">
        <v>7</v>
      </c>
      <c r="AB4" s="38" t="s">
        <v>8</v>
      </c>
      <c r="AC4" s="38" t="s">
        <v>9</v>
      </c>
      <c r="AD4" s="38" t="s">
        <v>10</v>
      </c>
      <c r="AE4" s="38" t="s">
        <v>11</v>
      </c>
    </row>
    <row r="5" spans="1:32">
      <c r="A5" s="38" t="s">
        <v>22</v>
      </c>
      <c r="B5" s="38" t="s">
        <v>13</v>
      </c>
      <c r="C5" s="41">
        <v>3795499</v>
      </c>
      <c r="D5" s="41">
        <v>3261878.6346973972</v>
      </c>
      <c r="E5" s="41">
        <v>2653598.2539532417</v>
      </c>
      <c r="F5" s="41">
        <v>2736984.2219213285</v>
      </c>
      <c r="G5" s="41">
        <v>2605594.4430444548</v>
      </c>
      <c r="H5" s="41">
        <v>1881647.0945338053</v>
      </c>
      <c r="I5" s="41">
        <v>1659379.0958924594</v>
      </c>
      <c r="J5" s="41">
        <v>1052788.8915087478</v>
      </c>
      <c r="K5" s="41">
        <v>46670.388118010946</v>
      </c>
      <c r="L5" s="41">
        <v>-165284.32144694962</v>
      </c>
      <c r="M5" s="41">
        <v>-165284.32144694962</v>
      </c>
      <c r="N5" s="41">
        <v>-165284.32144694962</v>
      </c>
      <c r="P5" s="42">
        <v>3795499</v>
      </c>
      <c r="Q5" s="45">
        <v>2736984.2219213285</v>
      </c>
      <c r="R5" s="45">
        <v>1659379.0958924592</v>
      </c>
    </row>
    <row r="6" spans="1:32">
      <c r="C6" s="43"/>
      <c r="D6" s="43"/>
      <c r="E6" s="43"/>
      <c r="F6" s="43"/>
      <c r="G6" s="43"/>
      <c r="H6" s="43"/>
      <c r="I6" s="43"/>
      <c r="J6" s="43"/>
      <c r="K6" s="43"/>
      <c r="L6" s="43"/>
      <c r="M6" s="43"/>
      <c r="N6" s="43"/>
    </row>
    <row r="7" spans="1:32">
      <c r="B7" s="38" t="s">
        <v>14</v>
      </c>
      <c r="C7" s="44">
        <v>1738493.1079273054</v>
      </c>
      <c r="D7" s="44">
        <v>1558222.5118301671</v>
      </c>
      <c r="E7" s="44">
        <v>1460105.3914799262</v>
      </c>
      <c r="F7" s="44">
        <v>1235296.8394850942</v>
      </c>
      <c r="G7" s="44">
        <v>1265114.5475734838</v>
      </c>
      <c r="H7" s="44">
        <v>1281951.6614913556</v>
      </c>
      <c r="I7" s="44">
        <v>1398098.541419263</v>
      </c>
      <c r="J7" s="44">
        <v>1441661.5086758845</v>
      </c>
      <c r="K7" s="44">
        <v>1342411.8521849632</v>
      </c>
      <c r="L7" s="44">
        <v>1373772.9692104692</v>
      </c>
      <c r="M7" s="44">
        <v>1448813.5812285233</v>
      </c>
      <c r="N7" s="44">
        <v>1627888.0756961908</v>
      </c>
      <c r="O7" s="45">
        <v>17171830.588202622</v>
      </c>
      <c r="P7" s="45">
        <v>4756821.0112373987</v>
      </c>
      <c r="Q7" s="45">
        <v>3782363.0485499334</v>
      </c>
      <c r="R7" s="45">
        <v>4182171.9022801109</v>
      </c>
      <c r="S7" s="45">
        <v>4450474.6261351835</v>
      </c>
    </row>
    <row r="8" spans="1:32">
      <c r="A8" s="38" t="s">
        <v>21</v>
      </c>
      <c r="B8" s="38" t="s">
        <v>15</v>
      </c>
      <c r="C8" s="43">
        <v>1642482.7053026026</v>
      </c>
      <c r="D8" s="43">
        <v>1467176.8207441554</v>
      </c>
      <c r="E8" s="43">
        <v>1395262.0520319131</v>
      </c>
      <c r="F8" s="43">
        <v>1381324.7788768739</v>
      </c>
      <c r="G8" s="43">
        <v>1284412.3485106495</v>
      </c>
      <c r="H8" s="43">
        <v>1238746.9986413459</v>
      </c>
      <c r="I8" s="43">
        <v>1246604.2043837116</v>
      </c>
      <c r="J8" s="43">
        <v>2014938.5033907369</v>
      </c>
      <c r="K8" s="43">
        <v>1331128.7095649606</v>
      </c>
      <c r="L8" s="43">
        <v>0</v>
      </c>
      <c r="M8" s="43">
        <v>0</v>
      </c>
      <c r="N8" s="43">
        <v>0</v>
      </c>
      <c r="O8" s="45">
        <v>13002077.121446948</v>
      </c>
      <c r="P8" s="45">
        <v>4504921.5780786714</v>
      </c>
      <c r="Q8" s="45">
        <v>3904484.1260288693</v>
      </c>
      <c r="R8" s="45">
        <v>4592671.4173394088</v>
      </c>
      <c r="S8" s="45">
        <v>0</v>
      </c>
    </row>
    <row r="9" spans="1:32">
      <c r="B9" s="38" t="s">
        <v>16</v>
      </c>
      <c r="C9" s="46">
        <v>-96010.40262470278</v>
      </c>
      <c r="D9" s="46">
        <v>-91045.691086011706</v>
      </c>
      <c r="E9" s="46">
        <v>-64843.33944801311</v>
      </c>
      <c r="F9" s="46">
        <v>146027.93939177971</v>
      </c>
      <c r="G9" s="46">
        <v>19297.800937165739</v>
      </c>
      <c r="H9" s="46">
        <v>-43204.662850009743</v>
      </c>
      <c r="I9" s="46">
        <v>-151494.33703555143</v>
      </c>
      <c r="J9" s="46">
        <v>573276.99471485242</v>
      </c>
      <c r="K9" s="46">
        <v>-11283.142620002618</v>
      </c>
      <c r="L9" s="46">
        <v>-1373772.9692104692</v>
      </c>
      <c r="M9" s="46">
        <v>-1448813.5812285233</v>
      </c>
      <c r="N9" s="46">
        <v>-1627888.0756961908</v>
      </c>
      <c r="O9" s="46">
        <v>-4169753.466755677</v>
      </c>
      <c r="P9" s="46">
        <v>-251899.43315872736</v>
      </c>
      <c r="Q9" s="46">
        <v>122121.07747893594</v>
      </c>
      <c r="R9" s="46">
        <v>410499.5150592979</v>
      </c>
      <c r="S9" s="46">
        <v>-4450474.6261351835</v>
      </c>
    </row>
    <row r="10" spans="1:32">
      <c r="C10" s="43"/>
      <c r="D10" s="43"/>
      <c r="E10" s="43"/>
      <c r="F10" s="43"/>
      <c r="G10" s="43"/>
      <c r="H10" s="43"/>
      <c r="I10" s="43"/>
      <c r="J10" s="43"/>
      <c r="K10" s="43"/>
      <c r="L10" s="43"/>
      <c r="M10" s="43"/>
      <c r="N10" s="43"/>
    </row>
    <row r="11" spans="1:32">
      <c r="B11" s="38" t="s">
        <v>18</v>
      </c>
      <c r="C11" s="43">
        <v>1032112.5833333335</v>
      </c>
      <c r="D11" s="43">
        <v>1032112.5833333335</v>
      </c>
      <c r="E11" s="43">
        <v>1032112.5833333335</v>
      </c>
      <c r="F11" s="43">
        <v>1032112.5833333335</v>
      </c>
      <c r="G11" s="43">
        <v>1032112.5833333335</v>
      </c>
      <c r="H11" s="43">
        <v>1032112.5833333335</v>
      </c>
      <c r="I11" s="43">
        <v>1032112.5833333335</v>
      </c>
      <c r="J11" s="43">
        <v>1032112.5833333335</v>
      </c>
      <c r="K11" s="43">
        <v>1032112.5833333335</v>
      </c>
      <c r="L11" s="43">
        <v>1032112.5833333335</v>
      </c>
      <c r="M11" s="43">
        <v>1032112.5833333335</v>
      </c>
      <c r="N11" s="43">
        <v>1032111.9233333333</v>
      </c>
      <c r="O11" s="45">
        <v>12385350.340000005</v>
      </c>
      <c r="P11" s="45">
        <v>3096337.7500000005</v>
      </c>
      <c r="Q11" s="45">
        <v>3096337.7500000005</v>
      </c>
      <c r="R11" s="45">
        <v>3096337.7500000005</v>
      </c>
      <c r="S11" s="45">
        <v>3096337.0900000003</v>
      </c>
    </row>
    <row r="12" spans="1:32">
      <c r="A12" s="38" t="s">
        <v>20</v>
      </c>
      <c r="B12" s="38" t="s">
        <v>17</v>
      </c>
      <c r="C12" s="43">
        <v>1108862.3399999999</v>
      </c>
      <c r="D12" s="43">
        <v>858896.44000000018</v>
      </c>
      <c r="E12" s="43">
        <v>1478648.02</v>
      </c>
      <c r="F12" s="43">
        <v>1249935</v>
      </c>
      <c r="G12" s="43">
        <v>560465</v>
      </c>
      <c r="H12" s="43">
        <v>1016479</v>
      </c>
      <c r="I12" s="43">
        <v>640014</v>
      </c>
      <c r="J12" s="43">
        <v>1008820</v>
      </c>
      <c r="K12" s="43">
        <v>1119174</v>
      </c>
      <c r="L12" s="43">
        <v>0</v>
      </c>
      <c r="M12" s="43">
        <v>0</v>
      </c>
      <c r="N12" s="43">
        <v>0</v>
      </c>
      <c r="O12" s="45">
        <v>9041293.8000000007</v>
      </c>
      <c r="P12" s="45">
        <v>3446406.8</v>
      </c>
      <c r="Q12" s="45">
        <v>2826879</v>
      </c>
      <c r="R12" s="45">
        <v>2768008</v>
      </c>
      <c r="S12" s="45">
        <v>0</v>
      </c>
    </row>
    <row r="13" spans="1:32">
      <c r="B13" s="38" t="s">
        <v>19</v>
      </c>
      <c r="C13" s="47">
        <v>-76749.756666666362</v>
      </c>
      <c r="D13" s="47">
        <v>173216.14333333331</v>
      </c>
      <c r="E13" s="47">
        <v>-446535.43666666653</v>
      </c>
      <c r="F13" s="47">
        <v>-217822.41666666651</v>
      </c>
      <c r="G13" s="47">
        <v>471647.58333333349</v>
      </c>
      <c r="H13" s="47">
        <v>15633.583333333489</v>
      </c>
      <c r="I13" s="47">
        <v>392098.58333333349</v>
      </c>
      <c r="J13" s="47">
        <v>23292.583333333489</v>
      </c>
      <c r="K13" s="47">
        <v>-87061.416666666511</v>
      </c>
      <c r="L13" s="47">
        <v>1032112.5833333335</v>
      </c>
      <c r="M13" s="47">
        <v>1032112.5833333335</v>
      </c>
      <c r="N13" s="47">
        <v>1032111.9233333333</v>
      </c>
      <c r="O13" s="46">
        <v>3344056.5400000014</v>
      </c>
      <c r="P13" s="47">
        <v>-350069.04999999935</v>
      </c>
      <c r="Q13" s="47">
        <v>269458.75000000047</v>
      </c>
      <c r="R13" s="47">
        <v>328329.75000000047</v>
      </c>
      <c r="S13" s="47">
        <v>3096337.0900000003</v>
      </c>
    </row>
    <row r="14" spans="1:32">
      <c r="C14" s="43"/>
      <c r="D14" s="43"/>
      <c r="E14" s="43"/>
      <c r="F14" s="43"/>
      <c r="G14" s="43"/>
      <c r="H14" s="43"/>
      <c r="I14" s="43"/>
      <c r="J14" s="43"/>
      <c r="K14" s="43"/>
      <c r="L14" s="43"/>
      <c r="M14" s="43"/>
      <c r="N14" s="43"/>
    </row>
    <row r="15" spans="1:32" ht="30">
      <c r="A15" s="38" t="s">
        <v>24</v>
      </c>
      <c r="B15" s="48" t="s">
        <v>23</v>
      </c>
      <c r="C15" s="43">
        <v>533620.36530260276</v>
      </c>
      <c r="D15" s="43">
        <v>608280.38074415526</v>
      </c>
      <c r="E15" s="43">
        <v>-83385.967968086945</v>
      </c>
      <c r="F15" s="43">
        <v>131389.7788768739</v>
      </c>
      <c r="G15" s="43">
        <v>723947.34851064952</v>
      </c>
      <c r="H15" s="43">
        <v>222267.99864134588</v>
      </c>
      <c r="I15" s="43">
        <v>606590.20438371156</v>
      </c>
      <c r="J15" s="43">
        <v>1006118.5033907369</v>
      </c>
      <c r="K15" s="43">
        <v>211954.70956496056</v>
      </c>
      <c r="L15" s="43">
        <v>0</v>
      </c>
      <c r="M15" s="43">
        <v>0</v>
      </c>
      <c r="N15" s="43">
        <v>0</v>
      </c>
      <c r="O15" s="43">
        <v>3960783.3214469478</v>
      </c>
      <c r="P15" s="43">
        <v>1058514.7780786715</v>
      </c>
      <c r="Q15" s="43">
        <v>1077605.1260288693</v>
      </c>
      <c r="R15" s="43">
        <v>1824663.4173394088</v>
      </c>
      <c r="S15" s="43">
        <v>0</v>
      </c>
    </row>
    <row r="16" spans="1:32">
      <c r="C16" s="43"/>
      <c r="D16" s="43"/>
      <c r="E16" s="43"/>
      <c r="F16" s="43"/>
      <c r="G16" s="43"/>
      <c r="H16" s="43"/>
      <c r="I16" s="43"/>
      <c r="J16" s="43"/>
      <c r="K16" s="43"/>
      <c r="L16" s="43"/>
      <c r="M16" s="43"/>
      <c r="N16" s="43"/>
    </row>
    <row r="17" spans="2:19" ht="15.75" thickBot="1">
      <c r="B17" s="38" t="s">
        <v>25</v>
      </c>
      <c r="C17" s="58">
        <v>3261878.6346973972</v>
      </c>
      <c r="D17" s="58">
        <v>2653598.2539532417</v>
      </c>
      <c r="E17" s="58">
        <v>2736984.2219213285</v>
      </c>
      <c r="F17" s="58">
        <v>2605594.4430444548</v>
      </c>
      <c r="G17" s="58">
        <v>1881647.0945338053</v>
      </c>
      <c r="H17" s="58">
        <v>1659379.0958924594</v>
      </c>
      <c r="I17" s="58">
        <v>1052788.8915087478</v>
      </c>
      <c r="J17" s="58">
        <v>46670.388118010946</v>
      </c>
      <c r="K17" s="58">
        <v>-165284.32144694962</v>
      </c>
      <c r="L17" s="58">
        <v>-165284.32144694962</v>
      </c>
      <c r="M17" s="58">
        <v>-165284.32144694962</v>
      </c>
      <c r="N17" s="58">
        <v>-165284.32144694962</v>
      </c>
      <c r="O17" s="45"/>
      <c r="P17" s="45">
        <v>2736984.2219213285</v>
      </c>
      <c r="Q17" s="45">
        <v>1659379.0958924592</v>
      </c>
      <c r="R17" s="45">
        <v>-165284.32144694962</v>
      </c>
      <c r="S17" s="45">
        <v>0</v>
      </c>
    </row>
    <row r="18" spans="2:19" ht="15.75" thickTop="1"/>
    <row r="19" spans="2:19">
      <c r="B19" s="38" t="s">
        <v>30</v>
      </c>
      <c r="E19" s="45"/>
      <c r="F19" s="45"/>
      <c r="G19" s="45"/>
      <c r="H19" s="45"/>
      <c r="I19" s="45"/>
      <c r="J19" s="45"/>
      <c r="K19" s="45"/>
      <c r="L19" s="45">
        <v>-341660.38587713568</v>
      </c>
      <c r="M19" s="45">
        <v>-758361.38377232547</v>
      </c>
      <c r="N19" s="45">
        <v>-1354137.5361351832</v>
      </c>
      <c r="P19" s="45"/>
    </row>
    <row r="20" spans="2:19">
      <c r="E20" s="45"/>
      <c r="F20" s="45"/>
      <c r="G20" s="45"/>
      <c r="H20" s="45"/>
      <c r="I20" s="45"/>
      <c r="J20" s="45"/>
      <c r="K20" s="45"/>
      <c r="L20" s="45"/>
      <c r="M20" s="45"/>
      <c r="N20" s="45"/>
    </row>
    <row r="22" spans="2:19">
      <c r="B22" s="49" t="s">
        <v>26</v>
      </c>
      <c r="C22" s="37"/>
      <c r="D22" s="37"/>
      <c r="E22" s="37"/>
      <c r="F22" s="37"/>
      <c r="G22" s="37"/>
      <c r="H22" s="37"/>
      <c r="I22" s="37"/>
      <c r="J22" s="37"/>
      <c r="K22" s="37"/>
      <c r="L22" s="37"/>
      <c r="M22" s="37"/>
      <c r="N22" s="37"/>
      <c r="O22" s="37"/>
    </row>
    <row r="23" spans="2:19" ht="31.5" customHeight="1">
      <c r="B23" s="90" t="s">
        <v>53</v>
      </c>
      <c r="C23" s="90"/>
      <c r="D23" s="90"/>
      <c r="E23" s="90"/>
      <c r="F23" s="90"/>
      <c r="G23" s="90"/>
      <c r="H23" s="90"/>
      <c r="I23" s="90"/>
      <c r="J23" s="90"/>
      <c r="K23" s="90"/>
      <c r="L23" s="90"/>
      <c r="M23" s="90"/>
      <c r="N23" s="90"/>
      <c r="O23" s="90"/>
    </row>
    <row r="24" spans="2:19" ht="30" customHeight="1">
      <c r="B24" s="90" t="s">
        <v>54</v>
      </c>
      <c r="C24" s="90"/>
      <c r="D24" s="90"/>
      <c r="E24" s="90"/>
      <c r="F24" s="90"/>
      <c r="G24" s="90"/>
      <c r="H24" s="90"/>
      <c r="I24" s="90"/>
      <c r="J24" s="90"/>
      <c r="K24" s="90"/>
      <c r="L24" s="90"/>
      <c r="M24" s="90"/>
      <c r="N24" s="90"/>
      <c r="O24" s="90"/>
    </row>
    <row r="25" spans="2:19" ht="30.75" customHeight="1">
      <c r="B25" s="90" t="s">
        <v>126</v>
      </c>
      <c r="C25" s="90"/>
      <c r="D25" s="90"/>
      <c r="E25" s="90"/>
      <c r="F25" s="90"/>
      <c r="G25" s="90"/>
      <c r="H25" s="90"/>
      <c r="I25" s="90"/>
      <c r="J25" s="90"/>
      <c r="K25" s="90"/>
      <c r="L25" s="90"/>
      <c r="M25" s="90"/>
      <c r="N25" s="90"/>
      <c r="O25" s="90"/>
    </row>
    <row r="26" spans="2:19">
      <c r="B26" s="90" t="s">
        <v>133</v>
      </c>
      <c r="C26" s="90"/>
      <c r="D26" s="90"/>
      <c r="E26" s="90"/>
      <c r="F26" s="90"/>
      <c r="G26" s="90"/>
      <c r="H26" s="90"/>
      <c r="I26" s="90"/>
      <c r="J26" s="90"/>
      <c r="K26" s="90"/>
      <c r="L26" s="90"/>
      <c r="M26" s="90"/>
      <c r="N26" s="90"/>
      <c r="O26" s="90"/>
    </row>
    <row r="27" spans="2:19">
      <c r="B27" s="90" t="s">
        <v>137</v>
      </c>
      <c r="C27" s="90"/>
      <c r="D27" s="90"/>
      <c r="E27" s="90"/>
      <c r="F27" s="90"/>
      <c r="G27" s="90"/>
      <c r="H27" s="90"/>
      <c r="I27" s="90"/>
      <c r="J27" s="90"/>
      <c r="K27" s="90"/>
      <c r="L27" s="90"/>
      <c r="M27" s="90"/>
      <c r="N27" s="90"/>
      <c r="O27" s="90"/>
    </row>
    <row r="28" spans="2:19">
      <c r="B28" s="39" t="s">
        <v>144</v>
      </c>
    </row>
    <row r="29" spans="2:19">
      <c r="B29" s="89" t="s">
        <v>158</v>
      </c>
      <c r="C29" s="89"/>
      <c r="D29" s="89"/>
      <c r="E29" s="89"/>
      <c r="F29" s="89"/>
      <c r="G29" s="89"/>
      <c r="H29" s="89"/>
      <c r="I29" s="89"/>
      <c r="J29" s="89"/>
      <c r="K29" s="89"/>
      <c r="L29" s="89"/>
      <c r="M29" s="89"/>
      <c r="N29" s="89"/>
    </row>
    <row r="30" spans="2:19">
      <c r="B30" s="89" t="s">
        <v>162</v>
      </c>
      <c r="C30" s="89"/>
      <c r="D30" s="89"/>
      <c r="E30" s="89"/>
      <c r="F30" s="89"/>
      <c r="G30" s="89"/>
      <c r="H30" s="89"/>
      <c r="I30" s="89"/>
      <c r="J30" s="89"/>
      <c r="K30" s="89"/>
      <c r="L30" s="89"/>
      <c r="M30" s="89"/>
      <c r="N30" s="89"/>
    </row>
    <row r="31" spans="2:19">
      <c r="B31" s="89" t="s">
        <v>177</v>
      </c>
      <c r="C31" s="89"/>
      <c r="D31" s="89"/>
      <c r="E31" s="89"/>
      <c r="F31" s="89"/>
      <c r="G31" s="89"/>
      <c r="H31" s="89"/>
      <c r="I31" s="89"/>
      <c r="J31" s="89"/>
      <c r="K31" s="89"/>
      <c r="L31" s="89"/>
      <c r="M31" s="89"/>
      <c r="N31" s="89"/>
    </row>
  </sheetData>
  <mergeCells count="8">
    <mergeCell ref="B31:N31"/>
    <mergeCell ref="B30:N30"/>
    <mergeCell ref="B29:N29"/>
    <mergeCell ref="B23:O23"/>
    <mergeCell ref="B24:O24"/>
    <mergeCell ref="B25:O25"/>
    <mergeCell ref="B26:O26"/>
    <mergeCell ref="B27:O27"/>
  </mergeCells>
  <pageMargins left="0" right="0" top="0.75" bottom="0.75" header="0.3" footer="0.3"/>
  <pageSetup scale="65" orientation="landscape" r:id="rId1"/>
  <legacyDrawing r:id="rId2"/>
</worksheet>
</file>

<file path=xl/worksheets/sheet4.xml><?xml version="1.0" encoding="utf-8"?>
<worksheet xmlns="http://schemas.openxmlformats.org/spreadsheetml/2006/main" xmlns:r="http://schemas.openxmlformats.org/officeDocument/2006/relationships">
  <sheetPr>
    <tabColor theme="7" tint="0.39997558519241921"/>
  </sheetPr>
  <dimension ref="A2:BD117"/>
  <sheetViews>
    <sheetView workbookViewId="0">
      <pane xSplit="2" ySplit="4" topLeftCell="C74" activePane="bottomRight" state="frozen"/>
      <selection activeCell="C34" sqref="C34"/>
      <selection pane="topRight" activeCell="C34" sqref="C34"/>
      <selection pane="bottomLeft" activeCell="C34" sqref="C34"/>
      <selection pane="bottomRight" activeCell="B118" sqref="B118"/>
    </sheetView>
  </sheetViews>
  <sheetFormatPr defaultRowHeight="15"/>
  <cols>
    <col min="1" max="1" width="10.28515625" bestFit="1" customWidth="1"/>
    <col min="2" max="2" width="43.28515625" customWidth="1"/>
    <col min="3" max="3" width="11.42578125" style="13" bestFit="1" customWidth="1"/>
    <col min="4" max="4" width="12.42578125" style="13" bestFit="1" customWidth="1"/>
    <col min="5" max="5" width="11.42578125" style="13" bestFit="1" customWidth="1"/>
    <col min="6" max="14" width="9.85546875" style="13" bestFit="1" customWidth="1"/>
    <col min="15" max="15" width="11.28515625" style="13" bestFit="1" customWidth="1"/>
    <col min="16" max="28" width="11.7109375" style="13" hidden="1" customWidth="1"/>
    <col min="29" max="34" width="11.7109375" style="13" customWidth="1"/>
    <col min="35" max="56" width="11.7109375" style="7" customWidth="1"/>
  </cols>
  <sheetData>
    <row r="2" spans="1:28">
      <c r="B2" s="37" t="s">
        <v>12</v>
      </c>
    </row>
    <row r="3" spans="1:28">
      <c r="B3" s="5" t="s">
        <v>47</v>
      </c>
      <c r="C3" s="14">
        <v>2010</v>
      </c>
      <c r="D3" s="14">
        <v>2010</v>
      </c>
      <c r="E3" s="14">
        <v>2010</v>
      </c>
      <c r="F3" s="14">
        <v>2010</v>
      </c>
      <c r="G3" s="14">
        <v>2010</v>
      </c>
      <c r="H3" s="14">
        <v>2010</v>
      </c>
      <c r="I3" s="14">
        <v>2010</v>
      </c>
      <c r="J3" s="14">
        <v>2010</v>
      </c>
      <c r="K3" s="14">
        <v>2010</v>
      </c>
      <c r="L3" s="14">
        <v>2010</v>
      </c>
      <c r="M3" s="14">
        <v>2010</v>
      </c>
      <c r="N3" s="14">
        <v>2010</v>
      </c>
      <c r="O3" s="14" t="s">
        <v>31</v>
      </c>
      <c r="P3" s="14">
        <v>2011</v>
      </c>
      <c r="Q3" s="14">
        <v>2011</v>
      </c>
      <c r="R3" s="14">
        <v>2011</v>
      </c>
      <c r="S3" s="14">
        <v>2011</v>
      </c>
      <c r="T3" s="14">
        <v>2011</v>
      </c>
      <c r="U3" s="14">
        <v>2011</v>
      </c>
      <c r="V3" s="14">
        <v>2011</v>
      </c>
      <c r="W3" s="14">
        <v>2011</v>
      </c>
      <c r="X3" s="14">
        <v>2011</v>
      </c>
      <c r="Y3" s="14">
        <v>2011</v>
      </c>
      <c r="Z3" s="14">
        <v>2011</v>
      </c>
      <c r="AA3" s="14">
        <v>2011</v>
      </c>
      <c r="AB3" s="14" t="s">
        <v>32</v>
      </c>
    </row>
    <row r="4" spans="1:28">
      <c r="C4" s="17" t="s">
        <v>0</v>
      </c>
      <c r="D4" s="17" t="s">
        <v>1</v>
      </c>
      <c r="E4" s="17" t="s">
        <v>2</v>
      </c>
      <c r="F4" s="17" t="s">
        <v>3</v>
      </c>
      <c r="G4" s="17" t="s">
        <v>4</v>
      </c>
      <c r="H4" s="17" t="s">
        <v>5</v>
      </c>
      <c r="I4" s="17" t="s">
        <v>6</v>
      </c>
      <c r="J4" s="17" t="s">
        <v>7</v>
      </c>
      <c r="K4" s="17" t="s">
        <v>8</v>
      </c>
      <c r="L4" s="17" t="s">
        <v>9</v>
      </c>
      <c r="M4" s="17" t="s">
        <v>10</v>
      </c>
      <c r="N4" s="17" t="s">
        <v>11</v>
      </c>
      <c r="O4" s="17"/>
      <c r="P4" s="14" t="s">
        <v>0</v>
      </c>
      <c r="Q4" s="14" t="s">
        <v>1</v>
      </c>
      <c r="R4" s="14" t="s">
        <v>2</v>
      </c>
      <c r="S4" s="14" t="s">
        <v>3</v>
      </c>
      <c r="T4" s="14" t="s">
        <v>4</v>
      </c>
      <c r="U4" s="14" t="s">
        <v>5</v>
      </c>
      <c r="V4" s="14" t="s">
        <v>6</v>
      </c>
      <c r="W4" s="14" t="s">
        <v>7</v>
      </c>
      <c r="X4" s="14" t="s">
        <v>8</v>
      </c>
      <c r="Y4" s="14" t="s">
        <v>9</v>
      </c>
      <c r="Z4" s="14" t="s">
        <v>10</v>
      </c>
      <c r="AA4" s="14" t="s">
        <v>11</v>
      </c>
      <c r="AB4" s="14"/>
    </row>
    <row r="5" spans="1:28">
      <c r="E5" s="15"/>
      <c r="F5" s="15"/>
      <c r="G5" s="15"/>
      <c r="H5" s="15"/>
      <c r="I5" s="15"/>
      <c r="J5" s="15"/>
      <c r="K5" s="15"/>
      <c r="L5" s="15"/>
      <c r="M5" s="15"/>
      <c r="N5" s="15"/>
    </row>
    <row r="6" spans="1:28">
      <c r="B6" s="9" t="s">
        <v>84</v>
      </c>
      <c r="E6" s="15"/>
      <c r="F6" s="15"/>
      <c r="G6" s="15"/>
      <c r="H6" s="15"/>
      <c r="I6" s="15"/>
      <c r="J6" s="15"/>
      <c r="K6" s="15"/>
      <c r="L6" s="15"/>
      <c r="M6" s="15"/>
      <c r="N6" s="15"/>
      <c r="O6" s="16"/>
    </row>
    <row r="7" spans="1:28">
      <c r="B7" s="5" t="s">
        <v>34</v>
      </c>
      <c r="C7" s="20">
        <f>4832969/12</f>
        <v>402747.41666666669</v>
      </c>
      <c r="D7" s="18">
        <f t="shared" ref="D7:M7" si="0">4832969/12</f>
        <v>402747.41666666669</v>
      </c>
      <c r="E7" s="18">
        <f t="shared" si="0"/>
        <v>402747.41666666669</v>
      </c>
      <c r="F7" s="18">
        <f t="shared" si="0"/>
        <v>402747.41666666669</v>
      </c>
      <c r="G7" s="18">
        <f t="shared" si="0"/>
        <v>402747.41666666669</v>
      </c>
      <c r="H7" s="18">
        <f t="shared" si="0"/>
        <v>402747.41666666669</v>
      </c>
      <c r="I7" s="18">
        <f t="shared" si="0"/>
        <v>402747.41666666669</v>
      </c>
      <c r="J7" s="18">
        <f t="shared" si="0"/>
        <v>402747.41666666669</v>
      </c>
      <c r="K7" s="18">
        <f t="shared" si="0"/>
        <v>402747.41666666669</v>
      </c>
      <c r="L7" s="18">
        <f t="shared" si="0"/>
        <v>402747.41666666669</v>
      </c>
      <c r="M7" s="18">
        <f t="shared" si="0"/>
        <v>402747.41666666669</v>
      </c>
      <c r="N7" s="18">
        <f>(4832969/12)-0.33</f>
        <v>402747.08666666667</v>
      </c>
      <c r="O7" s="16">
        <f t="shared" ref="O7:O13" si="1">SUM(C7:N7)</f>
        <v>4832968.67</v>
      </c>
    </row>
    <row r="8" spans="1:28">
      <c r="B8" s="5" t="s">
        <v>35</v>
      </c>
      <c r="C8" s="18">
        <f>2127260/12</f>
        <v>177271.66666666666</v>
      </c>
      <c r="D8" s="18">
        <f t="shared" ref="D8:N8" si="2">2127260/12</f>
        <v>177271.66666666666</v>
      </c>
      <c r="E8" s="18">
        <f t="shared" si="2"/>
        <v>177271.66666666666</v>
      </c>
      <c r="F8" s="18">
        <f t="shared" si="2"/>
        <v>177271.66666666666</v>
      </c>
      <c r="G8" s="18">
        <f t="shared" si="2"/>
        <v>177271.66666666666</v>
      </c>
      <c r="H8" s="18">
        <f t="shared" si="2"/>
        <v>177271.66666666666</v>
      </c>
      <c r="I8" s="18">
        <f t="shared" si="2"/>
        <v>177271.66666666666</v>
      </c>
      <c r="J8" s="18">
        <f t="shared" si="2"/>
        <v>177271.66666666666</v>
      </c>
      <c r="K8" s="18">
        <f t="shared" si="2"/>
        <v>177271.66666666666</v>
      </c>
      <c r="L8" s="18">
        <f t="shared" si="2"/>
        <v>177271.66666666666</v>
      </c>
      <c r="M8" s="18">
        <f t="shared" si="2"/>
        <v>177271.66666666666</v>
      </c>
      <c r="N8" s="18">
        <f t="shared" si="2"/>
        <v>177271.66666666666</v>
      </c>
      <c r="O8" s="16">
        <f t="shared" si="1"/>
        <v>2127260.0000000005</v>
      </c>
    </row>
    <row r="9" spans="1:28">
      <c r="B9" s="5" t="s">
        <v>36</v>
      </c>
      <c r="C9" s="18">
        <f>695890/12</f>
        <v>57990.833333333336</v>
      </c>
      <c r="D9" s="18">
        <f t="shared" ref="D9:N9" si="3">695890/12</f>
        <v>57990.833333333336</v>
      </c>
      <c r="E9" s="18">
        <f t="shared" si="3"/>
        <v>57990.833333333336</v>
      </c>
      <c r="F9" s="18">
        <f t="shared" si="3"/>
        <v>57990.833333333336</v>
      </c>
      <c r="G9" s="18">
        <f t="shared" si="3"/>
        <v>57990.833333333336</v>
      </c>
      <c r="H9" s="18">
        <f t="shared" si="3"/>
        <v>57990.833333333336</v>
      </c>
      <c r="I9" s="18">
        <f t="shared" si="3"/>
        <v>57990.833333333336</v>
      </c>
      <c r="J9" s="18">
        <f t="shared" si="3"/>
        <v>57990.833333333336</v>
      </c>
      <c r="K9" s="18">
        <f t="shared" si="3"/>
        <v>57990.833333333336</v>
      </c>
      <c r="L9" s="18">
        <f t="shared" si="3"/>
        <v>57990.833333333336</v>
      </c>
      <c r="M9" s="18">
        <f t="shared" si="3"/>
        <v>57990.833333333336</v>
      </c>
      <c r="N9" s="18">
        <f t="shared" si="3"/>
        <v>57990.833333333336</v>
      </c>
      <c r="O9" s="16">
        <f t="shared" si="1"/>
        <v>695890</v>
      </c>
    </row>
    <row r="10" spans="1:28" hidden="1">
      <c r="B10" s="5" t="s">
        <v>37</v>
      </c>
      <c r="E10" s="15"/>
      <c r="F10" s="15"/>
      <c r="G10" s="15"/>
      <c r="H10" s="15"/>
      <c r="I10" s="15"/>
      <c r="J10" s="15"/>
      <c r="K10" s="15"/>
      <c r="L10" s="15"/>
      <c r="M10" s="15"/>
      <c r="N10" s="15"/>
      <c r="O10" s="16">
        <f t="shared" si="1"/>
        <v>0</v>
      </c>
    </row>
    <row r="11" spans="1:28" hidden="1">
      <c r="B11" s="5" t="s">
        <v>38</v>
      </c>
      <c r="E11" s="15"/>
      <c r="F11" s="15"/>
      <c r="G11" s="15"/>
      <c r="H11" s="15"/>
      <c r="I11" s="15"/>
      <c r="J11" s="15"/>
      <c r="K11" s="15"/>
      <c r="L11" s="15"/>
      <c r="M11" s="15"/>
      <c r="N11" s="15"/>
      <c r="O11" s="16">
        <f t="shared" si="1"/>
        <v>0</v>
      </c>
    </row>
    <row r="12" spans="1:28" hidden="1">
      <c r="B12" s="5" t="s">
        <v>39</v>
      </c>
      <c r="E12" s="15"/>
      <c r="F12" s="15"/>
      <c r="G12" s="15"/>
      <c r="H12" s="15"/>
      <c r="I12" s="15"/>
      <c r="J12" s="15"/>
      <c r="K12" s="15"/>
      <c r="L12" s="15"/>
      <c r="M12" s="15"/>
      <c r="N12" s="15"/>
      <c r="O12" s="16">
        <f t="shared" si="1"/>
        <v>0</v>
      </c>
    </row>
    <row r="13" spans="1:28" hidden="1">
      <c r="B13" s="5" t="s">
        <v>40</v>
      </c>
      <c r="E13" s="15"/>
      <c r="F13" s="15"/>
      <c r="G13" s="15"/>
      <c r="H13" s="15"/>
      <c r="I13" s="15"/>
      <c r="J13" s="15"/>
      <c r="K13" s="15"/>
      <c r="L13" s="15"/>
      <c r="M13" s="15"/>
      <c r="N13" s="15"/>
      <c r="O13" s="16">
        <f t="shared" si="1"/>
        <v>0</v>
      </c>
    </row>
    <row r="14" spans="1:28">
      <c r="A14" t="s">
        <v>22</v>
      </c>
      <c r="B14" s="9" t="s">
        <v>41</v>
      </c>
      <c r="C14" s="19">
        <f>SUM(C7:C13)</f>
        <v>638009.91666666674</v>
      </c>
      <c r="D14" s="19">
        <f t="shared" ref="D14:N14" si="4">SUM(D7:D13)</f>
        <v>638009.91666666674</v>
      </c>
      <c r="E14" s="19">
        <f t="shared" si="4"/>
        <v>638009.91666666674</v>
      </c>
      <c r="F14" s="19">
        <f t="shared" si="4"/>
        <v>638009.91666666674</v>
      </c>
      <c r="G14" s="19">
        <f t="shared" si="4"/>
        <v>638009.91666666674</v>
      </c>
      <c r="H14" s="19">
        <f t="shared" si="4"/>
        <v>638009.91666666674</v>
      </c>
      <c r="I14" s="19">
        <f t="shared" si="4"/>
        <v>638009.91666666674</v>
      </c>
      <c r="J14" s="19">
        <f t="shared" si="4"/>
        <v>638009.91666666674</v>
      </c>
      <c r="K14" s="19">
        <f t="shared" si="4"/>
        <v>638009.91666666674</v>
      </c>
      <c r="L14" s="19">
        <f t="shared" si="4"/>
        <v>638009.91666666674</v>
      </c>
      <c r="M14" s="19">
        <f t="shared" si="4"/>
        <v>638009.91666666674</v>
      </c>
      <c r="N14" s="19">
        <f t="shared" si="4"/>
        <v>638009.58666666667</v>
      </c>
      <c r="O14" s="19">
        <f>SUM(O7:O13)</f>
        <v>7656118.6699999999</v>
      </c>
    </row>
    <row r="15" spans="1:28">
      <c r="B15" s="9"/>
      <c r="E15" s="15"/>
      <c r="F15" s="15"/>
      <c r="G15" s="15"/>
      <c r="H15" s="15"/>
      <c r="I15" s="15"/>
      <c r="J15" s="15"/>
      <c r="K15" s="15"/>
      <c r="L15" s="15"/>
      <c r="M15" s="15"/>
      <c r="N15" s="15"/>
      <c r="O15" s="16"/>
    </row>
    <row r="16" spans="1:28">
      <c r="B16" s="9" t="s">
        <v>85</v>
      </c>
      <c r="E16" s="15"/>
      <c r="F16" s="15"/>
      <c r="G16" s="15"/>
      <c r="H16" s="15"/>
      <c r="I16" s="15"/>
      <c r="J16" s="15"/>
      <c r="K16" s="15"/>
      <c r="L16" s="15"/>
      <c r="M16" s="15"/>
      <c r="N16" s="15"/>
      <c r="O16" s="16"/>
    </row>
    <row r="17" spans="1:15">
      <c r="B17" s="5" t="s">
        <v>34</v>
      </c>
      <c r="C17" s="20">
        <f>43582/12</f>
        <v>3631.8333333333335</v>
      </c>
      <c r="D17" s="20">
        <f t="shared" ref="D17:N17" si="5">43582/12</f>
        <v>3631.8333333333335</v>
      </c>
      <c r="E17" s="20">
        <f t="shared" si="5"/>
        <v>3631.8333333333335</v>
      </c>
      <c r="F17" s="20">
        <f t="shared" si="5"/>
        <v>3631.8333333333335</v>
      </c>
      <c r="G17" s="20">
        <f t="shared" si="5"/>
        <v>3631.8333333333335</v>
      </c>
      <c r="H17" s="20">
        <f t="shared" si="5"/>
        <v>3631.8333333333335</v>
      </c>
      <c r="I17" s="20">
        <f t="shared" si="5"/>
        <v>3631.8333333333335</v>
      </c>
      <c r="J17" s="20">
        <f t="shared" si="5"/>
        <v>3631.8333333333335</v>
      </c>
      <c r="K17" s="20">
        <f t="shared" si="5"/>
        <v>3631.8333333333335</v>
      </c>
      <c r="L17" s="20">
        <f t="shared" si="5"/>
        <v>3631.8333333333335</v>
      </c>
      <c r="M17" s="20">
        <f t="shared" si="5"/>
        <v>3631.8333333333335</v>
      </c>
      <c r="N17" s="20">
        <f t="shared" si="5"/>
        <v>3631.8333333333335</v>
      </c>
      <c r="O17" s="16">
        <f t="shared" ref="O17:O23" si="6">SUM(C17:N17)</f>
        <v>43582</v>
      </c>
    </row>
    <row r="18" spans="1:15">
      <c r="B18" s="5" t="s">
        <v>35</v>
      </c>
      <c r="C18" s="18">
        <f>440821/12</f>
        <v>36735.083333333336</v>
      </c>
      <c r="D18" s="18">
        <f t="shared" ref="D18:N18" si="7">440821/12</f>
        <v>36735.083333333336</v>
      </c>
      <c r="E18" s="18">
        <f t="shared" si="7"/>
        <v>36735.083333333336</v>
      </c>
      <c r="F18" s="18">
        <f t="shared" si="7"/>
        <v>36735.083333333336</v>
      </c>
      <c r="G18" s="18">
        <f t="shared" si="7"/>
        <v>36735.083333333336</v>
      </c>
      <c r="H18" s="18">
        <f t="shared" si="7"/>
        <v>36735.083333333336</v>
      </c>
      <c r="I18" s="18">
        <f t="shared" si="7"/>
        <v>36735.083333333336</v>
      </c>
      <c r="J18" s="18">
        <f t="shared" si="7"/>
        <v>36735.083333333336</v>
      </c>
      <c r="K18" s="18">
        <f t="shared" si="7"/>
        <v>36735.083333333336</v>
      </c>
      <c r="L18" s="18">
        <f t="shared" si="7"/>
        <v>36735.083333333336</v>
      </c>
      <c r="M18" s="18">
        <f t="shared" si="7"/>
        <v>36735.083333333336</v>
      </c>
      <c r="N18" s="18">
        <f t="shared" si="7"/>
        <v>36735.083333333336</v>
      </c>
      <c r="O18" s="16">
        <f t="shared" si="6"/>
        <v>440820.99999999994</v>
      </c>
    </row>
    <row r="19" spans="1:15" hidden="1">
      <c r="B19" s="5" t="s">
        <v>36</v>
      </c>
      <c r="E19" s="15"/>
      <c r="F19" s="15"/>
      <c r="G19" s="15"/>
      <c r="H19" s="15"/>
      <c r="I19" s="15"/>
      <c r="J19" s="15"/>
      <c r="K19" s="15"/>
      <c r="L19" s="15"/>
      <c r="M19" s="15"/>
      <c r="N19" s="15"/>
      <c r="O19" s="16">
        <f t="shared" si="6"/>
        <v>0</v>
      </c>
    </row>
    <row r="20" spans="1:15" hidden="1">
      <c r="B20" s="5" t="s">
        <v>37</v>
      </c>
      <c r="E20" s="15"/>
      <c r="F20" s="15"/>
      <c r="G20" s="15"/>
      <c r="H20" s="15"/>
      <c r="I20" s="15"/>
      <c r="J20" s="15"/>
      <c r="K20" s="15"/>
      <c r="L20" s="15"/>
      <c r="M20" s="15"/>
      <c r="N20" s="15"/>
      <c r="O20" s="16">
        <f t="shared" si="6"/>
        <v>0</v>
      </c>
    </row>
    <row r="21" spans="1:15" hidden="1">
      <c r="B21" s="5" t="s">
        <v>38</v>
      </c>
      <c r="E21" s="15"/>
      <c r="F21" s="15"/>
      <c r="G21" s="15"/>
      <c r="H21" s="15"/>
      <c r="I21" s="15"/>
      <c r="J21" s="15"/>
      <c r="K21" s="15"/>
      <c r="L21" s="15"/>
      <c r="M21" s="15"/>
      <c r="N21" s="15"/>
      <c r="O21" s="16">
        <f t="shared" si="6"/>
        <v>0</v>
      </c>
    </row>
    <row r="22" spans="1:15">
      <c r="B22" s="5" t="s">
        <v>39</v>
      </c>
      <c r="C22" s="18">
        <f>1459651/12</f>
        <v>121637.58333333333</v>
      </c>
      <c r="D22" s="18">
        <f t="shared" ref="D22:M22" si="8">1459651/12</f>
        <v>121637.58333333333</v>
      </c>
      <c r="E22" s="18">
        <f t="shared" si="8"/>
        <v>121637.58333333333</v>
      </c>
      <c r="F22" s="18">
        <f t="shared" si="8"/>
        <v>121637.58333333333</v>
      </c>
      <c r="G22" s="18">
        <f t="shared" si="8"/>
        <v>121637.58333333333</v>
      </c>
      <c r="H22" s="18">
        <f t="shared" si="8"/>
        <v>121637.58333333333</v>
      </c>
      <c r="I22" s="18">
        <f t="shared" si="8"/>
        <v>121637.58333333333</v>
      </c>
      <c r="J22" s="18">
        <f t="shared" si="8"/>
        <v>121637.58333333333</v>
      </c>
      <c r="K22" s="18">
        <f t="shared" si="8"/>
        <v>121637.58333333333</v>
      </c>
      <c r="L22" s="18">
        <f t="shared" si="8"/>
        <v>121637.58333333333</v>
      </c>
      <c r="M22" s="18">
        <f t="shared" si="8"/>
        <v>121637.58333333333</v>
      </c>
      <c r="N22" s="18">
        <f>(1459651/12)-0.33</f>
        <v>121637.25333333333</v>
      </c>
      <c r="O22" s="16">
        <f t="shared" si="6"/>
        <v>1459650.67</v>
      </c>
    </row>
    <row r="23" spans="1:15">
      <c r="B23" s="5" t="s">
        <v>40</v>
      </c>
      <c r="C23" s="18">
        <f>1025555/12</f>
        <v>85462.916666666672</v>
      </c>
      <c r="D23" s="18">
        <f t="shared" ref="D23:N23" si="9">1025555/12</f>
        <v>85462.916666666672</v>
      </c>
      <c r="E23" s="18">
        <f t="shared" si="9"/>
        <v>85462.916666666672</v>
      </c>
      <c r="F23" s="18">
        <f t="shared" si="9"/>
        <v>85462.916666666672</v>
      </c>
      <c r="G23" s="18">
        <f t="shared" si="9"/>
        <v>85462.916666666672</v>
      </c>
      <c r="H23" s="18">
        <f t="shared" si="9"/>
        <v>85462.916666666672</v>
      </c>
      <c r="I23" s="18">
        <f t="shared" si="9"/>
        <v>85462.916666666672</v>
      </c>
      <c r="J23" s="18">
        <f t="shared" si="9"/>
        <v>85462.916666666672</v>
      </c>
      <c r="K23" s="18">
        <f t="shared" si="9"/>
        <v>85462.916666666672</v>
      </c>
      <c r="L23" s="18">
        <f t="shared" si="9"/>
        <v>85462.916666666672</v>
      </c>
      <c r="M23" s="18">
        <f t="shared" si="9"/>
        <v>85462.916666666672</v>
      </c>
      <c r="N23" s="18">
        <f t="shared" si="9"/>
        <v>85462.916666666672</v>
      </c>
      <c r="O23" s="16">
        <f t="shared" si="6"/>
        <v>1025554.9999999999</v>
      </c>
    </row>
    <row r="24" spans="1:15">
      <c r="A24" t="s">
        <v>21</v>
      </c>
      <c r="B24" s="9" t="s">
        <v>49</v>
      </c>
      <c r="C24" s="19">
        <f t="shared" ref="C24:N24" si="10">SUM(C17:C23)</f>
        <v>247467.41666666669</v>
      </c>
      <c r="D24" s="19">
        <f t="shared" si="10"/>
        <v>247467.41666666669</v>
      </c>
      <c r="E24" s="19">
        <f t="shared" si="10"/>
        <v>247467.41666666669</v>
      </c>
      <c r="F24" s="19">
        <f t="shared" si="10"/>
        <v>247467.41666666669</v>
      </c>
      <c r="G24" s="19">
        <f t="shared" si="10"/>
        <v>247467.41666666669</v>
      </c>
      <c r="H24" s="19">
        <f t="shared" si="10"/>
        <v>247467.41666666669</v>
      </c>
      <c r="I24" s="19">
        <f t="shared" si="10"/>
        <v>247467.41666666669</v>
      </c>
      <c r="J24" s="19">
        <f t="shared" si="10"/>
        <v>247467.41666666669</v>
      </c>
      <c r="K24" s="19">
        <f t="shared" si="10"/>
        <v>247467.41666666669</v>
      </c>
      <c r="L24" s="19">
        <f t="shared" si="10"/>
        <v>247467.41666666669</v>
      </c>
      <c r="M24" s="19">
        <f t="shared" si="10"/>
        <v>247467.41666666669</v>
      </c>
      <c r="N24" s="19">
        <f t="shared" si="10"/>
        <v>247467.08666666667</v>
      </c>
      <c r="O24" s="19">
        <f>SUM(O17:O23)</f>
        <v>2969608.67</v>
      </c>
    </row>
    <row r="25" spans="1:15" ht="16.149999999999999" customHeight="1">
      <c r="B25" s="9"/>
      <c r="E25" s="15"/>
      <c r="F25" s="15"/>
      <c r="G25" s="15"/>
      <c r="H25" s="15"/>
      <c r="I25" s="15"/>
      <c r="J25" s="15"/>
      <c r="K25" s="15"/>
      <c r="L25" s="15"/>
      <c r="M25" s="15"/>
      <c r="N25" s="15"/>
      <c r="O25" s="16"/>
    </row>
    <row r="26" spans="1:15">
      <c r="B26" s="9" t="s">
        <v>86</v>
      </c>
      <c r="E26" s="15"/>
      <c r="F26" s="15"/>
      <c r="G26" s="15"/>
      <c r="H26" s="15"/>
      <c r="I26" s="15"/>
      <c r="J26" s="15"/>
      <c r="K26" s="15"/>
      <c r="L26" s="15"/>
      <c r="M26" s="15"/>
      <c r="N26" s="15"/>
      <c r="O26" s="16"/>
    </row>
    <row r="27" spans="1:15">
      <c r="B27" s="5" t="s">
        <v>34</v>
      </c>
      <c r="C27" s="18">
        <f>711562/12</f>
        <v>59296.833333333336</v>
      </c>
      <c r="D27" s="18">
        <f t="shared" ref="D27:N27" si="11">711562/12</f>
        <v>59296.833333333336</v>
      </c>
      <c r="E27" s="18">
        <f t="shared" si="11"/>
        <v>59296.833333333336</v>
      </c>
      <c r="F27" s="18">
        <f t="shared" si="11"/>
        <v>59296.833333333336</v>
      </c>
      <c r="G27" s="18">
        <f t="shared" si="11"/>
        <v>59296.833333333336</v>
      </c>
      <c r="H27" s="18">
        <f t="shared" si="11"/>
        <v>59296.833333333336</v>
      </c>
      <c r="I27" s="18">
        <f t="shared" si="11"/>
        <v>59296.833333333336</v>
      </c>
      <c r="J27" s="18">
        <f t="shared" si="11"/>
        <v>59296.833333333336</v>
      </c>
      <c r="K27" s="18">
        <f t="shared" si="11"/>
        <v>59296.833333333336</v>
      </c>
      <c r="L27" s="18">
        <f t="shared" si="11"/>
        <v>59296.833333333336</v>
      </c>
      <c r="M27" s="18">
        <f t="shared" si="11"/>
        <v>59296.833333333336</v>
      </c>
      <c r="N27" s="18">
        <f t="shared" si="11"/>
        <v>59296.833333333336</v>
      </c>
      <c r="O27" s="16">
        <f t="shared" ref="O27:O33" si="12">SUM(C27:N27)</f>
        <v>711562.00000000012</v>
      </c>
    </row>
    <row r="28" spans="1:15">
      <c r="B28" s="5" t="s">
        <v>35</v>
      </c>
      <c r="C28" s="18">
        <f>453120/12</f>
        <v>37760</v>
      </c>
      <c r="D28" s="18">
        <f t="shared" ref="D28:N28" si="13">453120/12</f>
        <v>37760</v>
      </c>
      <c r="E28" s="18">
        <f t="shared" si="13"/>
        <v>37760</v>
      </c>
      <c r="F28" s="18">
        <f t="shared" si="13"/>
        <v>37760</v>
      </c>
      <c r="G28" s="18">
        <f t="shared" si="13"/>
        <v>37760</v>
      </c>
      <c r="H28" s="18">
        <f t="shared" si="13"/>
        <v>37760</v>
      </c>
      <c r="I28" s="18">
        <f t="shared" si="13"/>
        <v>37760</v>
      </c>
      <c r="J28" s="18">
        <f t="shared" si="13"/>
        <v>37760</v>
      </c>
      <c r="K28" s="18">
        <f t="shared" si="13"/>
        <v>37760</v>
      </c>
      <c r="L28" s="18">
        <f t="shared" si="13"/>
        <v>37760</v>
      </c>
      <c r="M28" s="18">
        <f t="shared" si="13"/>
        <v>37760</v>
      </c>
      <c r="N28" s="18">
        <f t="shared" si="13"/>
        <v>37760</v>
      </c>
      <c r="O28" s="16">
        <f t="shared" si="12"/>
        <v>453120</v>
      </c>
    </row>
    <row r="29" spans="1:15">
      <c r="B29" s="5" t="s">
        <v>36</v>
      </c>
      <c r="C29" s="18">
        <f>32934/12</f>
        <v>2744.5</v>
      </c>
      <c r="D29" s="18">
        <f t="shared" ref="D29:N29" si="14">32934/12</f>
        <v>2744.5</v>
      </c>
      <c r="E29" s="18">
        <f t="shared" si="14"/>
        <v>2744.5</v>
      </c>
      <c r="F29" s="18">
        <f t="shared" si="14"/>
        <v>2744.5</v>
      </c>
      <c r="G29" s="18">
        <f t="shared" si="14"/>
        <v>2744.5</v>
      </c>
      <c r="H29" s="18">
        <f t="shared" si="14"/>
        <v>2744.5</v>
      </c>
      <c r="I29" s="18">
        <f t="shared" si="14"/>
        <v>2744.5</v>
      </c>
      <c r="J29" s="18">
        <f t="shared" si="14"/>
        <v>2744.5</v>
      </c>
      <c r="K29" s="18">
        <f t="shared" si="14"/>
        <v>2744.5</v>
      </c>
      <c r="L29" s="18">
        <f t="shared" si="14"/>
        <v>2744.5</v>
      </c>
      <c r="M29" s="18">
        <f t="shared" si="14"/>
        <v>2744.5</v>
      </c>
      <c r="N29" s="18">
        <f t="shared" si="14"/>
        <v>2744.5</v>
      </c>
      <c r="O29" s="16">
        <f t="shared" si="12"/>
        <v>32934</v>
      </c>
    </row>
    <row r="30" spans="1:15" hidden="1">
      <c r="B30" s="5" t="s">
        <v>37</v>
      </c>
      <c r="E30" s="15"/>
      <c r="F30" s="15"/>
      <c r="G30" s="15"/>
      <c r="H30" s="15"/>
      <c r="I30" s="15"/>
      <c r="J30" s="15"/>
      <c r="K30" s="15"/>
      <c r="L30" s="15"/>
      <c r="M30" s="15"/>
      <c r="N30" s="15"/>
      <c r="O30" s="16">
        <f t="shared" si="12"/>
        <v>0</v>
      </c>
    </row>
    <row r="31" spans="1:15" hidden="1">
      <c r="B31" s="5" t="s">
        <v>38</v>
      </c>
      <c r="E31" s="15"/>
      <c r="F31" s="15"/>
      <c r="G31" s="15"/>
      <c r="H31" s="15"/>
      <c r="I31" s="15"/>
      <c r="J31" s="15"/>
      <c r="K31" s="15"/>
      <c r="L31" s="15"/>
      <c r="M31" s="15"/>
      <c r="N31" s="15"/>
      <c r="O31" s="16">
        <f t="shared" si="12"/>
        <v>0</v>
      </c>
    </row>
    <row r="32" spans="1:15" hidden="1">
      <c r="B32" s="5" t="s">
        <v>39</v>
      </c>
      <c r="E32" s="15"/>
      <c r="F32" s="15"/>
      <c r="G32" s="15"/>
      <c r="H32" s="15"/>
      <c r="I32" s="15"/>
      <c r="J32" s="15"/>
      <c r="K32" s="15"/>
      <c r="L32" s="15"/>
      <c r="M32" s="15"/>
      <c r="N32" s="15"/>
      <c r="O32" s="16">
        <f t="shared" si="12"/>
        <v>0</v>
      </c>
    </row>
    <row r="33" spans="1:16">
      <c r="B33" s="5" t="s">
        <v>40</v>
      </c>
      <c r="C33" s="18">
        <f>562007/12</f>
        <v>46833.916666666664</v>
      </c>
      <c r="D33" s="18">
        <f t="shared" ref="D33:N33" si="15">562007/12</f>
        <v>46833.916666666664</v>
      </c>
      <c r="E33" s="18">
        <f t="shared" si="15"/>
        <v>46833.916666666664</v>
      </c>
      <c r="F33" s="18">
        <f t="shared" si="15"/>
        <v>46833.916666666664</v>
      </c>
      <c r="G33" s="18">
        <f t="shared" si="15"/>
        <v>46833.916666666664</v>
      </c>
      <c r="H33" s="18">
        <f t="shared" si="15"/>
        <v>46833.916666666664</v>
      </c>
      <c r="I33" s="18">
        <f t="shared" si="15"/>
        <v>46833.916666666664</v>
      </c>
      <c r="J33" s="18">
        <f t="shared" si="15"/>
        <v>46833.916666666664</v>
      </c>
      <c r="K33" s="18">
        <f t="shared" si="15"/>
        <v>46833.916666666664</v>
      </c>
      <c r="L33" s="18">
        <f t="shared" si="15"/>
        <v>46833.916666666664</v>
      </c>
      <c r="M33" s="18">
        <f t="shared" si="15"/>
        <v>46833.916666666664</v>
      </c>
      <c r="N33" s="18">
        <f t="shared" si="15"/>
        <v>46833.916666666664</v>
      </c>
      <c r="O33" s="16">
        <f t="shared" si="12"/>
        <v>562007.00000000012</v>
      </c>
    </row>
    <row r="34" spans="1:16">
      <c r="A34" t="s">
        <v>20</v>
      </c>
      <c r="B34" s="9" t="s">
        <v>48</v>
      </c>
      <c r="C34" s="19">
        <f t="shared" ref="C34:O34" si="16">SUM(C27:C33)</f>
        <v>146635.25</v>
      </c>
      <c r="D34" s="19">
        <f t="shared" si="16"/>
        <v>146635.25</v>
      </c>
      <c r="E34" s="19">
        <f t="shared" si="16"/>
        <v>146635.25</v>
      </c>
      <c r="F34" s="19">
        <f t="shared" si="16"/>
        <v>146635.25</v>
      </c>
      <c r="G34" s="19">
        <f t="shared" si="16"/>
        <v>146635.25</v>
      </c>
      <c r="H34" s="19">
        <f t="shared" si="16"/>
        <v>146635.25</v>
      </c>
      <c r="I34" s="19">
        <f t="shared" si="16"/>
        <v>146635.25</v>
      </c>
      <c r="J34" s="19">
        <f t="shared" si="16"/>
        <v>146635.25</v>
      </c>
      <c r="K34" s="19">
        <f t="shared" si="16"/>
        <v>146635.25</v>
      </c>
      <c r="L34" s="19">
        <f t="shared" si="16"/>
        <v>146635.25</v>
      </c>
      <c r="M34" s="19">
        <f t="shared" si="16"/>
        <v>146635.25</v>
      </c>
      <c r="N34" s="19">
        <f t="shared" si="16"/>
        <v>146635.25</v>
      </c>
      <c r="O34" s="19">
        <f t="shared" si="16"/>
        <v>1759623</v>
      </c>
    </row>
    <row r="35" spans="1:16">
      <c r="B35" s="9"/>
    </row>
    <row r="36" spans="1:16" ht="15.75" thickBot="1">
      <c r="A36" t="s">
        <v>96</v>
      </c>
      <c r="B36" s="9" t="s">
        <v>87</v>
      </c>
      <c r="C36" s="21">
        <f>C34+C24+C14</f>
        <v>1032112.5833333335</v>
      </c>
      <c r="D36" s="21">
        <f t="shared" ref="D36:O36" si="17">D34+D24+D14</f>
        <v>1032112.5833333335</v>
      </c>
      <c r="E36" s="21">
        <f t="shared" si="17"/>
        <v>1032112.5833333335</v>
      </c>
      <c r="F36" s="21">
        <f t="shared" si="17"/>
        <v>1032112.5833333335</v>
      </c>
      <c r="G36" s="21">
        <f t="shared" si="17"/>
        <v>1032112.5833333335</v>
      </c>
      <c r="H36" s="21">
        <f t="shared" si="17"/>
        <v>1032112.5833333335</v>
      </c>
      <c r="I36" s="21">
        <f t="shared" si="17"/>
        <v>1032112.5833333335</v>
      </c>
      <c r="J36" s="21">
        <f t="shared" si="17"/>
        <v>1032112.5833333335</v>
      </c>
      <c r="K36" s="21">
        <f t="shared" si="17"/>
        <v>1032112.5833333335</v>
      </c>
      <c r="L36" s="21">
        <f t="shared" si="17"/>
        <v>1032112.5833333335</v>
      </c>
      <c r="M36" s="21">
        <f t="shared" si="17"/>
        <v>1032112.5833333335</v>
      </c>
      <c r="N36" s="21">
        <f t="shared" si="17"/>
        <v>1032111.9233333333</v>
      </c>
      <c r="O36" s="21">
        <f t="shared" si="17"/>
        <v>12385350.34</v>
      </c>
    </row>
    <row r="37" spans="1:16" ht="15.75" thickTop="1">
      <c r="B37" s="9"/>
    </row>
    <row r="38" spans="1:16">
      <c r="B38" s="10" t="s">
        <v>88</v>
      </c>
    </row>
    <row r="39" spans="1:16">
      <c r="B39" s="6" t="s">
        <v>34</v>
      </c>
      <c r="C39" s="18">
        <v>488162.18</v>
      </c>
      <c r="D39" s="18">
        <v>434112.33</v>
      </c>
      <c r="E39" s="18">
        <v>459542.42</v>
      </c>
      <c r="F39" s="18">
        <v>940307</v>
      </c>
      <c r="G39" s="18">
        <v>225832</v>
      </c>
      <c r="H39" s="18">
        <v>353147</v>
      </c>
      <c r="I39" s="18">
        <v>309855</v>
      </c>
      <c r="J39" s="18">
        <v>723636</v>
      </c>
      <c r="K39" s="18">
        <v>744087</v>
      </c>
      <c r="L39" s="18"/>
      <c r="M39" s="18"/>
      <c r="N39" s="18"/>
      <c r="O39" s="16">
        <f t="shared" ref="O39:O45" si="18">SUM(C39:N39)</f>
        <v>4678680.93</v>
      </c>
      <c r="P39" s="16">
        <f t="shared" ref="P39:P45" si="19">SUM(D39:O39)</f>
        <v>8869199.6799999997</v>
      </c>
    </row>
    <row r="40" spans="1:16">
      <c r="B40" s="6" t="s">
        <v>35</v>
      </c>
      <c r="C40" s="18">
        <v>264080.46999999997</v>
      </c>
      <c r="D40" s="18">
        <v>254836.25</v>
      </c>
      <c r="E40" s="18">
        <v>172869.82</v>
      </c>
      <c r="F40" s="18">
        <v>126205</v>
      </c>
      <c r="G40" s="18">
        <v>122462</v>
      </c>
      <c r="H40" s="18">
        <v>127181</v>
      </c>
      <c r="I40" s="18">
        <v>112823</v>
      </c>
      <c r="J40" s="18">
        <v>106283</v>
      </c>
      <c r="K40" s="18">
        <v>115536</v>
      </c>
      <c r="L40" s="18"/>
      <c r="M40" s="18"/>
      <c r="N40" s="18"/>
      <c r="O40" s="16">
        <f t="shared" si="18"/>
        <v>1402276.54</v>
      </c>
      <c r="P40" s="16">
        <f t="shared" si="19"/>
        <v>2540472.6100000003</v>
      </c>
    </row>
    <row r="41" spans="1:16">
      <c r="B41" s="6" t="s">
        <v>36</v>
      </c>
      <c r="C41" s="18">
        <v>13490.45</v>
      </c>
      <c r="D41" s="18">
        <v>18130.919999999998</v>
      </c>
      <c r="E41" s="18">
        <v>231753.28</v>
      </c>
      <c r="F41" s="18">
        <v>41520</v>
      </c>
      <c r="G41" s="18">
        <v>97763</v>
      </c>
      <c r="H41" s="18">
        <v>96412</v>
      </c>
      <c r="I41" s="18">
        <v>8810</v>
      </c>
      <c r="J41" s="18">
        <v>22451</v>
      </c>
      <c r="K41" s="18">
        <v>151123</v>
      </c>
      <c r="L41" s="18"/>
      <c r="M41" s="18"/>
      <c r="N41" s="18"/>
      <c r="O41" s="16">
        <f t="shared" si="18"/>
        <v>681453.65</v>
      </c>
      <c r="P41" s="16">
        <f t="shared" si="19"/>
        <v>1349416.85</v>
      </c>
    </row>
    <row r="42" spans="1:16" hidden="1">
      <c r="B42" s="6" t="s">
        <v>37</v>
      </c>
      <c r="C42" s="18"/>
      <c r="D42" s="18"/>
      <c r="E42" s="18"/>
      <c r="F42" s="18"/>
      <c r="G42" s="18"/>
      <c r="H42" s="18"/>
      <c r="I42" s="18"/>
      <c r="J42" s="18"/>
      <c r="K42" s="18"/>
      <c r="L42" s="18"/>
      <c r="M42" s="18"/>
      <c r="N42" s="18"/>
      <c r="O42" s="16">
        <f t="shared" si="18"/>
        <v>0</v>
      </c>
      <c r="P42" s="16">
        <f t="shared" si="19"/>
        <v>0</v>
      </c>
    </row>
    <row r="43" spans="1:16" hidden="1">
      <c r="B43" s="6" t="s">
        <v>38</v>
      </c>
      <c r="C43" s="18"/>
      <c r="D43" s="18"/>
      <c r="E43" s="18"/>
      <c r="F43" s="18"/>
      <c r="G43" s="18"/>
      <c r="H43" s="18"/>
      <c r="I43" s="18"/>
      <c r="J43" s="18"/>
      <c r="K43" s="18"/>
      <c r="L43" s="18"/>
      <c r="M43" s="18"/>
      <c r="N43" s="18"/>
      <c r="O43" s="16">
        <f t="shared" si="18"/>
        <v>0</v>
      </c>
      <c r="P43" s="16">
        <f t="shared" si="19"/>
        <v>0</v>
      </c>
    </row>
    <row r="44" spans="1:16" hidden="1">
      <c r="B44" s="6" t="s">
        <v>39</v>
      </c>
      <c r="C44" s="18"/>
      <c r="D44" s="18"/>
      <c r="E44" s="18"/>
      <c r="F44" s="18"/>
      <c r="G44" s="18"/>
      <c r="H44" s="18"/>
      <c r="I44" s="18"/>
      <c r="J44" s="18"/>
      <c r="K44" s="18"/>
      <c r="L44" s="18"/>
      <c r="M44" s="18"/>
      <c r="N44" s="18"/>
      <c r="O44" s="16">
        <f t="shared" si="18"/>
        <v>0</v>
      </c>
      <c r="P44" s="16">
        <f t="shared" si="19"/>
        <v>0</v>
      </c>
    </row>
    <row r="45" spans="1:16" hidden="1">
      <c r="B45" s="6" t="s">
        <v>40</v>
      </c>
      <c r="C45" s="18"/>
      <c r="D45" s="18"/>
      <c r="E45" s="18"/>
      <c r="F45" s="18"/>
      <c r="G45" s="18"/>
      <c r="H45" s="18"/>
      <c r="I45" s="18"/>
      <c r="J45" s="18"/>
      <c r="K45" s="18"/>
      <c r="L45" s="18"/>
      <c r="M45" s="18"/>
      <c r="N45" s="18"/>
      <c r="O45" s="16">
        <f t="shared" si="18"/>
        <v>0</v>
      </c>
      <c r="P45" s="16">
        <f t="shared" si="19"/>
        <v>0</v>
      </c>
    </row>
    <row r="46" spans="1:16">
      <c r="A46" t="s">
        <v>24</v>
      </c>
      <c r="B46" s="10" t="s">
        <v>42</v>
      </c>
      <c r="C46" s="19">
        <f>SUM(C39:C45)</f>
        <v>765733.09999999986</v>
      </c>
      <c r="D46" s="19">
        <f t="shared" ref="D46:E46" si="20">SUM(D39:D45)</f>
        <v>707079.50000000012</v>
      </c>
      <c r="E46" s="19">
        <f t="shared" si="20"/>
        <v>864165.52</v>
      </c>
      <c r="F46" s="19">
        <f t="shared" ref="F46:N46" si="21">SUM(F39:F45)</f>
        <v>1108032</v>
      </c>
      <c r="G46" s="19">
        <f t="shared" si="21"/>
        <v>446057</v>
      </c>
      <c r="H46" s="19">
        <f t="shared" si="21"/>
        <v>576740</v>
      </c>
      <c r="I46" s="19">
        <f t="shared" si="21"/>
        <v>431488</v>
      </c>
      <c r="J46" s="19">
        <f t="shared" si="21"/>
        <v>852370</v>
      </c>
      <c r="K46" s="19">
        <f t="shared" si="21"/>
        <v>1010746</v>
      </c>
      <c r="L46" s="19">
        <f t="shared" si="21"/>
        <v>0</v>
      </c>
      <c r="M46" s="19">
        <f t="shared" si="21"/>
        <v>0</v>
      </c>
      <c r="N46" s="19">
        <f t="shared" si="21"/>
        <v>0</v>
      </c>
      <c r="O46" s="19">
        <f t="shared" ref="O46" si="22">SUM(O39:O45)</f>
        <v>6762411.1200000001</v>
      </c>
      <c r="P46" s="19">
        <f>SUM(P39:P45)</f>
        <v>12759089.139999999</v>
      </c>
    </row>
    <row r="47" spans="1:16">
      <c r="B47" s="10"/>
      <c r="C47" s="18"/>
      <c r="D47" s="18"/>
      <c r="E47" s="18"/>
      <c r="F47" s="18"/>
      <c r="G47" s="18"/>
      <c r="H47" s="18"/>
      <c r="I47" s="18"/>
      <c r="J47" s="18"/>
      <c r="K47" s="18"/>
      <c r="L47" s="18"/>
      <c r="M47" s="18"/>
      <c r="N47" s="18"/>
      <c r="O47" s="18"/>
      <c r="P47" s="18"/>
    </row>
    <row r="48" spans="1:16">
      <c r="B48" s="10" t="s">
        <v>89</v>
      </c>
      <c r="C48" s="18"/>
      <c r="D48" s="18"/>
      <c r="E48" s="18"/>
      <c r="F48" s="18"/>
      <c r="G48" s="18"/>
      <c r="H48" s="18"/>
      <c r="I48" s="18"/>
      <c r="J48" s="18"/>
      <c r="K48" s="18"/>
      <c r="L48" s="18"/>
      <c r="M48" s="18"/>
      <c r="N48" s="18"/>
      <c r="O48" s="16"/>
      <c r="P48" s="18"/>
    </row>
    <row r="49" spans="1:16">
      <c r="B49" s="6" t="s">
        <v>34</v>
      </c>
      <c r="C49" s="18">
        <v>252108</v>
      </c>
      <c r="D49" s="18">
        <v>18129.96</v>
      </c>
      <c r="E49" s="18">
        <v>89534.39</v>
      </c>
      <c r="F49" s="18">
        <v>22257</v>
      </c>
      <c r="G49" s="18">
        <v>17154</v>
      </c>
      <c r="H49" s="18">
        <v>15290</v>
      </c>
      <c r="I49" s="18">
        <v>29450</v>
      </c>
      <c r="J49" s="18">
        <v>21475</v>
      </c>
      <c r="K49" s="18">
        <v>11479</v>
      </c>
      <c r="L49" s="18"/>
      <c r="M49" s="18"/>
      <c r="N49" s="18"/>
      <c r="O49" s="16">
        <f t="shared" ref="O49:O55" si="23">SUM(C49:N49)</f>
        <v>476877.35000000003</v>
      </c>
      <c r="P49" s="16">
        <f t="shared" ref="P49:P55" si="24">SUM(D49:O49)</f>
        <v>701646.70000000007</v>
      </c>
    </row>
    <row r="50" spans="1:16">
      <c r="B50" s="6" t="s">
        <v>35</v>
      </c>
      <c r="C50" s="18">
        <v>71030.92</v>
      </c>
      <c r="D50" s="18">
        <v>34450.18</v>
      </c>
      <c r="E50" s="18">
        <v>62245.01</v>
      </c>
      <c r="F50" s="18">
        <v>29124</v>
      </c>
      <c r="G50" s="18">
        <v>44640</v>
      </c>
      <c r="H50" s="18">
        <v>25945</v>
      </c>
      <c r="I50" s="18">
        <v>55620</v>
      </c>
      <c r="J50" s="18">
        <v>51103</v>
      </c>
      <c r="K50" s="18">
        <v>3428</v>
      </c>
      <c r="L50" s="18"/>
      <c r="M50" s="18"/>
      <c r="N50" s="18"/>
      <c r="O50" s="16">
        <f t="shared" si="23"/>
        <v>377586.11</v>
      </c>
      <c r="P50" s="16">
        <f t="shared" si="24"/>
        <v>684141.3</v>
      </c>
    </row>
    <row r="51" spans="1:16">
      <c r="B51" s="6" t="s">
        <v>36</v>
      </c>
      <c r="C51" s="18">
        <v>-69378.509999999995</v>
      </c>
      <c r="D51" s="18">
        <v>2981.95</v>
      </c>
      <c r="E51" s="18">
        <v>46077.66</v>
      </c>
      <c r="F51" s="18">
        <v>-23923</v>
      </c>
      <c r="G51" s="18">
        <v>77</v>
      </c>
      <c r="H51" s="18">
        <v>16537</v>
      </c>
      <c r="I51" s="18">
        <v>10237</v>
      </c>
      <c r="J51" s="18">
        <v>-15048</v>
      </c>
      <c r="K51" s="18">
        <v>20977</v>
      </c>
      <c r="L51" s="18"/>
      <c r="M51" s="18"/>
      <c r="N51" s="18"/>
      <c r="O51" s="16">
        <f t="shared" si="23"/>
        <v>-11461.899999999994</v>
      </c>
      <c r="P51" s="16">
        <f t="shared" si="24"/>
        <v>46454.710000000006</v>
      </c>
    </row>
    <row r="52" spans="1:16">
      <c r="B52" s="6" t="s">
        <v>37</v>
      </c>
      <c r="C52" s="18">
        <v>0</v>
      </c>
      <c r="D52" s="18"/>
      <c r="E52" s="18"/>
      <c r="F52" s="18"/>
      <c r="G52" s="18"/>
      <c r="H52" s="18"/>
      <c r="I52" s="18"/>
      <c r="J52" s="18"/>
      <c r="K52" s="18"/>
      <c r="L52" s="18"/>
      <c r="M52" s="18"/>
      <c r="N52" s="18"/>
      <c r="O52" s="16">
        <f t="shared" si="23"/>
        <v>0</v>
      </c>
      <c r="P52" s="16">
        <f t="shared" si="24"/>
        <v>0</v>
      </c>
    </row>
    <row r="53" spans="1:16">
      <c r="B53" s="6" t="s">
        <v>38</v>
      </c>
      <c r="C53" s="18">
        <v>0</v>
      </c>
      <c r="D53" s="18"/>
      <c r="E53" s="18"/>
      <c r="F53" s="18"/>
      <c r="G53" s="18"/>
      <c r="H53" s="18"/>
      <c r="I53" s="18"/>
      <c r="J53" s="18"/>
      <c r="K53" s="18"/>
      <c r="L53" s="18"/>
      <c r="M53" s="18"/>
      <c r="N53" s="18"/>
      <c r="O53" s="16">
        <f t="shared" si="23"/>
        <v>0</v>
      </c>
      <c r="P53" s="16">
        <f t="shared" si="24"/>
        <v>0</v>
      </c>
    </row>
    <row r="54" spans="1:16">
      <c r="B54" s="6" t="s">
        <v>39</v>
      </c>
      <c r="C54" s="18">
        <v>477.26</v>
      </c>
      <c r="D54" s="18">
        <v>521.16999999999996</v>
      </c>
      <c r="E54" s="18">
        <v>301654.65999999997</v>
      </c>
      <c r="F54" s="18">
        <v>746</v>
      </c>
      <c r="G54" s="18">
        <v>333</v>
      </c>
      <c r="H54" s="18">
        <v>284157</v>
      </c>
      <c r="I54" s="18">
        <v>590</v>
      </c>
      <c r="J54" s="18">
        <v>534</v>
      </c>
      <c r="K54" s="18">
        <v>1580</v>
      </c>
      <c r="L54" s="18"/>
      <c r="M54" s="18"/>
      <c r="N54" s="18"/>
      <c r="O54" s="16">
        <f t="shared" si="23"/>
        <v>590593.09</v>
      </c>
      <c r="P54" s="16">
        <f t="shared" si="24"/>
        <v>1180708.92</v>
      </c>
    </row>
    <row r="55" spans="1:16">
      <c r="B55" s="6" t="s">
        <v>40</v>
      </c>
      <c r="C55" s="18">
        <v>80662.33</v>
      </c>
      <c r="D55" s="18">
        <v>85328.25</v>
      </c>
      <c r="E55" s="18">
        <v>105625.93</v>
      </c>
      <c r="F55" s="18">
        <v>104347</v>
      </c>
      <c r="G55" s="18">
        <v>30873</v>
      </c>
      <c r="H55" s="18">
        <v>79793</v>
      </c>
      <c r="I55" s="18">
        <v>100992</v>
      </c>
      <c r="J55" s="18">
        <v>87625</v>
      </c>
      <c r="K55" s="18">
        <v>59544</v>
      </c>
      <c r="L55" s="18"/>
      <c r="M55" s="18"/>
      <c r="N55" s="18"/>
      <c r="O55" s="16">
        <f t="shared" si="23"/>
        <v>734790.51</v>
      </c>
      <c r="P55" s="16">
        <f t="shared" si="24"/>
        <v>1388918.69</v>
      </c>
    </row>
    <row r="56" spans="1:16">
      <c r="A56" t="s">
        <v>97</v>
      </c>
      <c r="B56" s="10" t="s">
        <v>90</v>
      </c>
      <c r="C56" s="19">
        <f t="shared" ref="C56:E56" si="25">SUM(C49:C55)</f>
        <v>334900</v>
      </c>
      <c r="D56" s="19">
        <f t="shared" si="25"/>
        <v>141411.51</v>
      </c>
      <c r="E56" s="19">
        <f t="shared" si="25"/>
        <v>605137.64999999991</v>
      </c>
      <c r="F56" s="19">
        <f t="shared" ref="F56:O56" si="26">SUM(F49:F55)</f>
        <v>132551</v>
      </c>
      <c r="G56" s="19">
        <f t="shared" si="26"/>
        <v>93077</v>
      </c>
      <c r="H56" s="19">
        <f t="shared" si="26"/>
        <v>421722</v>
      </c>
      <c r="I56" s="19">
        <f t="shared" si="26"/>
        <v>196889</v>
      </c>
      <c r="J56" s="19">
        <f t="shared" si="26"/>
        <v>145689</v>
      </c>
      <c r="K56" s="19">
        <f t="shared" si="26"/>
        <v>97008</v>
      </c>
      <c r="L56" s="19">
        <f t="shared" si="26"/>
        <v>0</v>
      </c>
      <c r="M56" s="19">
        <f t="shared" si="26"/>
        <v>0</v>
      </c>
      <c r="N56" s="19">
        <f t="shared" si="26"/>
        <v>0</v>
      </c>
      <c r="O56" s="19">
        <f t="shared" si="26"/>
        <v>2168385.16</v>
      </c>
      <c r="P56" s="19">
        <f>SUM(P49:P55)</f>
        <v>4001870.32</v>
      </c>
    </row>
    <row r="57" spans="1:16">
      <c r="B57" s="10"/>
      <c r="C57" s="18"/>
      <c r="D57" s="18"/>
      <c r="E57" s="18"/>
      <c r="F57" s="18"/>
      <c r="G57" s="18"/>
      <c r="H57" s="18"/>
      <c r="I57" s="18"/>
      <c r="J57" s="18"/>
      <c r="K57" s="18"/>
      <c r="L57" s="18"/>
      <c r="M57" s="18"/>
      <c r="N57" s="18"/>
      <c r="O57" s="18"/>
      <c r="P57" s="18"/>
    </row>
    <row r="58" spans="1:16">
      <c r="B58" s="10" t="s">
        <v>91</v>
      </c>
      <c r="C58" s="18"/>
      <c r="D58" s="18"/>
      <c r="E58" s="18"/>
      <c r="F58" s="18"/>
      <c r="G58" s="18"/>
      <c r="H58" s="18"/>
      <c r="I58" s="18"/>
      <c r="J58" s="18"/>
      <c r="K58" s="18"/>
      <c r="L58" s="18"/>
      <c r="M58" s="18"/>
      <c r="N58" s="18"/>
      <c r="O58" s="18"/>
      <c r="P58" s="18"/>
    </row>
    <row r="59" spans="1:16">
      <c r="B59" s="6" t="s">
        <v>34</v>
      </c>
      <c r="C59" s="18">
        <v>8113.02</v>
      </c>
      <c r="D59" s="18">
        <v>10261.23</v>
      </c>
      <c r="E59" s="18">
        <v>9344.85</v>
      </c>
      <c r="F59" s="18">
        <v>5592</v>
      </c>
      <c r="G59" s="18">
        <v>8622</v>
      </c>
      <c r="H59" s="18">
        <v>6899</v>
      </c>
      <c r="I59" s="18">
        <v>5257</v>
      </c>
      <c r="J59" s="18">
        <v>7174</v>
      </c>
      <c r="K59" s="18">
        <v>6895</v>
      </c>
      <c r="L59" s="18"/>
      <c r="M59" s="18"/>
      <c r="N59" s="18"/>
      <c r="O59" s="16">
        <f t="shared" ref="O59:O65" si="27">SUM(C59:N59)</f>
        <v>68158.100000000006</v>
      </c>
      <c r="P59" s="16">
        <f t="shared" ref="P59:P65" si="28">SUM(D59:O59)</f>
        <v>128203.18000000001</v>
      </c>
    </row>
    <row r="60" spans="1:16">
      <c r="B60" s="6" t="s">
        <v>35</v>
      </c>
      <c r="C60" s="18">
        <v>116.22</v>
      </c>
      <c r="D60" s="18">
        <v>144.19999999999999</v>
      </c>
      <c r="E60" s="18"/>
      <c r="F60" s="18">
        <v>3169</v>
      </c>
      <c r="G60" s="18">
        <v>8475</v>
      </c>
      <c r="H60" s="18">
        <v>7212</v>
      </c>
      <c r="I60" s="18">
        <v>2341</v>
      </c>
      <c r="J60" s="18">
        <v>2449</v>
      </c>
      <c r="K60" s="18">
        <v>2052</v>
      </c>
      <c r="L60" s="18"/>
      <c r="M60" s="18"/>
      <c r="N60" s="18"/>
      <c r="O60" s="16">
        <f t="shared" si="27"/>
        <v>25958.42</v>
      </c>
      <c r="P60" s="16">
        <f t="shared" si="28"/>
        <v>51800.619999999995</v>
      </c>
    </row>
    <row r="61" spans="1:16">
      <c r="B61" s="6" t="s">
        <v>36</v>
      </c>
      <c r="D61" s="18"/>
      <c r="E61" s="18"/>
      <c r="F61" s="18"/>
      <c r="G61" s="18"/>
      <c r="H61" s="18"/>
      <c r="I61" s="18"/>
      <c r="J61" s="18"/>
      <c r="K61" s="18"/>
      <c r="L61" s="18"/>
      <c r="M61" s="18"/>
      <c r="N61" s="18"/>
      <c r="O61" s="16">
        <f t="shared" si="27"/>
        <v>0</v>
      </c>
      <c r="P61" s="16">
        <f t="shared" si="28"/>
        <v>0</v>
      </c>
    </row>
    <row r="62" spans="1:16" hidden="1">
      <c r="B62" s="6" t="s">
        <v>37</v>
      </c>
      <c r="D62" s="18"/>
      <c r="E62" s="18"/>
      <c r="F62" s="18"/>
      <c r="G62" s="18"/>
      <c r="H62" s="18"/>
      <c r="I62" s="18"/>
      <c r="J62" s="18"/>
      <c r="K62" s="18"/>
      <c r="L62" s="18"/>
      <c r="M62" s="18"/>
      <c r="N62" s="18"/>
      <c r="O62" s="16">
        <f t="shared" si="27"/>
        <v>0</v>
      </c>
      <c r="P62" s="16">
        <f t="shared" si="28"/>
        <v>0</v>
      </c>
    </row>
    <row r="63" spans="1:16" hidden="1">
      <c r="B63" s="6" t="s">
        <v>38</v>
      </c>
      <c r="D63" s="18"/>
      <c r="E63" s="18"/>
      <c r="F63" s="18"/>
      <c r="G63" s="18"/>
      <c r="H63" s="18"/>
      <c r="I63" s="18"/>
      <c r="J63" s="18"/>
      <c r="K63" s="18"/>
      <c r="L63" s="18"/>
      <c r="M63" s="18"/>
      <c r="N63" s="18"/>
      <c r="O63" s="16">
        <f t="shared" si="27"/>
        <v>0</v>
      </c>
      <c r="P63" s="16">
        <f t="shared" si="28"/>
        <v>0</v>
      </c>
    </row>
    <row r="64" spans="1:16">
      <c r="B64" s="6" t="s">
        <v>39</v>
      </c>
      <c r="D64" s="18"/>
      <c r="E64" s="18"/>
      <c r="F64" s="18"/>
      <c r="G64" s="18"/>
      <c r="H64" s="18"/>
      <c r="I64" s="18"/>
      <c r="J64" s="18"/>
      <c r="K64" s="18"/>
      <c r="L64" s="18"/>
      <c r="M64" s="18"/>
      <c r="N64" s="18"/>
      <c r="O64" s="16">
        <f t="shared" si="27"/>
        <v>0</v>
      </c>
      <c r="P64" s="16">
        <f t="shared" si="28"/>
        <v>0</v>
      </c>
    </row>
    <row r="65" spans="1:16">
      <c r="B65" s="6" t="s">
        <v>40</v>
      </c>
      <c r="D65" s="18"/>
      <c r="E65" s="18"/>
      <c r="F65" s="18">
        <v>591</v>
      </c>
      <c r="G65" s="18">
        <v>4234</v>
      </c>
      <c r="H65" s="18">
        <v>3906</v>
      </c>
      <c r="I65" s="18">
        <v>4039</v>
      </c>
      <c r="J65" s="18">
        <v>1138</v>
      </c>
      <c r="K65" s="18">
        <v>2473</v>
      </c>
      <c r="L65" s="18"/>
      <c r="M65" s="18"/>
      <c r="N65" s="18"/>
      <c r="O65" s="16">
        <f t="shared" si="27"/>
        <v>16381</v>
      </c>
      <c r="P65" s="16">
        <f t="shared" si="28"/>
        <v>32762</v>
      </c>
    </row>
    <row r="66" spans="1:16">
      <c r="A66" t="s">
        <v>98</v>
      </c>
      <c r="B66" s="10" t="s">
        <v>43</v>
      </c>
      <c r="C66" s="19">
        <f t="shared" ref="C66" si="29">SUM(C59:C65)</f>
        <v>8229.24</v>
      </c>
      <c r="D66" s="19">
        <f t="shared" ref="D66:P66" si="30">SUM(D59:D65)</f>
        <v>10405.43</v>
      </c>
      <c r="E66" s="19">
        <f t="shared" si="30"/>
        <v>9344.85</v>
      </c>
      <c r="F66" s="19">
        <f t="shared" si="30"/>
        <v>9352</v>
      </c>
      <c r="G66" s="19">
        <f t="shared" si="30"/>
        <v>21331</v>
      </c>
      <c r="H66" s="19">
        <f t="shared" si="30"/>
        <v>18017</v>
      </c>
      <c r="I66" s="19">
        <f t="shared" si="30"/>
        <v>11637</v>
      </c>
      <c r="J66" s="19">
        <f t="shared" si="30"/>
        <v>10761</v>
      </c>
      <c r="K66" s="19">
        <f t="shared" si="30"/>
        <v>11420</v>
      </c>
      <c r="L66" s="19">
        <f t="shared" si="30"/>
        <v>0</v>
      </c>
      <c r="M66" s="19">
        <f t="shared" si="30"/>
        <v>0</v>
      </c>
      <c r="N66" s="19">
        <f t="shared" si="30"/>
        <v>0</v>
      </c>
      <c r="O66" s="19">
        <f t="shared" si="30"/>
        <v>110497.52</v>
      </c>
      <c r="P66" s="19">
        <f t="shared" si="30"/>
        <v>212765.8</v>
      </c>
    </row>
    <row r="67" spans="1:16">
      <c r="B67" s="10"/>
      <c r="C67" s="18"/>
      <c r="D67" s="18"/>
      <c r="E67" s="18"/>
      <c r="F67" s="18"/>
      <c r="G67" s="18"/>
      <c r="H67" s="18"/>
      <c r="I67" s="18"/>
      <c r="J67" s="18"/>
      <c r="K67" s="18"/>
      <c r="L67" s="18"/>
      <c r="M67" s="18"/>
      <c r="N67" s="18"/>
      <c r="O67" s="18"/>
      <c r="P67" s="18"/>
    </row>
    <row r="68" spans="1:16" ht="15.75" thickBot="1">
      <c r="A68" t="s">
        <v>99</v>
      </c>
      <c r="B68" s="10" t="s">
        <v>92</v>
      </c>
      <c r="C68" s="21">
        <f>C66+C56+C46</f>
        <v>1108862.3399999999</v>
      </c>
      <c r="D68" s="21">
        <f>D66+D56+D46</f>
        <v>858896.44000000018</v>
      </c>
      <c r="E68" s="21">
        <f t="shared" ref="E68:P68" si="31">E66+E56+E46</f>
        <v>1478648.02</v>
      </c>
      <c r="F68" s="21">
        <f t="shared" si="31"/>
        <v>1249935</v>
      </c>
      <c r="G68" s="21">
        <f t="shared" si="31"/>
        <v>560465</v>
      </c>
      <c r="H68" s="21">
        <f t="shared" si="31"/>
        <v>1016479</v>
      </c>
      <c r="I68" s="21">
        <f t="shared" si="31"/>
        <v>640014</v>
      </c>
      <c r="J68" s="21">
        <f t="shared" si="31"/>
        <v>1008820</v>
      </c>
      <c r="K68" s="21">
        <f t="shared" si="31"/>
        <v>1119174</v>
      </c>
      <c r="L68" s="21">
        <f t="shared" si="31"/>
        <v>0</v>
      </c>
      <c r="M68" s="21">
        <f t="shared" si="31"/>
        <v>0</v>
      </c>
      <c r="N68" s="21">
        <f t="shared" si="31"/>
        <v>0</v>
      </c>
      <c r="O68" s="21">
        <f t="shared" si="31"/>
        <v>9041293.8000000007</v>
      </c>
      <c r="P68" s="21">
        <f t="shared" si="31"/>
        <v>16973725.259999998</v>
      </c>
    </row>
    <row r="69" spans="1:16" ht="15.75" thickTop="1">
      <c r="B69" s="9"/>
    </row>
    <row r="70" spans="1:16">
      <c r="B70" s="39" t="s">
        <v>44</v>
      </c>
    </row>
    <row r="71" spans="1:16">
      <c r="B71" s="39" t="s">
        <v>93</v>
      </c>
    </row>
    <row r="72" spans="1:16">
      <c r="B72" s="38" t="s">
        <v>34</v>
      </c>
      <c r="C72" s="34">
        <f>C7-C39</f>
        <v>-85414.763333333307</v>
      </c>
      <c r="D72" s="34">
        <f t="shared" ref="D72:E72" si="32">D7-D39</f>
        <v>-31364.91333333333</v>
      </c>
      <c r="E72" s="34">
        <f t="shared" si="32"/>
        <v>-56795.003333333298</v>
      </c>
      <c r="F72" s="34">
        <f t="shared" ref="F72:G72" si="33">F7-F39</f>
        <v>-537559.58333333326</v>
      </c>
      <c r="G72" s="34">
        <f t="shared" si="33"/>
        <v>176915.41666666669</v>
      </c>
      <c r="H72" s="34">
        <f t="shared" ref="H72:I72" si="34">H7-H39</f>
        <v>49600.416666666686</v>
      </c>
      <c r="I72" s="34">
        <f t="shared" si="34"/>
        <v>92892.416666666686</v>
      </c>
      <c r="J72" s="34">
        <f t="shared" ref="J72:K72" si="35">J7-J39</f>
        <v>-320888.58333333331</v>
      </c>
      <c r="K72" s="34">
        <f t="shared" si="35"/>
        <v>-341339.58333333331</v>
      </c>
      <c r="L72" s="34">
        <f t="shared" ref="L72:N72" si="36">L7-L39</f>
        <v>402747.41666666669</v>
      </c>
      <c r="M72" s="34">
        <f t="shared" si="36"/>
        <v>402747.41666666669</v>
      </c>
      <c r="N72" s="34">
        <f t="shared" si="36"/>
        <v>402747.08666666667</v>
      </c>
      <c r="O72" s="16">
        <f t="shared" ref="O72:O78" si="37">SUM(C72:N72)</f>
        <v>154287.7400000004</v>
      </c>
    </row>
    <row r="73" spans="1:16">
      <c r="B73" s="38" t="s">
        <v>35</v>
      </c>
      <c r="C73" s="34">
        <f t="shared" ref="C73:E79" si="38">C8-C40</f>
        <v>-86808.803333333315</v>
      </c>
      <c r="D73" s="34">
        <f t="shared" si="38"/>
        <v>-77564.583333333343</v>
      </c>
      <c r="E73" s="34">
        <f t="shared" si="38"/>
        <v>4401.84666666665</v>
      </c>
      <c r="F73" s="34">
        <f t="shared" ref="F73:G73" si="39">F8-F40</f>
        <v>51066.666666666657</v>
      </c>
      <c r="G73" s="34">
        <f t="shared" si="39"/>
        <v>54809.666666666657</v>
      </c>
      <c r="H73" s="34">
        <f t="shared" ref="H73:I73" si="40">H8-H40</f>
        <v>50090.666666666657</v>
      </c>
      <c r="I73" s="34">
        <f t="shared" si="40"/>
        <v>64448.666666666657</v>
      </c>
      <c r="J73" s="34">
        <f t="shared" ref="J73:K73" si="41">J8-J40</f>
        <v>70988.666666666657</v>
      </c>
      <c r="K73" s="34">
        <f t="shared" si="41"/>
        <v>61735.666666666657</v>
      </c>
      <c r="L73" s="34">
        <f t="shared" ref="L73:N73" si="42">L8-L40</f>
        <v>177271.66666666666</v>
      </c>
      <c r="M73" s="34">
        <f t="shared" si="42"/>
        <v>177271.66666666666</v>
      </c>
      <c r="N73" s="34">
        <f t="shared" si="42"/>
        <v>177271.66666666666</v>
      </c>
      <c r="O73" s="16">
        <f t="shared" si="37"/>
        <v>724983.45999999985</v>
      </c>
    </row>
    <row r="74" spans="1:16">
      <c r="B74" s="38" t="s">
        <v>36</v>
      </c>
      <c r="C74" s="34">
        <f t="shared" si="38"/>
        <v>44500.383333333331</v>
      </c>
      <c r="D74" s="34">
        <f t="shared" si="38"/>
        <v>39859.913333333338</v>
      </c>
      <c r="E74" s="34">
        <f t="shared" si="38"/>
        <v>-173762.44666666666</v>
      </c>
      <c r="F74" s="34">
        <f t="shared" ref="F74:G74" si="43">F9-F41</f>
        <v>16470.833333333336</v>
      </c>
      <c r="G74" s="34">
        <f t="shared" si="43"/>
        <v>-39772.166666666664</v>
      </c>
      <c r="H74" s="34">
        <f t="shared" ref="H74:I74" si="44">H9-H41</f>
        <v>-38421.166666666664</v>
      </c>
      <c r="I74" s="34">
        <f t="shared" si="44"/>
        <v>49180.833333333336</v>
      </c>
      <c r="J74" s="34">
        <f t="shared" ref="J74:K74" si="45">J9-J41</f>
        <v>35539.833333333336</v>
      </c>
      <c r="K74" s="34">
        <f t="shared" si="45"/>
        <v>-93132.166666666657</v>
      </c>
      <c r="L74" s="34">
        <f t="shared" ref="L74:N74" si="46">L9-L41</f>
        <v>57990.833333333336</v>
      </c>
      <c r="M74" s="34">
        <f t="shared" si="46"/>
        <v>57990.833333333336</v>
      </c>
      <c r="N74" s="34">
        <f t="shared" si="46"/>
        <v>57990.833333333336</v>
      </c>
      <c r="O74" s="16">
        <f t="shared" si="37"/>
        <v>14436.350000000079</v>
      </c>
    </row>
    <row r="75" spans="1:16" hidden="1">
      <c r="B75" s="38" t="s">
        <v>37</v>
      </c>
      <c r="C75" s="34">
        <f t="shared" si="38"/>
        <v>0</v>
      </c>
      <c r="D75" s="34">
        <f t="shared" si="38"/>
        <v>0</v>
      </c>
      <c r="E75" s="34">
        <f t="shared" si="38"/>
        <v>0</v>
      </c>
      <c r="F75" s="34">
        <f t="shared" ref="F75:G75" si="47">F10-F42</f>
        <v>0</v>
      </c>
      <c r="G75" s="34">
        <f t="shared" si="47"/>
        <v>0</v>
      </c>
      <c r="H75" s="34">
        <f t="shared" ref="H75:I75" si="48">H10-H42</f>
        <v>0</v>
      </c>
      <c r="I75" s="34">
        <f t="shared" si="48"/>
        <v>0</v>
      </c>
      <c r="J75" s="34">
        <f t="shared" ref="J75:K75" si="49">J10-J42</f>
        <v>0</v>
      </c>
      <c r="K75" s="34">
        <f t="shared" si="49"/>
        <v>0</v>
      </c>
      <c r="L75" s="34">
        <f t="shared" ref="L75:N75" si="50">L10-L42</f>
        <v>0</v>
      </c>
      <c r="M75" s="34">
        <f t="shared" si="50"/>
        <v>0</v>
      </c>
      <c r="N75" s="34">
        <f t="shared" si="50"/>
        <v>0</v>
      </c>
      <c r="O75" s="16">
        <f t="shared" si="37"/>
        <v>0</v>
      </c>
    </row>
    <row r="76" spans="1:16" hidden="1">
      <c r="B76" s="38" t="s">
        <v>38</v>
      </c>
      <c r="C76" s="34">
        <f t="shared" si="38"/>
        <v>0</v>
      </c>
      <c r="D76" s="34">
        <f t="shared" si="38"/>
        <v>0</v>
      </c>
      <c r="E76" s="34">
        <f t="shared" si="38"/>
        <v>0</v>
      </c>
      <c r="F76" s="34">
        <f t="shared" ref="F76:G76" si="51">F11-F43</f>
        <v>0</v>
      </c>
      <c r="G76" s="34">
        <f t="shared" si="51"/>
        <v>0</v>
      </c>
      <c r="H76" s="34">
        <f t="shared" ref="H76:I76" si="52">H11-H43</f>
        <v>0</v>
      </c>
      <c r="I76" s="34">
        <f t="shared" si="52"/>
        <v>0</v>
      </c>
      <c r="J76" s="34">
        <f t="shared" ref="J76:K76" si="53">J11-J43</f>
        <v>0</v>
      </c>
      <c r="K76" s="34">
        <f t="shared" si="53"/>
        <v>0</v>
      </c>
      <c r="L76" s="34">
        <f t="shared" ref="L76:N76" si="54">L11-L43</f>
        <v>0</v>
      </c>
      <c r="M76" s="34">
        <f t="shared" si="54"/>
        <v>0</v>
      </c>
      <c r="N76" s="34">
        <f t="shared" si="54"/>
        <v>0</v>
      </c>
      <c r="O76" s="16">
        <f t="shared" si="37"/>
        <v>0</v>
      </c>
    </row>
    <row r="77" spans="1:16" hidden="1">
      <c r="B77" s="38" t="s">
        <v>39</v>
      </c>
      <c r="C77" s="34">
        <f t="shared" si="38"/>
        <v>0</v>
      </c>
      <c r="D77" s="34">
        <f t="shared" si="38"/>
        <v>0</v>
      </c>
      <c r="E77" s="34">
        <f t="shared" si="38"/>
        <v>0</v>
      </c>
      <c r="F77" s="34">
        <f t="shared" ref="F77:G77" si="55">F12-F44</f>
        <v>0</v>
      </c>
      <c r="G77" s="34">
        <f t="shared" si="55"/>
        <v>0</v>
      </c>
      <c r="H77" s="34">
        <f t="shared" ref="H77:I77" si="56">H12-H44</f>
        <v>0</v>
      </c>
      <c r="I77" s="34">
        <f t="shared" si="56"/>
        <v>0</v>
      </c>
      <c r="J77" s="34">
        <f t="shared" ref="J77:K77" si="57">J12-J44</f>
        <v>0</v>
      </c>
      <c r="K77" s="34">
        <f t="shared" si="57"/>
        <v>0</v>
      </c>
      <c r="L77" s="34">
        <f t="shared" ref="L77:N77" si="58">L12-L44</f>
        <v>0</v>
      </c>
      <c r="M77" s="34">
        <f t="shared" si="58"/>
        <v>0</v>
      </c>
      <c r="N77" s="34">
        <f t="shared" si="58"/>
        <v>0</v>
      </c>
      <c r="O77" s="16">
        <f t="shared" si="37"/>
        <v>0</v>
      </c>
    </row>
    <row r="78" spans="1:16" hidden="1">
      <c r="B78" s="38" t="s">
        <v>40</v>
      </c>
      <c r="C78" s="34">
        <f t="shared" si="38"/>
        <v>0</v>
      </c>
      <c r="D78" s="34">
        <f t="shared" si="38"/>
        <v>0</v>
      </c>
      <c r="E78" s="34">
        <f t="shared" si="38"/>
        <v>0</v>
      </c>
      <c r="F78" s="34">
        <f t="shared" ref="F78:G78" si="59">F13-F45</f>
        <v>0</v>
      </c>
      <c r="G78" s="34">
        <f t="shared" si="59"/>
        <v>0</v>
      </c>
      <c r="H78" s="34">
        <f t="shared" ref="H78:I78" si="60">H13-H45</f>
        <v>0</v>
      </c>
      <c r="I78" s="34">
        <f t="shared" si="60"/>
        <v>0</v>
      </c>
      <c r="J78" s="34">
        <f t="shared" ref="J78:K78" si="61">J13-J45</f>
        <v>0</v>
      </c>
      <c r="K78" s="34">
        <f t="shared" si="61"/>
        <v>0</v>
      </c>
      <c r="L78" s="34">
        <f t="shared" ref="L78:N78" si="62">L13-L45</f>
        <v>0</v>
      </c>
      <c r="M78" s="34">
        <f t="shared" si="62"/>
        <v>0</v>
      </c>
      <c r="N78" s="34">
        <f t="shared" si="62"/>
        <v>0</v>
      </c>
      <c r="O78" s="16">
        <f t="shared" si="37"/>
        <v>0</v>
      </c>
    </row>
    <row r="79" spans="1:16">
      <c r="A79" t="s">
        <v>100</v>
      </c>
      <c r="B79" s="39" t="s">
        <v>45</v>
      </c>
      <c r="C79" s="19">
        <f t="shared" si="38"/>
        <v>-127723.18333333312</v>
      </c>
      <c r="D79" s="19">
        <f t="shared" si="38"/>
        <v>-69069.583333333372</v>
      </c>
      <c r="E79" s="19">
        <f t="shared" si="38"/>
        <v>-226155.60333333327</v>
      </c>
      <c r="F79" s="19">
        <f t="shared" ref="F79:G79" si="63">F14-F46</f>
        <v>-470022.08333333326</v>
      </c>
      <c r="G79" s="19">
        <f t="shared" si="63"/>
        <v>191952.91666666674</v>
      </c>
      <c r="H79" s="19">
        <f t="shared" ref="H79:I79" si="64">H14-H46</f>
        <v>61269.916666666744</v>
      </c>
      <c r="I79" s="19">
        <f t="shared" si="64"/>
        <v>206521.91666666674</v>
      </c>
      <c r="J79" s="19">
        <f t="shared" ref="J79:K79" si="65">J14-J46</f>
        <v>-214360.08333333326</v>
      </c>
      <c r="K79" s="19">
        <f t="shared" si="65"/>
        <v>-372736.08333333326</v>
      </c>
      <c r="L79" s="19">
        <f t="shared" ref="L79:N79" si="66">L14-L46</f>
        <v>638009.91666666674</v>
      </c>
      <c r="M79" s="19">
        <f t="shared" si="66"/>
        <v>638009.91666666674</v>
      </c>
      <c r="N79" s="19">
        <f t="shared" si="66"/>
        <v>638009.58666666667</v>
      </c>
      <c r="O79" s="19">
        <f t="shared" ref="O79" si="67">SUM(O72:O78)</f>
        <v>893707.55000000028</v>
      </c>
    </row>
    <row r="80" spans="1:16">
      <c r="B80" s="39"/>
      <c r="C80" s="33"/>
      <c r="D80" s="33"/>
      <c r="E80" s="33"/>
      <c r="F80" s="33"/>
      <c r="G80" s="33"/>
      <c r="H80" s="33"/>
      <c r="I80" s="33"/>
      <c r="J80" s="33"/>
      <c r="K80" s="33"/>
      <c r="L80" s="33"/>
      <c r="M80" s="33"/>
      <c r="N80" s="33"/>
      <c r="O80" s="18"/>
    </row>
    <row r="81" spans="1:15">
      <c r="B81" s="39" t="s">
        <v>94</v>
      </c>
      <c r="C81" s="33"/>
      <c r="D81" s="33"/>
      <c r="E81" s="33"/>
      <c r="F81" s="33"/>
      <c r="G81" s="33"/>
      <c r="H81" s="33"/>
      <c r="I81" s="33"/>
      <c r="J81" s="33"/>
      <c r="K81" s="33"/>
      <c r="L81" s="33"/>
      <c r="M81" s="33"/>
      <c r="N81" s="33"/>
      <c r="O81" s="16"/>
    </row>
    <row r="82" spans="1:15">
      <c r="B82" s="38" t="s">
        <v>34</v>
      </c>
      <c r="C82" s="34">
        <f t="shared" ref="C82:E82" si="68">C17-C49</f>
        <v>-248476.16666666666</v>
      </c>
      <c r="D82" s="34">
        <f t="shared" si="68"/>
        <v>-14498.126666666665</v>
      </c>
      <c r="E82" s="34">
        <f t="shared" si="68"/>
        <v>-85902.556666666671</v>
      </c>
      <c r="F82" s="34">
        <f t="shared" ref="F82:G82" si="69">F17-F49</f>
        <v>-18625.166666666668</v>
      </c>
      <c r="G82" s="34">
        <f t="shared" si="69"/>
        <v>-13522.166666666666</v>
      </c>
      <c r="H82" s="34">
        <f t="shared" ref="H82:I82" si="70">H17-H49</f>
        <v>-11658.166666666666</v>
      </c>
      <c r="I82" s="34">
        <f t="shared" si="70"/>
        <v>-25818.166666666668</v>
      </c>
      <c r="J82" s="34">
        <f t="shared" ref="J82:K82" si="71">J17-J49</f>
        <v>-17843.166666666668</v>
      </c>
      <c r="K82" s="34">
        <f t="shared" si="71"/>
        <v>-7847.1666666666661</v>
      </c>
      <c r="L82" s="34">
        <f t="shared" ref="L82:N82" si="72">L17-L49</f>
        <v>3631.8333333333335</v>
      </c>
      <c r="M82" s="34">
        <f t="shared" si="72"/>
        <v>3631.8333333333335</v>
      </c>
      <c r="N82" s="34">
        <f t="shared" si="72"/>
        <v>3631.8333333333335</v>
      </c>
      <c r="O82" s="16">
        <f t="shared" ref="O82:O88" si="73">SUM(C82:N82)</f>
        <v>-433295.35000000015</v>
      </c>
    </row>
    <row r="83" spans="1:15">
      <c r="B83" s="38" t="s">
        <v>35</v>
      </c>
      <c r="C83" s="34">
        <f t="shared" ref="C83:E83" si="74">C18-C50</f>
        <v>-34295.836666666662</v>
      </c>
      <c r="D83" s="34">
        <f t="shared" si="74"/>
        <v>2284.9033333333355</v>
      </c>
      <c r="E83" s="34">
        <f t="shared" si="74"/>
        <v>-25509.926666666666</v>
      </c>
      <c r="F83" s="34">
        <f t="shared" ref="F83:G83" si="75">F18-F50</f>
        <v>7611.0833333333358</v>
      </c>
      <c r="G83" s="34">
        <f t="shared" si="75"/>
        <v>-7904.9166666666642</v>
      </c>
      <c r="H83" s="34">
        <f t="shared" ref="H83:I83" si="76">H18-H50</f>
        <v>10790.083333333336</v>
      </c>
      <c r="I83" s="34">
        <f t="shared" si="76"/>
        <v>-18884.916666666664</v>
      </c>
      <c r="J83" s="34">
        <f t="shared" ref="J83:K83" si="77">J18-J50</f>
        <v>-14367.916666666664</v>
      </c>
      <c r="K83" s="34">
        <f t="shared" si="77"/>
        <v>33307.083333333336</v>
      </c>
      <c r="L83" s="34">
        <f t="shared" ref="L83:N83" si="78">L18-L50</f>
        <v>36735.083333333336</v>
      </c>
      <c r="M83" s="34">
        <f t="shared" si="78"/>
        <v>36735.083333333336</v>
      </c>
      <c r="N83" s="34">
        <f t="shared" si="78"/>
        <v>36735.083333333336</v>
      </c>
      <c r="O83" s="16">
        <f t="shared" si="73"/>
        <v>63234.890000000043</v>
      </c>
    </row>
    <row r="84" spans="1:15" hidden="1">
      <c r="B84" s="38" t="s">
        <v>36</v>
      </c>
      <c r="C84" s="34">
        <f t="shared" ref="C84:E84" si="79">C19-C51</f>
        <v>69378.509999999995</v>
      </c>
      <c r="D84" s="34">
        <f t="shared" si="79"/>
        <v>-2981.95</v>
      </c>
      <c r="E84" s="34">
        <f t="shared" si="79"/>
        <v>-46077.66</v>
      </c>
      <c r="F84" s="34">
        <f t="shared" ref="F84:G84" si="80">F19-F51</f>
        <v>23923</v>
      </c>
      <c r="G84" s="34">
        <f t="shared" si="80"/>
        <v>-77</v>
      </c>
      <c r="H84" s="34">
        <f t="shared" ref="H84:I84" si="81">H19-H51</f>
        <v>-16537</v>
      </c>
      <c r="I84" s="34">
        <f t="shared" si="81"/>
        <v>-10237</v>
      </c>
      <c r="J84" s="34">
        <f t="shared" ref="J84:K84" si="82">J19-J51</f>
        <v>15048</v>
      </c>
      <c r="K84" s="34">
        <f t="shared" si="82"/>
        <v>-20977</v>
      </c>
      <c r="L84" s="34">
        <f t="shared" ref="L84:N84" si="83">L19-L51</f>
        <v>0</v>
      </c>
      <c r="M84" s="34">
        <f t="shared" si="83"/>
        <v>0</v>
      </c>
      <c r="N84" s="34">
        <f t="shared" si="83"/>
        <v>0</v>
      </c>
      <c r="O84" s="16">
        <f t="shared" si="73"/>
        <v>11461.899999999994</v>
      </c>
    </row>
    <row r="85" spans="1:15" hidden="1">
      <c r="B85" s="38" t="s">
        <v>37</v>
      </c>
      <c r="C85" s="34">
        <f t="shared" ref="C85:E85" si="84">C20-C52</f>
        <v>0</v>
      </c>
      <c r="D85" s="34">
        <f t="shared" si="84"/>
        <v>0</v>
      </c>
      <c r="E85" s="34">
        <f t="shared" si="84"/>
        <v>0</v>
      </c>
      <c r="F85" s="34">
        <f t="shared" ref="F85:G85" si="85">F20-F52</f>
        <v>0</v>
      </c>
      <c r="G85" s="34">
        <f t="shared" si="85"/>
        <v>0</v>
      </c>
      <c r="H85" s="34">
        <f t="shared" ref="H85:I85" si="86">H20-H52</f>
        <v>0</v>
      </c>
      <c r="I85" s="34">
        <f t="shared" si="86"/>
        <v>0</v>
      </c>
      <c r="J85" s="34">
        <f t="shared" ref="J85:K85" si="87">J20-J52</f>
        <v>0</v>
      </c>
      <c r="K85" s="34">
        <f t="shared" si="87"/>
        <v>0</v>
      </c>
      <c r="L85" s="34">
        <f t="shared" ref="L85:N85" si="88">L20-L52</f>
        <v>0</v>
      </c>
      <c r="M85" s="34">
        <f t="shared" si="88"/>
        <v>0</v>
      </c>
      <c r="N85" s="34">
        <f t="shared" si="88"/>
        <v>0</v>
      </c>
      <c r="O85" s="16">
        <f t="shared" si="73"/>
        <v>0</v>
      </c>
    </row>
    <row r="86" spans="1:15" hidden="1">
      <c r="B86" s="38" t="s">
        <v>38</v>
      </c>
      <c r="C86" s="34">
        <f t="shared" ref="C86:E86" si="89">C21-C53</f>
        <v>0</v>
      </c>
      <c r="D86" s="34">
        <f t="shared" si="89"/>
        <v>0</v>
      </c>
      <c r="E86" s="34">
        <f t="shared" si="89"/>
        <v>0</v>
      </c>
      <c r="F86" s="34">
        <f t="shared" ref="F86:G86" si="90">F21-F53</f>
        <v>0</v>
      </c>
      <c r="G86" s="34">
        <f t="shared" si="90"/>
        <v>0</v>
      </c>
      <c r="H86" s="34">
        <f t="shared" ref="H86:I86" si="91">H21-H53</f>
        <v>0</v>
      </c>
      <c r="I86" s="34">
        <f t="shared" si="91"/>
        <v>0</v>
      </c>
      <c r="J86" s="34">
        <f t="shared" ref="J86:K86" si="92">J21-J53</f>
        <v>0</v>
      </c>
      <c r="K86" s="34">
        <f t="shared" si="92"/>
        <v>0</v>
      </c>
      <c r="L86" s="34">
        <f t="shared" ref="L86:N86" si="93">L21-L53</f>
        <v>0</v>
      </c>
      <c r="M86" s="34">
        <f t="shared" si="93"/>
        <v>0</v>
      </c>
      <c r="N86" s="34">
        <f t="shared" si="93"/>
        <v>0</v>
      </c>
      <c r="O86" s="16">
        <f t="shared" si="73"/>
        <v>0</v>
      </c>
    </row>
    <row r="87" spans="1:15">
      <c r="B87" s="38" t="s">
        <v>39</v>
      </c>
      <c r="C87" s="34">
        <f t="shared" ref="C87:E87" si="94">C22-C54</f>
        <v>121160.32333333333</v>
      </c>
      <c r="D87" s="34">
        <f t="shared" si="94"/>
        <v>121116.41333333333</v>
      </c>
      <c r="E87" s="34">
        <f t="shared" si="94"/>
        <v>-180017.07666666666</v>
      </c>
      <c r="F87" s="34">
        <f t="shared" ref="F87:G87" si="95">F22-F54</f>
        <v>120891.58333333333</v>
      </c>
      <c r="G87" s="34">
        <f t="shared" si="95"/>
        <v>121304.58333333333</v>
      </c>
      <c r="H87" s="34">
        <f t="shared" ref="H87:I87" si="96">H22-H54</f>
        <v>-162519.41666666669</v>
      </c>
      <c r="I87" s="34">
        <f t="shared" si="96"/>
        <v>121047.58333333333</v>
      </c>
      <c r="J87" s="34">
        <f t="shared" ref="J87:K87" si="97">J22-J54</f>
        <v>121103.58333333333</v>
      </c>
      <c r="K87" s="34">
        <f t="shared" si="97"/>
        <v>120057.58333333333</v>
      </c>
      <c r="L87" s="34">
        <f t="shared" ref="L87:N87" si="98">L22-L54</f>
        <v>121637.58333333333</v>
      </c>
      <c r="M87" s="34">
        <f t="shared" si="98"/>
        <v>121637.58333333333</v>
      </c>
      <c r="N87" s="34">
        <f t="shared" si="98"/>
        <v>121637.25333333333</v>
      </c>
      <c r="O87" s="16">
        <f t="shared" si="73"/>
        <v>869057.58</v>
      </c>
    </row>
    <row r="88" spans="1:15">
      <c r="B88" s="38" t="s">
        <v>40</v>
      </c>
      <c r="C88" s="34">
        <f t="shared" ref="C88:E88" si="99">C23-C55</f>
        <v>4800.5866666666698</v>
      </c>
      <c r="D88" s="34">
        <f t="shared" si="99"/>
        <v>134.66666666667152</v>
      </c>
      <c r="E88" s="34">
        <f t="shared" si="99"/>
        <v>-20163.013333333321</v>
      </c>
      <c r="F88" s="34">
        <f t="shared" ref="F88:G88" si="100">F23-F55</f>
        <v>-18884.083333333328</v>
      </c>
      <c r="G88" s="34">
        <f t="shared" si="100"/>
        <v>54589.916666666672</v>
      </c>
      <c r="H88" s="34">
        <f t="shared" ref="H88:I88" si="101">H23-H55</f>
        <v>5669.9166666666715</v>
      </c>
      <c r="I88" s="34">
        <f t="shared" si="101"/>
        <v>-15529.083333333328</v>
      </c>
      <c r="J88" s="34">
        <f t="shared" ref="J88:K88" si="102">J23-J55</f>
        <v>-2162.0833333333285</v>
      </c>
      <c r="K88" s="34">
        <f t="shared" si="102"/>
        <v>25918.916666666672</v>
      </c>
      <c r="L88" s="34">
        <f t="shared" ref="L88:N88" si="103">L23-L55</f>
        <v>85462.916666666672</v>
      </c>
      <c r="M88" s="34">
        <f t="shared" si="103"/>
        <v>85462.916666666672</v>
      </c>
      <c r="N88" s="34">
        <f t="shared" si="103"/>
        <v>85462.916666666672</v>
      </c>
      <c r="O88" s="16">
        <f t="shared" si="73"/>
        <v>290764.49000000005</v>
      </c>
    </row>
    <row r="89" spans="1:15">
      <c r="A89" t="s">
        <v>101</v>
      </c>
      <c r="B89" s="39" t="s">
        <v>45</v>
      </c>
      <c r="C89" s="19">
        <f t="shared" ref="C89:E89" si="104">C24-C56</f>
        <v>-87432.583333333314</v>
      </c>
      <c r="D89" s="19">
        <f t="shared" si="104"/>
        <v>106055.90666666668</v>
      </c>
      <c r="E89" s="19">
        <f t="shared" si="104"/>
        <v>-357670.23333333322</v>
      </c>
      <c r="F89" s="19">
        <f t="shared" ref="F89:G89" si="105">F24-F56</f>
        <v>114916.41666666669</v>
      </c>
      <c r="G89" s="19">
        <f t="shared" si="105"/>
        <v>154390.41666666669</v>
      </c>
      <c r="H89" s="19">
        <f t="shared" ref="H89:I89" si="106">H24-H56</f>
        <v>-174254.58333333331</v>
      </c>
      <c r="I89" s="19">
        <f t="shared" si="106"/>
        <v>50578.416666666686</v>
      </c>
      <c r="J89" s="19">
        <f t="shared" ref="J89:K89" si="107">J24-J56</f>
        <v>101778.41666666669</v>
      </c>
      <c r="K89" s="19">
        <f t="shared" si="107"/>
        <v>150459.41666666669</v>
      </c>
      <c r="L89" s="19">
        <f t="shared" ref="L89:N89" si="108">L24-L56</f>
        <v>247467.41666666669</v>
      </c>
      <c r="M89" s="19">
        <f t="shared" si="108"/>
        <v>247467.41666666669</v>
      </c>
      <c r="N89" s="19">
        <f t="shared" si="108"/>
        <v>247467.08666666667</v>
      </c>
      <c r="O89" s="19">
        <f t="shared" ref="O89" si="109">SUM(O82:O88)</f>
        <v>801223.51</v>
      </c>
    </row>
    <row r="90" spans="1:15">
      <c r="B90" s="39"/>
      <c r="C90" s="33"/>
      <c r="D90" s="33"/>
      <c r="E90" s="33"/>
      <c r="F90" s="33"/>
      <c r="G90" s="33"/>
      <c r="H90" s="33"/>
      <c r="I90" s="33"/>
      <c r="J90" s="33"/>
      <c r="K90" s="33"/>
      <c r="L90" s="33"/>
      <c r="M90" s="33"/>
      <c r="N90" s="33"/>
      <c r="O90" s="18"/>
    </row>
    <row r="91" spans="1:15">
      <c r="B91" s="39" t="s">
        <v>95</v>
      </c>
      <c r="C91" s="33"/>
      <c r="D91" s="33"/>
      <c r="E91" s="33"/>
      <c r="F91" s="33"/>
      <c r="G91" s="33"/>
      <c r="H91" s="33"/>
      <c r="I91" s="33"/>
      <c r="J91" s="33"/>
      <c r="K91" s="33"/>
      <c r="L91" s="33"/>
      <c r="M91" s="33"/>
      <c r="N91" s="33"/>
      <c r="O91" s="18"/>
    </row>
    <row r="92" spans="1:15">
      <c r="B92" s="38" t="s">
        <v>34</v>
      </c>
      <c r="C92" s="34">
        <f t="shared" ref="C92:E92" si="110">C27-C59</f>
        <v>51183.813333333339</v>
      </c>
      <c r="D92" s="34">
        <f t="shared" si="110"/>
        <v>49035.603333333333</v>
      </c>
      <c r="E92" s="34">
        <f t="shared" si="110"/>
        <v>49951.983333333337</v>
      </c>
      <c r="F92" s="34">
        <f t="shared" ref="F92:G92" si="111">F27-F59</f>
        <v>53704.833333333336</v>
      </c>
      <c r="G92" s="34">
        <f t="shared" si="111"/>
        <v>50674.833333333336</v>
      </c>
      <c r="H92" s="34">
        <f t="shared" ref="H92:I92" si="112">H27-H59</f>
        <v>52397.833333333336</v>
      </c>
      <c r="I92" s="34">
        <f t="shared" si="112"/>
        <v>54039.833333333336</v>
      </c>
      <c r="J92" s="34">
        <f t="shared" ref="J92:K92" si="113">J27-J59</f>
        <v>52122.833333333336</v>
      </c>
      <c r="K92" s="34">
        <f t="shared" si="113"/>
        <v>52401.833333333336</v>
      </c>
      <c r="L92" s="34">
        <f t="shared" ref="L92:N92" si="114">L27-L59</f>
        <v>59296.833333333336</v>
      </c>
      <c r="M92" s="34">
        <f t="shared" si="114"/>
        <v>59296.833333333336</v>
      </c>
      <c r="N92" s="34">
        <f t="shared" si="114"/>
        <v>59296.833333333336</v>
      </c>
      <c r="O92" s="16">
        <f t="shared" ref="O92:O98" si="115">SUM(C92:N92)</f>
        <v>643403.9</v>
      </c>
    </row>
    <row r="93" spans="1:15">
      <c r="B93" s="38" t="s">
        <v>35</v>
      </c>
      <c r="C93" s="34">
        <f t="shared" ref="C93:E93" si="116">C28-C60</f>
        <v>37643.78</v>
      </c>
      <c r="D93" s="34">
        <f t="shared" si="116"/>
        <v>37615.800000000003</v>
      </c>
      <c r="E93" s="34">
        <f t="shared" si="116"/>
        <v>37760</v>
      </c>
      <c r="F93" s="34">
        <f t="shared" ref="F93:G93" si="117">F28-F60</f>
        <v>34591</v>
      </c>
      <c r="G93" s="34">
        <f t="shared" si="117"/>
        <v>29285</v>
      </c>
      <c r="H93" s="34">
        <f t="shared" ref="H93:I93" si="118">H28-H60</f>
        <v>30548</v>
      </c>
      <c r="I93" s="34">
        <f t="shared" si="118"/>
        <v>35419</v>
      </c>
      <c r="J93" s="34">
        <f t="shared" ref="J93:K93" si="119">J28-J60</f>
        <v>35311</v>
      </c>
      <c r="K93" s="34">
        <f t="shared" si="119"/>
        <v>35708</v>
      </c>
      <c r="L93" s="34">
        <f t="shared" ref="L93:N93" si="120">L28-L60</f>
        <v>37760</v>
      </c>
      <c r="M93" s="34">
        <f t="shared" si="120"/>
        <v>37760</v>
      </c>
      <c r="N93" s="34">
        <f t="shared" si="120"/>
        <v>37760</v>
      </c>
      <c r="O93" s="16">
        <f t="shared" si="115"/>
        <v>427161.58</v>
      </c>
    </row>
    <row r="94" spans="1:15">
      <c r="B94" s="38" t="s">
        <v>36</v>
      </c>
      <c r="C94" s="34">
        <f t="shared" ref="C94:E94" si="121">C29-C61</f>
        <v>2744.5</v>
      </c>
      <c r="D94" s="34">
        <f t="shared" si="121"/>
        <v>2744.5</v>
      </c>
      <c r="E94" s="34">
        <f t="shared" si="121"/>
        <v>2744.5</v>
      </c>
      <c r="F94" s="34">
        <f t="shared" ref="F94:G94" si="122">F29-F61</f>
        <v>2744.5</v>
      </c>
      <c r="G94" s="34">
        <f t="shared" si="122"/>
        <v>2744.5</v>
      </c>
      <c r="H94" s="34">
        <f t="shared" ref="H94:I94" si="123">H29-H61</f>
        <v>2744.5</v>
      </c>
      <c r="I94" s="34">
        <f t="shared" si="123"/>
        <v>2744.5</v>
      </c>
      <c r="J94" s="34">
        <f t="shared" ref="J94:K94" si="124">J29-J61</f>
        <v>2744.5</v>
      </c>
      <c r="K94" s="34">
        <f t="shared" si="124"/>
        <v>2744.5</v>
      </c>
      <c r="L94" s="34">
        <f t="shared" ref="L94:N94" si="125">L29-L61</f>
        <v>2744.5</v>
      </c>
      <c r="M94" s="34">
        <f t="shared" si="125"/>
        <v>2744.5</v>
      </c>
      <c r="N94" s="34">
        <f t="shared" si="125"/>
        <v>2744.5</v>
      </c>
      <c r="O94" s="16">
        <f t="shared" si="115"/>
        <v>32934</v>
      </c>
    </row>
    <row r="95" spans="1:15" hidden="1">
      <c r="B95" s="38" t="s">
        <v>37</v>
      </c>
      <c r="C95" s="34">
        <f t="shared" ref="C95:E95" si="126">C30-C62</f>
        <v>0</v>
      </c>
      <c r="D95" s="34">
        <f t="shared" si="126"/>
        <v>0</v>
      </c>
      <c r="E95" s="34">
        <f t="shared" si="126"/>
        <v>0</v>
      </c>
      <c r="F95" s="34">
        <f t="shared" ref="F95:G95" si="127">F30-F62</f>
        <v>0</v>
      </c>
      <c r="G95" s="34">
        <f t="shared" si="127"/>
        <v>0</v>
      </c>
      <c r="H95" s="34">
        <f t="shared" ref="H95:I95" si="128">H30-H62</f>
        <v>0</v>
      </c>
      <c r="I95" s="34">
        <f t="shared" si="128"/>
        <v>0</v>
      </c>
      <c r="J95" s="34">
        <f t="shared" ref="J95:K95" si="129">J30-J62</f>
        <v>0</v>
      </c>
      <c r="K95" s="34">
        <f t="shared" si="129"/>
        <v>0</v>
      </c>
      <c r="L95" s="34">
        <f t="shared" ref="L95:N95" si="130">L30-L62</f>
        <v>0</v>
      </c>
      <c r="M95" s="34">
        <f t="shared" si="130"/>
        <v>0</v>
      </c>
      <c r="N95" s="34">
        <f t="shared" si="130"/>
        <v>0</v>
      </c>
      <c r="O95" s="16">
        <f t="shared" si="115"/>
        <v>0</v>
      </c>
    </row>
    <row r="96" spans="1:15" hidden="1">
      <c r="B96" s="38" t="s">
        <v>38</v>
      </c>
      <c r="C96" s="34">
        <f t="shared" ref="C96:E96" si="131">C31-C63</f>
        <v>0</v>
      </c>
      <c r="D96" s="34">
        <f t="shared" si="131"/>
        <v>0</v>
      </c>
      <c r="E96" s="34">
        <f t="shared" si="131"/>
        <v>0</v>
      </c>
      <c r="F96" s="34">
        <f t="shared" ref="F96:G96" si="132">F31-F63</f>
        <v>0</v>
      </c>
      <c r="G96" s="34">
        <f t="shared" si="132"/>
        <v>0</v>
      </c>
      <c r="H96" s="34">
        <f t="shared" ref="H96:I96" si="133">H31-H63</f>
        <v>0</v>
      </c>
      <c r="I96" s="34">
        <f t="shared" si="133"/>
        <v>0</v>
      </c>
      <c r="J96" s="34">
        <f t="shared" ref="J96:K96" si="134">J31-J63</f>
        <v>0</v>
      </c>
      <c r="K96" s="34">
        <f t="shared" si="134"/>
        <v>0</v>
      </c>
      <c r="L96" s="34">
        <f t="shared" ref="L96:N96" si="135">L31-L63</f>
        <v>0</v>
      </c>
      <c r="M96" s="34">
        <f t="shared" si="135"/>
        <v>0</v>
      </c>
      <c r="N96" s="34">
        <f t="shared" si="135"/>
        <v>0</v>
      </c>
      <c r="O96" s="16">
        <f t="shared" si="115"/>
        <v>0</v>
      </c>
    </row>
    <row r="97" spans="1:15" hidden="1">
      <c r="B97" s="38" t="s">
        <v>39</v>
      </c>
      <c r="C97" s="34">
        <f t="shared" ref="C97:E97" si="136">C32-C64</f>
        <v>0</v>
      </c>
      <c r="D97" s="34">
        <f t="shared" si="136"/>
        <v>0</v>
      </c>
      <c r="E97" s="34">
        <f t="shared" si="136"/>
        <v>0</v>
      </c>
      <c r="F97" s="34">
        <f t="shared" ref="F97:G97" si="137">F32-F64</f>
        <v>0</v>
      </c>
      <c r="G97" s="34">
        <f t="shared" si="137"/>
        <v>0</v>
      </c>
      <c r="H97" s="34">
        <f t="shared" ref="H97:I97" si="138">H32-H64</f>
        <v>0</v>
      </c>
      <c r="I97" s="34">
        <f t="shared" si="138"/>
        <v>0</v>
      </c>
      <c r="J97" s="34">
        <f t="shared" ref="J97:K97" si="139">J32-J64</f>
        <v>0</v>
      </c>
      <c r="K97" s="34">
        <f t="shared" si="139"/>
        <v>0</v>
      </c>
      <c r="L97" s="34">
        <f t="shared" ref="L97:N97" si="140">L32-L64</f>
        <v>0</v>
      </c>
      <c r="M97" s="34">
        <f t="shared" si="140"/>
        <v>0</v>
      </c>
      <c r="N97" s="34">
        <f t="shared" si="140"/>
        <v>0</v>
      </c>
      <c r="O97" s="16">
        <f t="shared" si="115"/>
        <v>0</v>
      </c>
    </row>
    <row r="98" spans="1:15">
      <c r="B98" s="38" t="s">
        <v>40</v>
      </c>
      <c r="C98" s="34">
        <f t="shared" ref="C98:E98" si="141">C33-C65</f>
        <v>46833.916666666664</v>
      </c>
      <c r="D98" s="34">
        <f t="shared" si="141"/>
        <v>46833.916666666664</v>
      </c>
      <c r="E98" s="34">
        <f t="shared" si="141"/>
        <v>46833.916666666664</v>
      </c>
      <c r="F98" s="34">
        <f t="shared" ref="F98:G98" si="142">F33-F65</f>
        <v>46242.916666666664</v>
      </c>
      <c r="G98" s="34">
        <f t="shared" si="142"/>
        <v>42599.916666666664</v>
      </c>
      <c r="H98" s="34">
        <f t="shared" ref="H98:I98" si="143">H33-H65</f>
        <v>42927.916666666664</v>
      </c>
      <c r="I98" s="34">
        <f t="shared" si="143"/>
        <v>42794.916666666664</v>
      </c>
      <c r="J98" s="34">
        <f t="shared" ref="J98:K98" si="144">J33-J65</f>
        <v>45695.916666666664</v>
      </c>
      <c r="K98" s="34">
        <f t="shared" si="144"/>
        <v>44360.916666666664</v>
      </c>
      <c r="L98" s="34">
        <f t="shared" ref="L98:N98" si="145">L33-L65</f>
        <v>46833.916666666664</v>
      </c>
      <c r="M98" s="34">
        <f t="shared" si="145"/>
        <v>46833.916666666664</v>
      </c>
      <c r="N98" s="34">
        <f t="shared" si="145"/>
        <v>46833.916666666664</v>
      </c>
      <c r="O98" s="16">
        <f t="shared" si="115"/>
        <v>545626.00000000012</v>
      </c>
    </row>
    <row r="99" spans="1:15">
      <c r="A99" t="s">
        <v>102</v>
      </c>
      <c r="B99" s="39" t="s">
        <v>45</v>
      </c>
      <c r="C99" s="19">
        <f t="shared" ref="C99:E99" si="146">C34-C66</f>
        <v>138406.01</v>
      </c>
      <c r="D99" s="19">
        <f t="shared" si="146"/>
        <v>136229.82</v>
      </c>
      <c r="E99" s="19">
        <f t="shared" si="146"/>
        <v>137290.4</v>
      </c>
      <c r="F99" s="19">
        <f t="shared" ref="F99:G99" si="147">F34-F66</f>
        <v>137283.25</v>
      </c>
      <c r="G99" s="19">
        <f t="shared" si="147"/>
        <v>125304.25</v>
      </c>
      <c r="H99" s="19">
        <f t="shared" ref="H99:I99" si="148">H34-H66</f>
        <v>128618.25</v>
      </c>
      <c r="I99" s="19">
        <f t="shared" si="148"/>
        <v>134998.25</v>
      </c>
      <c r="J99" s="19">
        <f t="shared" ref="J99:K99" si="149">J34-J66</f>
        <v>135874.25</v>
      </c>
      <c r="K99" s="19">
        <f t="shared" si="149"/>
        <v>135215.25</v>
      </c>
      <c r="L99" s="19">
        <f t="shared" ref="L99:N99" si="150">L34-L66</f>
        <v>146635.25</v>
      </c>
      <c r="M99" s="19">
        <f t="shared" si="150"/>
        <v>146635.25</v>
      </c>
      <c r="N99" s="19">
        <f t="shared" si="150"/>
        <v>146635.25</v>
      </c>
      <c r="O99" s="19">
        <f t="shared" ref="O99" si="151">SUM(O92:O98)</f>
        <v>1649125.48</v>
      </c>
    </row>
    <row r="100" spans="1:15">
      <c r="B100" s="39"/>
      <c r="C100" s="33"/>
      <c r="D100" s="33"/>
      <c r="E100" s="33"/>
      <c r="F100" s="33"/>
      <c r="G100" s="33"/>
      <c r="H100" s="33"/>
      <c r="I100" s="33"/>
      <c r="J100" s="33"/>
      <c r="K100" s="33"/>
      <c r="L100" s="33"/>
      <c r="M100" s="33"/>
      <c r="N100" s="33"/>
      <c r="O100" s="18"/>
    </row>
    <row r="101" spans="1:15" ht="15.75" thickBot="1">
      <c r="B101" s="39" t="s">
        <v>45</v>
      </c>
      <c r="C101" s="36">
        <f>C36-C68</f>
        <v>-76749.756666666362</v>
      </c>
      <c r="D101" s="36">
        <f t="shared" ref="D101:E101" si="152">D36-D68</f>
        <v>173216.14333333331</v>
      </c>
      <c r="E101" s="36">
        <f t="shared" si="152"/>
        <v>-446535.43666666653</v>
      </c>
      <c r="F101" s="36">
        <f t="shared" ref="F101:G101" si="153">F36-F68</f>
        <v>-217822.41666666651</v>
      </c>
      <c r="G101" s="36">
        <f t="shared" si="153"/>
        <v>471647.58333333349</v>
      </c>
      <c r="H101" s="36">
        <f t="shared" ref="H101:I101" si="154">H36-H68</f>
        <v>15633.583333333489</v>
      </c>
      <c r="I101" s="36">
        <f t="shared" si="154"/>
        <v>392098.58333333349</v>
      </c>
      <c r="J101" s="36">
        <f t="shared" ref="J101:N101" si="155">J36-J68</f>
        <v>23292.583333333489</v>
      </c>
      <c r="K101" s="36">
        <f t="shared" si="155"/>
        <v>-87061.416666666511</v>
      </c>
      <c r="L101" s="36">
        <f t="shared" si="155"/>
        <v>1032112.5833333335</v>
      </c>
      <c r="M101" s="36">
        <f t="shared" si="155"/>
        <v>1032112.5833333335</v>
      </c>
      <c r="N101" s="36">
        <f t="shared" si="155"/>
        <v>1032111.9233333333</v>
      </c>
      <c r="O101" s="36">
        <f t="shared" ref="O101" si="156">O99+O89+O79</f>
        <v>3344056.5400000005</v>
      </c>
    </row>
    <row r="102" spans="1:15" ht="15.75" thickTop="1">
      <c r="B102" s="9"/>
    </row>
    <row r="103" spans="1:15">
      <c r="B103" s="9"/>
    </row>
    <row r="104" spans="1:15">
      <c r="B104" s="30" t="s">
        <v>59</v>
      </c>
      <c r="C104" s="18"/>
      <c r="D104" s="18"/>
      <c r="E104" s="18"/>
      <c r="F104" s="18"/>
      <c r="G104" s="18"/>
      <c r="H104" s="18"/>
      <c r="I104" s="18"/>
      <c r="J104" s="18"/>
      <c r="K104" s="18"/>
      <c r="L104" s="18"/>
      <c r="M104" s="18"/>
      <c r="N104" s="18"/>
      <c r="O104" s="18"/>
    </row>
    <row r="105" spans="1:15" ht="31.5" customHeight="1">
      <c r="B105" s="91" t="s">
        <v>68</v>
      </c>
      <c r="C105" s="91"/>
      <c r="D105" s="91"/>
      <c r="E105" s="91"/>
      <c r="F105" s="91"/>
      <c r="G105" s="91"/>
      <c r="H105" s="91"/>
      <c r="I105" s="91"/>
      <c r="J105" s="91"/>
      <c r="K105" s="91"/>
      <c r="L105" s="91"/>
      <c r="M105" s="91"/>
      <c r="N105" s="91"/>
      <c r="O105" s="91"/>
    </row>
    <row r="106" spans="1:15" ht="31.5" customHeight="1">
      <c r="B106" s="91" t="s">
        <v>69</v>
      </c>
      <c r="C106" s="91"/>
      <c r="D106" s="91"/>
      <c r="E106" s="91"/>
      <c r="F106" s="91"/>
      <c r="G106" s="91"/>
      <c r="H106" s="91"/>
      <c r="I106" s="91"/>
      <c r="J106" s="91"/>
      <c r="K106" s="91"/>
      <c r="L106" s="91"/>
      <c r="M106" s="91"/>
      <c r="N106" s="91"/>
      <c r="O106" s="91"/>
    </row>
    <row r="108" spans="1:15">
      <c r="B108" s="59" t="s">
        <v>61</v>
      </c>
    </row>
    <row r="109" spans="1:15">
      <c r="B109" s="92" t="s">
        <v>76</v>
      </c>
      <c r="C109" s="92"/>
      <c r="D109" s="92"/>
      <c r="E109" s="92"/>
      <c r="F109" s="92"/>
      <c r="G109" s="92"/>
      <c r="H109" s="92"/>
      <c r="I109" s="92"/>
      <c r="J109" s="92"/>
      <c r="K109" s="92"/>
      <c r="L109" s="92"/>
      <c r="M109" s="92"/>
      <c r="N109" s="92"/>
      <c r="O109" s="92"/>
    </row>
    <row r="110" spans="1:15">
      <c r="B110" s="92" t="s">
        <v>64</v>
      </c>
      <c r="C110" s="92"/>
      <c r="D110" s="92"/>
      <c r="E110" s="92"/>
      <c r="F110" s="92"/>
      <c r="G110" s="92"/>
      <c r="H110" s="92"/>
      <c r="I110" s="92"/>
      <c r="J110" s="92"/>
      <c r="K110" s="92"/>
      <c r="L110" s="92"/>
      <c r="M110" s="92"/>
      <c r="N110" s="92"/>
      <c r="O110" s="92"/>
    </row>
    <row r="111" spans="1:15" ht="30.75" customHeight="1">
      <c r="B111" s="90" t="s">
        <v>65</v>
      </c>
      <c r="C111" s="90"/>
      <c r="D111" s="90"/>
      <c r="E111" s="90"/>
      <c r="F111" s="90"/>
      <c r="G111" s="90"/>
      <c r="H111" s="90"/>
      <c r="I111" s="90"/>
      <c r="J111" s="90"/>
      <c r="K111" s="90"/>
      <c r="L111" s="90"/>
      <c r="M111" s="90"/>
      <c r="N111" s="90"/>
      <c r="O111" s="90"/>
    </row>
    <row r="112" spans="1:15" ht="29.25" customHeight="1">
      <c r="B112" s="90" t="s">
        <v>138</v>
      </c>
      <c r="C112" s="90"/>
      <c r="D112" s="90"/>
      <c r="E112" s="90"/>
      <c r="F112" s="90"/>
      <c r="G112" s="90"/>
      <c r="H112" s="90"/>
      <c r="I112" s="90"/>
      <c r="J112" s="90"/>
      <c r="K112" s="90"/>
      <c r="L112" s="90"/>
      <c r="M112" s="90"/>
      <c r="N112" s="90"/>
      <c r="O112" s="90"/>
    </row>
    <row r="113" spans="2:15">
      <c r="B113" s="90" t="s">
        <v>139</v>
      </c>
      <c r="C113" s="90"/>
      <c r="D113" s="90"/>
      <c r="E113" s="90"/>
      <c r="F113" s="90"/>
      <c r="G113" s="90"/>
      <c r="H113" s="90"/>
      <c r="I113" s="90"/>
      <c r="J113" s="90"/>
      <c r="K113" s="90"/>
      <c r="L113" s="90"/>
      <c r="M113" s="90"/>
      <c r="N113" s="90"/>
      <c r="O113" s="90"/>
    </row>
    <row r="114" spans="2:15">
      <c r="B114" s="90" t="s">
        <v>145</v>
      </c>
      <c r="C114" s="90"/>
      <c r="D114" s="90"/>
      <c r="E114" s="90"/>
      <c r="F114" s="90"/>
      <c r="G114" s="90"/>
      <c r="H114" s="90"/>
      <c r="I114" s="90"/>
      <c r="J114" s="90"/>
      <c r="K114" s="90"/>
      <c r="L114" s="90"/>
      <c r="M114" s="90"/>
      <c r="N114" s="90"/>
      <c r="O114" s="90"/>
    </row>
    <row r="115" spans="2:15" ht="29.25" customHeight="1">
      <c r="B115" s="90" t="s">
        <v>157</v>
      </c>
      <c r="C115" s="90"/>
      <c r="D115" s="90"/>
      <c r="E115" s="90"/>
      <c r="F115" s="90"/>
      <c r="G115" s="90"/>
      <c r="H115" s="90"/>
      <c r="I115" s="90"/>
      <c r="J115" s="90"/>
      <c r="K115" s="90"/>
      <c r="L115" s="90"/>
      <c r="M115" s="90"/>
      <c r="N115" s="90"/>
      <c r="O115" s="90"/>
    </row>
    <row r="116" spans="2:15">
      <c r="B116" s="90" t="s">
        <v>163</v>
      </c>
      <c r="C116" s="90"/>
      <c r="D116" s="90"/>
      <c r="E116" s="90"/>
      <c r="F116" s="90"/>
      <c r="G116" s="90"/>
      <c r="H116" s="90"/>
      <c r="I116" s="90"/>
      <c r="J116" s="90"/>
      <c r="K116" s="90"/>
      <c r="L116" s="90"/>
      <c r="M116" s="90"/>
      <c r="N116" s="90"/>
      <c r="O116" s="90"/>
    </row>
    <row r="117" spans="2:15">
      <c r="B117" s="90" t="s">
        <v>176</v>
      </c>
      <c r="C117" s="90"/>
      <c r="D117" s="90"/>
      <c r="E117" s="90"/>
      <c r="F117" s="90"/>
      <c r="G117" s="90"/>
      <c r="H117" s="90"/>
      <c r="I117" s="90"/>
      <c r="J117" s="90"/>
      <c r="K117" s="90"/>
      <c r="L117" s="90"/>
      <c r="M117" s="90"/>
      <c r="N117" s="90"/>
      <c r="O117" s="90"/>
    </row>
  </sheetData>
  <mergeCells count="11">
    <mergeCell ref="B117:O117"/>
    <mergeCell ref="B105:O105"/>
    <mergeCell ref="B111:O111"/>
    <mergeCell ref="B110:O110"/>
    <mergeCell ref="B109:O109"/>
    <mergeCell ref="B106:O106"/>
    <mergeCell ref="B116:O116"/>
    <mergeCell ref="B115:O115"/>
    <mergeCell ref="B114:O114"/>
    <mergeCell ref="B113:O113"/>
    <mergeCell ref="B112:O112"/>
  </mergeCells>
  <pageMargins left="0" right="0" top="0.75" bottom="0.75" header="0.3" footer="0.3"/>
  <pageSetup scale="75" orientation="landscape" r:id="rId1"/>
</worksheet>
</file>

<file path=xl/worksheets/sheet5.xml><?xml version="1.0" encoding="utf-8"?>
<worksheet xmlns="http://schemas.openxmlformats.org/spreadsheetml/2006/main" xmlns:r="http://schemas.openxmlformats.org/officeDocument/2006/relationships">
  <dimension ref="A2:B14"/>
  <sheetViews>
    <sheetView workbookViewId="0">
      <selection activeCell="B10" sqref="B10"/>
    </sheetView>
  </sheetViews>
  <sheetFormatPr defaultRowHeight="15"/>
  <cols>
    <col min="1" max="1" width="51.5703125" bestFit="1" customWidth="1"/>
    <col min="2" max="2" width="14.28515625" bestFit="1" customWidth="1"/>
  </cols>
  <sheetData>
    <row r="2" spans="1:2">
      <c r="A2" s="79" t="s">
        <v>169</v>
      </c>
      <c r="B2" s="1">
        <f>'WA-Sch191 Rider Balance'!J17</f>
        <v>3363154.5745640392</v>
      </c>
    </row>
    <row r="3" spans="1:2">
      <c r="A3" s="79"/>
    </row>
    <row r="4" spans="1:2">
      <c r="A4" s="79" t="s">
        <v>170</v>
      </c>
      <c r="B4" s="1">
        <v>2972000</v>
      </c>
    </row>
    <row r="5" spans="1:2">
      <c r="A5" s="79" t="s">
        <v>171</v>
      </c>
      <c r="B5" s="87">
        <f>SUM('WA-Sch191 Rider Balance'!K11:N11)</f>
        <v>1745400.6666666667</v>
      </c>
    </row>
    <row r="6" spans="1:2">
      <c r="A6" s="79"/>
      <c r="B6" s="1">
        <f>B5-B4</f>
        <v>-1226599.3333333333</v>
      </c>
    </row>
    <row r="8" spans="1:2">
      <c r="A8" s="79" t="s">
        <v>172</v>
      </c>
      <c r="B8" s="3">
        <f>B2+B6</f>
        <v>2136555.2412307058</v>
      </c>
    </row>
    <row r="10" spans="1:2">
      <c r="A10" s="79" t="s">
        <v>173</v>
      </c>
      <c r="B10" s="1">
        <v>7703000</v>
      </c>
    </row>
    <row r="11" spans="1:2">
      <c r="A11" t="s">
        <v>174</v>
      </c>
      <c r="B11" s="88"/>
    </row>
    <row r="12" spans="1:2">
      <c r="B12" s="3">
        <f>B11-B10</f>
        <v>-7703000</v>
      </c>
    </row>
    <row r="14" spans="1:2">
      <c r="A14" t="s">
        <v>175</v>
      </c>
      <c r="B14" s="3">
        <f>B8+B12</f>
        <v>-5566444.7587692942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9" tint="0.39997558519241921"/>
  </sheetPr>
  <dimension ref="A2:S31"/>
  <sheetViews>
    <sheetView workbookViewId="0">
      <selection activeCell="C5" sqref="C5:S19"/>
    </sheetView>
  </sheetViews>
  <sheetFormatPr defaultRowHeight="15"/>
  <cols>
    <col min="1" max="1" width="3.42578125" bestFit="1" customWidth="1"/>
    <col min="2" max="2" width="34.85546875" customWidth="1"/>
    <col min="3" max="3" width="10.5703125" bestFit="1" customWidth="1"/>
    <col min="4" max="14" width="13.28515625" bestFit="1" customWidth="1"/>
    <col min="15" max="15" width="11.28515625" bestFit="1" customWidth="1"/>
    <col min="16" max="16" width="11.5703125" bestFit="1" customWidth="1"/>
    <col min="17" max="17" width="11.28515625" bestFit="1" customWidth="1"/>
    <col min="18" max="18" width="10.5703125" bestFit="1" customWidth="1"/>
    <col min="19" max="19" width="11.28515625" bestFit="1" customWidth="1"/>
  </cols>
  <sheetData>
    <row r="2" spans="1:19">
      <c r="B2" s="37" t="s">
        <v>57</v>
      </c>
    </row>
    <row r="3" spans="1:19">
      <c r="C3" s="25">
        <v>2010</v>
      </c>
      <c r="D3" s="25">
        <v>2010</v>
      </c>
      <c r="E3" s="25">
        <v>2010</v>
      </c>
      <c r="F3" s="25">
        <v>2010</v>
      </c>
      <c r="G3" s="25">
        <v>2010</v>
      </c>
      <c r="H3" s="25">
        <v>2010</v>
      </c>
      <c r="I3" s="25">
        <v>2010</v>
      </c>
      <c r="J3" s="25">
        <v>2010</v>
      </c>
      <c r="K3" s="25">
        <v>2010</v>
      </c>
      <c r="L3" s="25">
        <v>2010</v>
      </c>
      <c r="M3" s="25">
        <v>2010</v>
      </c>
      <c r="N3" s="25">
        <v>2010</v>
      </c>
      <c r="O3" s="40" t="s">
        <v>31</v>
      </c>
      <c r="P3" s="40">
        <v>2010</v>
      </c>
      <c r="Q3" s="40">
        <v>2010</v>
      </c>
      <c r="R3" s="40">
        <v>2010</v>
      </c>
      <c r="S3" s="40">
        <v>2010</v>
      </c>
    </row>
    <row r="4" spans="1:19">
      <c r="C4" s="25" t="s">
        <v>0</v>
      </c>
      <c r="D4" s="25" t="s">
        <v>1</v>
      </c>
      <c r="E4" s="25" t="s">
        <v>2</v>
      </c>
      <c r="F4" s="25" t="s">
        <v>3</v>
      </c>
      <c r="G4" s="25" t="s">
        <v>4</v>
      </c>
      <c r="H4" s="25" t="s">
        <v>5</v>
      </c>
      <c r="I4" s="25" t="s">
        <v>6</v>
      </c>
      <c r="J4" s="25" t="s">
        <v>7</v>
      </c>
      <c r="K4" s="25" t="s">
        <v>8</v>
      </c>
      <c r="L4" s="25" t="s">
        <v>9</v>
      </c>
      <c r="M4" s="25" t="s">
        <v>10</v>
      </c>
      <c r="N4" s="25" t="s">
        <v>11</v>
      </c>
      <c r="O4" s="40"/>
      <c r="P4" s="40" t="s">
        <v>70</v>
      </c>
      <c r="Q4" s="40" t="s">
        <v>71</v>
      </c>
      <c r="R4" s="40" t="s">
        <v>72</v>
      </c>
      <c r="S4" s="40" t="s">
        <v>73</v>
      </c>
    </row>
    <row r="5" spans="1:19">
      <c r="A5" t="s">
        <v>22</v>
      </c>
      <c r="B5" t="s">
        <v>13</v>
      </c>
      <c r="C5" s="1">
        <v>4102936</v>
      </c>
      <c r="D5" s="1">
        <v>3724704.0169685027</v>
      </c>
      <c r="E5" s="1">
        <v>3656892.5108263446</v>
      </c>
      <c r="F5" s="1">
        <v>3556217.3937183325</v>
      </c>
      <c r="G5" s="1">
        <v>3466636.3937183325</v>
      </c>
      <c r="H5" s="1">
        <v>3142026.3937183325</v>
      </c>
      <c r="I5" s="1">
        <v>3146391.6897297483</v>
      </c>
      <c r="J5" s="1">
        <v>3385924.750773632</v>
      </c>
      <c r="K5" s="1">
        <v>3363154.5745640392</v>
      </c>
      <c r="L5" s="1">
        <v>3482454.3303075582</v>
      </c>
      <c r="M5" s="1">
        <v>3482454.3303075582</v>
      </c>
      <c r="N5" s="1">
        <v>3482454.3303075582</v>
      </c>
      <c r="O5" s="38"/>
      <c r="P5" s="42">
        <v>4102936</v>
      </c>
      <c r="Q5" s="45">
        <v>3556217.393718333</v>
      </c>
      <c r="R5" s="45">
        <v>3146391.6897297483</v>
      </c>
      <c r="S5" s="45">
        <v>3482454.3303075582</v>
      </c>
    </row>
    <row r="6" spans="1:19">
      <c r="C6" s="1"/>
      <c r="D6" s="1"/>
      <c r="E6" s="1"/>
      <c r="F6" s="1"/>
      <c r="G6" s="1"/>
      <c r="H6" s="1"/>
      <c r="I6" s="1"/>
      <c r="J6" s="1"/>
      <c r="K6" s="1"/>
      <c r="L6" s="1"/>
      <c r="M6" s="1"/>
      <c r="N6" s="1"/>
      <c r="O6" s="38"/>
      <c r="P6" s="38"/>
      <c r="Q6" s="38"/>
      <c r="R6" s="38"/>
      <c r="S6" s="38"/>
    </row>
    <row r="7" spans="1:19">
      <c r="B7" t="s">
        <v>14</v>
      </c>
      <c r="C7" s="1">
        <v>991639.51189608139</v>
      </c>
      <c r="D7" s="1">
        <v>796149.11445157125</v>
      </c>
      <c r="E7" s="1">
        <v>657699.85357172473</v>
      </c>
      <c r="F7" s="1">
        <v>613498.63650023763</v>
      </c>
      <c r="G7" s="1">
        <v>366044.82875848998</v>
      </c>
      <c r="H7" s="1">
        <v>243587.99991483407</v>
      </c>
      <c r="I7" s="1">
        <v>203873.95228235924</v>
      </c>
      <c r="J7" s="1">
        <v>209074.28032950478</v>
      </c>
      <c r="K7" s="1">
        <v>248527.72347786638</v>
      </c>
      <c r="L7" s="1">
        <v>573004.06393222138</v>
      </c>
      <c r="M7" s="1">
        <v>971079.34887138079</v>
      </c>
      <c r="N7" s="1">
        <v>1337024.7645382294</v>
      </c>
      <c r="O7" s="45">
        <v>7211204.0785245011</v>
      </c>
      <c r="P7" s="45">
        <v>2445488.4799193772</v>
      </c>
      <c r="Q7" s="45">
        <v>1223131.4651735616</v>
      </c>
      <c r="R7" s="45">
        <v>661475.95608973037</v>
      </c>
      <c r="S7" s="45">
        <v>2881108.1773418318</v>
      </c>
    </row>
    <row r="8" spans="1:19">
      <c r="A8" t="s">
        <v>21</v>
      </c>
      <c r="B8" t="s">
        <v>15</v>
      </c>
      <c r="C8" s="1">
        <v>905757.43303149717</v>
      </c>
      <c r="D8" s="1">
        <v>689732.92614215822</v>
      </c>
      <c r="E8" s="1">
        <v>657732.897108012</v>
      </c>
      <c r="F8" s="1">
        <v>547233</v>
      </c>
      <c r="G8" s="1">
        <v>571193</v>
      </c>
      <c r="H8" s="1">
        <v>395906.70398858446</v>
      </c>
      <c r="I8" s="1">
        <v>261591.93895611609</v>
      </c>
      <c r="J8" s="1">
        <v>288826.17620959284</v>
      </c>
      <c r="K8" s="1">
        <v>206760.24425648112</v>
      </c>
      <c r="L8" s="1">
        <v>0</v>
      </c>
      <c r="M8" s="1">
        <v>0</v>
      </c>
      <c r="N8" s="1">
        <v>0</v>
      </c>
      <c r="O8" s="45">
        <v>4524734.3196924431</v>
      </c>
      <c r="P8" s="45">
        <v>2253223.2562816674</v>
      </c>
      <c r="Q8" s="45">
        <v>1514332.7039885845</v>
      </c>
      <c r="R8" s="45">
        <v>757178.35942219011</v>
      </c>
      <c r="S8" s="45">
        <v>0</v>
      </c>
    </row>
    <row r="9" spans="1:19">
      <c r="B9" t="s">
        <v>16</v>
      </c>
      <c r="C9" s="22">
        <v>-85882.078864584211</v>
      </c>
      <c r="D9" s="22">
        <v>-106416.18830941303</v>
      </c>
      <c r="E9" s="22">
        <v>33.043536287266761</v>
      </c>
      <c r="F9" s="22">
        <v>-66265.636500237626</v>
      </c>
      <c r="G9" s="22">
        <v>205148.17124151002</v>
      </c>
      <c r="H9" s="22">
        <v>152318.70407375038</v>
      </c>
      <c r="I9" s="22">
        <v>57717.986673756852</v>
      </c>
      <c r="J9" s="22">
        <v>79751.895880088065</v>
      </c>
      <c r="K9" s="22">
        <v>-41767.479221385263</v>
      </c>
      <c r="L9" s="22">
        <v>-573004.06393222138</v>
      </c>
      <c r="M9" s="22">
        <v>-971079.34887138079</v>
      </c>
      <c r="N9" s="22">
        <v>-1337024.7645382294</v>
      </c>
      <c r="O9" s="46">
        <v>-2686469.7588320589</v>
      </c>
      <c r="P9" s="46">
        <v>-192265.22363770986</v>
      </c>
      <c r="Q9" s="46">
        <v>291201.23881502287</v>
      </c>
      <c r="R9" s="46">
        <v>95702.40333245974</v>
      </c>
      <c r="S9" s="46">
        <v>-2881108.1773418318</v>
      </c>
    </row>
    <row r="10" spans="1:19">
      <c r="C10" s="1"/>
      <c r="D10" s="1"/>
      <c r="E10" s="1"/>
      <c r="F10" s="1"/>
      <c r="G10" s="1"/>
      <c r="H10" s="1"/>
      <c r="I10" s="1"/>
      <c r="J10" s="1"/>
      <c r="K10" s="1"/>
      <c r="L10" s="1"/>
      <c r="M10" s="1"/>
      <c r="N10" s="1"/>
      <c r="O10" s="38"/>
      <c r="P10" s="38"/>
      <c r="Q10" s="38"/>
      <c r="R10" s="38"/>
      <c r="S10" s="38"/>
    </row>
    <row r="11" spans="1:19">
      <c r="B11" t="s">
        <v>18</v>
      </c>
      <c r="C11" s="1">
        <v>436350.16666666669</v>
      </c>
      <c r="D11" s="1">
        <v>436350.16666666669</v>
      </c>
      <c r="E11" s="1">
        <v>436350.16666666669</v>
      </c>
      <c r="F11" s="1">
        <v>436350.16666666669</v>
      </c>
      <c r="G11" s="1">
        <v>436350.16666666669</v>
      </c>
      <c r="H11" s="1">
        <v>436350.16666666669</v>
      </c>
      <c r="I11" s="1">
        <v>436350.16666666669</v>
      </c>
      <c r="J11" s="1">
        <v>436350.16666666669</v>
      </c>
      <c r="K11" s="1">
        <v>436350.16666666669</v>
      </c>
      <c r="L11" s="1">
        <v>436350.16666666669</v>
      </c>
      <c r="M11" s="1">
        <v>436350.16666666669</v>
      </c>
      <c r="N11" s="1">
        <v>436350.16666666669</v>
      </c>
      <c r="O11" s="45">
        <v>5236202</v>
      </c>
      <c r="P11" s="45">
        <v>1309050.5</v>
      </c>
      <c r="Q11" s="45">
        <v>1309050.5</v>
      </c>
      <c r="R11" s="45">
        <v>1309050.5</v>
      </c>
      <c r="S11" s="45">
        <v>1309050.5</v>
      </c>
    </row>
    <row r="12" spans="1:19">
      <c r="A12" t="s">
        <v>20</v>
      </c>
      <c r="B12" t="s">
        <v>17</v>
      </c>
      <c r="C12" s="1">
        <v>527525.45000000007</v>
      </c>
      <c r="D12" s="1">
        <v>621921.42000000004</v>
      </c>
      <c r="E12" s="1">
        <v>557057.78</v>
      </c>
      <c r="F12" s="1">
        <v>457652</v>
      </c>
      <c r="G12" s="1">
        <v>246583</v>
      </c>
      <c r="H12" s="1">
        <v>400272</v>
      </c>
      <c r="I12" s="1">
        <v>501125</v>
      </c>
      <c r="J12" s="1">
        <v>266056</v>
      </c>
      <c r="K12" s="1">
        <v>326060</v>
      </c>
      <c r="L12" s="1">
        <v>0</v>
      </c>
      <c r="M12" s="1">
        <v>0</v>
      </c>
      <c r="N12" s="1">
        <v>0</v>
      </c>
      <c r="O12" s="45">
        <v>3904252.6500000004</v>
      </c>
      <c r="P12" s="45">
        <v>1706504.6500000001</v>
      </c>
      <c r="Q12" s="45">
        <v>1104507</v>
      </c>
      <c r="R12" s="45">
        <v>1093241</v>
      </c>
      <c r="S12" s="45">
        <v>0</v>
      </c>
    </row>
    <row r="13" spans="1:19">
      <c r="B13" t="s">
        <v>19</v>
      </c>
      <c r="C13" s="23">
        <v>-91175.283333333384</v>
      </c>
      <c r="D13" s="23">
        <v>-185571.25333333336</v>
      </c>
      <c r="E13" s="23">
        <v>-120707.61333333334</v>
      </c>
      <c r="F13" s="23">
        <v>-21301.833333333314</v>
      </c>
      <c r="G13" s="23">
        <v>189767.16666666669</v>
      </c>
      <c r="H13" s="23">
        <v>36078.166666666686</v>
      </c>
      <c r="I13" s="23">
        <v>-64774.833333333314</v>
      </c>
      <c r="J13" s="23">
        <v>170294.16666666669</v>
      </c>
      <c r="K13" s="23">
        <v>110290.16666666669</v>
      </c>
      <c r="L13" s="23">
        <v>436350.16666666669</v>
      </c>
      <c r="M13" s="23">
        <v>436350.16666666669</v>
      </c>
      <c r="N13" s="23">
        <v>436350.16666666669</v>
      </c>
      <c r="O13" s="46">
        <v>1331949.3500000001</v>
      </c>
      <c r="P13" s="47">
        <v>-397454.15000000014</v>
      </c>
      <c r="Q13" s="47">
        <v>204543.5</v>
      </c>
      <c r="R13" s="47">
        <v>215809.5</v>
      </c>
      <c r="S13" s="47">
        <v>1309050.5</v>
      </c>
    </row>
    <row r="14" spans="1:19">
      <c r="C14" s="1"/>
      <c r="D14" s="1"/>
      <c r="E14" s="1"/>
      <c r="F14" s="1"/>
      <c r="G14" s="1"/>
      <c r="H14" s="1"/>
      <c r="I14" s="1"/>
      <c r="J14" s="1"/>
      <c r="K14" s="1"/>
      <c r="L14" s="1"/>
      <c r="M14" s="1"/>
      <c r="N14" s="1"/>
      <c r="O14" s="38"/>
      <c r="P14" s="38"/>
      <c r="Q14" s="38"/>
      <c r="R14" s="38"/>
      <c r="S14" s="38"/>
    </row>
    <row r="15" spans="1:19" ht="30">
      <c r="A15" t="s">
        <v>24</v>
      </c>
      <c r="B15" s="4" t="s">
        <v>23</v>
      </c>
      <c r="C15" s="1">
        <v>378231.9830314971</v>
      </c>
      <c r="D15" s="1">
        <v>67811.506142158178</v>
      </c>
      <c r="E15" s="1">
        <v>100675.11710801197</v>
      </c>
      <c r="F15" s="1">
        <v>89581</v>
      </c>
      <c r="G15" s="1">
        <v>324610</v>
      </c>
      <c r="H15" s="1">
        <v>-4365.296011415543</v>
      </c>
      <c r="I15" s="1">
        <v>-239533.06104388391</v>
      </c>
      <c r="J15" s="1">
        <v>22770.176209592842</v>
      </c>
      <c r="K15" s="1">
        <v>-119299.75574351888</v>
      </c>
      <c r="L15" s="1">
        <v>0</v>
      </c>
      <c r="M15" s="1">
        <v>0</v>
      </c>
      <c r="N15" s="1">
        <v>0</v>
      </c>
      <c r="O15" s="43">
        <v>620481.66969244275</v>
      </c>
      <c r="P15" s="43">
        <v>546718.60628166725</v>
      </c>
      <c r="Q15" s="43">
        <v>409825.70398858446</v>
      </c>
      <c r="R15" s="43">
        <v>-336062.64057780989</v>
      </c>
      <c r="S15" s="43">
        <v>0</v>
      </c>
    </row>
    <row r="16" spans="1:19">
      <c r="C16" s="1"/>
      <c r="D16" s="1"/>
      <c r="E16" s="1"/>
      <c r="F16" s="1"/>
      <c r="G16" s="1"/>
      <c r="H16" s="1"/>
      <c r="I16" s="1"/>
      <c r="J16" s="1"/>
      <c r="K16" s="1"/>
      <c r="L16" s="1"/>
      <c r="M16" s="1"/>
      <c r="N16" s="1"/>
      <c r="O16" s="38"/>
      <c r="P16" s="38"/>
      <c r="Q16" s="38"/>
      <c r="R16" s="38"/>
      <c r="S16" s="38"/>
    </row>
    <row r="17" spans="2:19" ht="15.75" thickBot="1">
      <c r="B17" t="s">
        <v>25</v>
      </c>
      <c r="C17" s="57">
        <v>3724704.0169685027</v>
      </c>
      <c r="D17" s="57">
        <v>3656892.5108263446</v>
      </c>
      <c r="E17" s="57">
        <v>3556217.3937183325</v>
      </c>
      <c r="F17" s="57">
        <v>3466636.3937183325</v>
      </c>
      <c r="G17" s="57">
        <v>3142026.3937183325</v>
      </c>
      <c r="H17" s="57">
        <v>3146391.6897297483</v>
      </c>
      <c r="I17" s="57">
        <v>3385924.750773632</v>
      </c>
      <c r="J17" s="57">
        <v>3363154.5745640392</v>
      </c>
      <c r="K17" s="57">
        <v>3482454.3303075582</v>
      </c>
      <c r="L17" s="57">
        <v>3482454.3303075582</v>
      </c>
      <c r="M17" s="57">
        <v>3482454.3303075582</v>
      </c>
      <c r="N17" s="57">
        <v>3482454.3303075582</v>
      </c>
      <c r="O17" s="45"/>
      <c r="P17" s="45">
        <v>3556217.393718333</v>
      </c>
      <c r="Q17" s="45">
        <v>3146391.6897297483</v>
      </c>
      <c r="R17" s="45">
        <v>3482454.3303075582</v>
      </c>
      <c r="S17" s="45">
        <v>3482454.3303075582</v>
      </c>
    </row>
    <row r="18" spans="2:19" ht="15.75" thickTop="1">
      <c r="O18" s="38"/>
      <c r="P18" s="38"/>
      <c r="Q18" s="38"/>
      <c r="R18" s="38"/>
      <c r="S18" s="38"/>
    </row>
    <row r="19" spans="2:19">
      <c r="B19" t="s">
        <v>30</v>
      </c>
      <c r="E19" s="3"/>
      <c r="F19" s="3"/>
      <c r="G19" s="3"/>
      <c r="H19" s="3"/>
      <c r="I19" s="3"/>
      <c r="J19" s="3"/>
      <c r="K19" s="3"/>
      <c r="L19" s="3">
        <v>-136653.8972655547</v>
      </c>
      <c r="M19" s="3">
        <v>-671383.07947026868</v>
      </c>
      <c r="N19" s="3">
        <v>-1572057.6773418314</v>
      </c>
      <c r="O19" s="38"/>
      <c r="P19" s="45"/>
      <c r="Q19" s="38"/>
      <c r="R19" s="38"/>
      <c r="S19" s="38"/>
    </row>
    <row r="22" spans="2:19">
      <c r="B22" s="49" t="s">
        <v>26</v>
      </c>
      <c r="C22" s="37"/>
      <c r="D22" s="37"/>
      <c r="E22" s="37"/>
      <c r="F22" s="37"/>
      <c r="G22" s="37"/>
      <c r="H22" s="37"/>
      <c r="I22" s="37"/>
      <c r="J22" s="37"/>
      <c r="K22" s="37"/>
      <c r="L22" s="37"/>
      <c r="M22" s="37"/>
      <c r="N22" s="37"/>
      <c r="O22" s="37"/>
    </row>
    <row r="23" spans="2:19" ht="29.25" customHeight="1">
      <c r="B23" s="90" t="s">
        <v>74</v>
      </c>
      <c r="C23" s="90"/>
      <c r="D23" s="90"/>
      <c r="E23" s="90"/>
      <c r="F23" s="90"/>
      <c r="G23" s="90"/>
      <c r="H23" s="90"/>
      <c r="I23" s="90"/>
      <c r="J23" s="90"/>
      <c r="K23" s="90"/>
      <c r="L23" s="90"/>
      <c r="M23" s="90"/>
      <c r="N23" s="90"/>
      <c r="O23" s="90"/>
    </row>
    <row r="24" spans="2:19" ht="27.75" customHeight="1">
      <c r="B24" s="90" t="s">
        <v>75</v>
      </c>
      <c r="C24" s="90"/>
      <c r="D24" s="90"/>
      <c r="E24" s="90"/>
      <c r="F24" s="90"/>
      <c r="G24" s="90"/>
      <c r="H24" s="90"/>
      <c r="I24" s="90"/>
      <c r="J24" s="90"/>
      <c r="K24" s="90"/>
      <c r="L24" s="90"/>
      <c r="M24" s="90"/>
      <c r="N24" s="90"/>
      <c r="O24" s="90"/>
    </row>
    <row r="25" spans="2:19">
      <c r="B25" s="90" t="s">
        <v>77</v>
      </c>
      <c r="C25" s="90"/>
      <c r="D25" s="90"/>
      <c r="E25" s="90"/>
      <c r="F25" s="90"/>
      <c r="G25" s="90"/>
      <c r="H25" s="90"/>
      <c r="I25" s="90"/>
      <c r="J25" s="90"/>
      <c r="K25" s="90"/>
      <c r="L25" s="90"/>
      <c r="M25" s="90"/>
      <c r="N25" s="90"/>
      <c r="O25" s="90"/>
    </row>
    <row r="26" spans="2:19">
      <c r="B26" s="90" t="s">
        <v>134</v>
      </c>
      <c r="C26" s="90"/>
      <c r="D26" s="90"/>
      <c r="E26" s="90"/>
      <c r="F26" s="90"/>
      <c r="G26" s="90"/>
      <c r="H26" s="90"/>
      <c r="I26" s="90"/>
      <c r="J26" s="90"/>
      <c r="K26" s="90"/>
      <c r="L26" s="90"/>
      <c r="M26" s="90"/>
      <c r="N26" s="90"/>
      <c r="O26" s="90"/>
    </row>
    <row r="27" spans="2:19">
      <c r="B27" s="90" t="s">
        <v>140</v>
      </c>
      <c r="C27" s="90"/>
      <c r="D27" s="90"/>
      <c r="E27" s="90"/>
      <c r="F27" s="90"/>
      <c r="G27" s="90"/>
      <c r="H27" s="90"/>
      <c r="I27" s="90"/>
      <c r="J27" s="90"/>
      <c r="K27" s="90"/>
      <c r="L27" s="90"/>
      <c r="M27" s="90"/>
      <c r="N27" s="90"/>
      <c r="O27" s="90"/>
    </row>
    <row r="28" spans="2:19">
      <c r="B28" s="90" t="s">
        <v>146</v>
      </c>
      <c r="C28" s="90"/>
      <c r="D28" s="90"/>
      <c r="E28" s="90"/>
      <c r="F28" s="90"/>
      <c r="G28" s="90"/>
      <c r="H28" s="90"/>
      <c r="I28" s="90"/>
      <c r="J28" s="90"/>
      <c r="K28" s="90"/>
      <c r="L28" s="90"/>
      <c r="M28" s="90"/>
      <c r="N28" s="90"/>
      <c r="O28" s="90"/>
    </row>
    <row r="29" spans="2:19">
      <c r="B29" s="90" t="s">
        <v>161</v>
      </c>
      <c r="C29" s="90"/>
      <c r="D29" s="90"/>
      <c r="E29" s="90"/>
      <c r="F29" s="90"/>
      <c r="G29" s="90"/>
      <c r="H29" s="90"/>
      <c r="I29" s="90"/>
      <c r="J29" s="90"/>
      <c r="K29" s="90"/>
      <c r="L29" s="90"/>
      <c r="M29" s="90"/>
      <c r="N29" s="90"/>
      <c r="O29" s="90"/>
    </row>
    <row r="30" spans="2:19">
      <c r="B30" s="90" t="s">
        <v>164</v>
      </c>
      <c r="C30" s="90"/>
      <c r="D30" s="90"/>
      <c r="E30" s="90"/>
      <c r="F30" s="90"/>
      <c r="G30" s="90"/>
      <c r="H30" s="90"/>
      <c r="I30" s="90"/>
      <c r="J30" s="90"/>
      <c r="K30" s="90"/>
      <c r="L30" s="90"/>
      <c r="M30" s="90"/>
      <c r="N30" s="90"/>
      <c r="O30" s="90"/>
    </row>
    <row r="31" spans="2:19">
      <c r="B31" s="90" t="s">
        <v>179</v>
      </c>
      <c r="C31" s="90"/>
      <c r="D31" s="90"/>
      <c r="E31" s="90"/>
      <c r="F31" s="90"/>
      <c r="G31" s="90"/>
      <c r="H31" s="90"/>
      <c r="I31" s="90"/>
      <c r="J31" s="90"/>
      <c r="K31" s="90"/>
      <c r="L31" s="90"/>
      <c r="M31" s="90"/>
      <c r="N31" s="90"/>
      <c r="O31" s="90"/>
    </row>
  </sheetData>
  <mergeCells count="9">
    <mergeCell ref="B31:O31"/>
    <mergeCell ref="B30:O30"/>
    <mergeCell ref="B29:O29"/>
    <mergeCell ref="B28:O28"/>
    <mergeCell ref="B23:O23"/>
    <mergeCell ref="B24:O24"/>
    <mergeCell ref="B25:O25"/>
    <mergeCell ref="B26:O26"/>
    <mergeCell ref="B27:O27"/>
  </mergeCells>
  <pageMargins left="0" right="0" top="0.75" bottom="0.75" header="0.3" footer="0.3"/>
  <pageSetup scale="65" orientation="landscape" r:id="rId1"/>
</worksheet>
</file>

<file path=xl/worksheets/sheet7.xml><?xml version="1.0" encoding="utf-8"?>
<worksheet xmlns="http://schemas.openxmlformats.org/spreadsheetml/2006/main" xmlns:r="http://schemas.openxmlformats.org/officeDocument/2006/relationships">
  <sheetPr>
    <tabColor theme="9" tint="0.39997558519241921"/>
  </sheetPr>
  <dimension ref="A2:BD117"/>
  <sheetViews>
    <sheetView workbookViewId="0">
      <pane xSplit="2" ySplit="4" topLeftCell="G109" activePane="bottomRight" state="frozen"/>
      <selection activeCell="D35" sqref="D35"/>
      <selection pane="topRight" activeCell="D35" sqref="D35"/>
      <selection pane="bottomLeft" activeCell="D35" sqref="D35"/>
      <selection pane="bottomRight" activeCell="B118" sqref="B118"/>
    </sheetView>
  </sheetViews>
  <sheetFormatPr defaultRowHeight="15"/>
  <cols>
    <col min="1" max="1" width="10.28515625" bestFit="1" customWidth="1"/>
    <col min="2" max="2" width="43.28515625" customWidth="1"/>
    <col min="3" max="3" width="8.5703125" style="20" bestFit="1" customWidth="1"/>
    <col min="4" max="5" width="9.140625" style="20" bestFit="1" customWidth="1"/>
    <col min="6" max="14" width="9.85546875" style="13" bestFit="1" customWidth="1"/>
    <col min="15" max="15" width="10.7109375" style="13" bestFit="1" customWidth="1"/>
    <col min="16" max="28" width="11.7109375" style="13" hidden="1" customWidth="1"/>
    <col min="29" max="34" width="11.7109375" style="13" customWidth="1"/>
    <col min="35" max="56" width="11.7109375" style="7" customWidth="1"/>
  </cols>
  <sheetData>
    <row r="2" spans="1:28">
      <c r="B2" s="37" t="s">
        <v>57</v>
      </c>
    </row>
    <row r="3" spans="1:28">
      <c r="B3" s="5" t="s">
        <v>47</v>
      </c>
      <c r="C3" s="14">
        <v>2010</v>
      </c>
      <c r="D3" s="14">
        <v>2010</v>
      </c>
      <c r="E3" s="14">
        <v>2010</v>
      </c>
      <c r="F3" s="14">
        <v>2010</v>
      </c>
      <c r="G3" s="14">
        <v>2010</v>
      </c>
      <c r="H3" s="14">
        <v>2010</v>
      </c>
      <c r="I3" s="14">
        <v>2010</v>
      </c>
      <c r="J3" s="14">
        <v>2010</v>
      </c>
      <c r="K3" s="14">
        <v>2010</v>
      </c>
      <c r="L3" s="14">
        <v>2010</v>
      </c>
      <c r="M3" s="14">
        <v>2010</v>
      </c>
      <c r="N3" s="14">
        <v>2010</v>
      </c>
      <c r="O3" s="14" t="s">
        <v>31</v>
      </c>
      <c r="P3" s="14">
        <v>2011</v>
      </c>
      <c r="Q3" s="14">
        <v>2011</v>
      </c>
      <c r="R3" s="14">
        <v>2011</v>
      </c>
      <c r="S3" s="14">
        <v>2011</v>
      </c>
      <c r="T3" s="14">
        <v>2011</v>
      </c>
      <c r="U3" s="14">
        <v>2011</v>
      </c>
      <c r="V3" s="14">
        <v>2011</v>
      </c>
      <c r="W3" s="14">
        <v>2011</v>
      </c>
      <c r="X3" s="14">
        <v>2011</v>
      </c>
      <c r="Y3" s="14">
        <v>2011</v>
      </c>
      <c r="Z3" s="14">
        <v>2011</v>
      </c>
      <c r="AA3" s="14">
        <v>2011</v>
      </c>
      <c r="AB3" s="14" t="s">
        <v>32</v>
      </c>
    </row>
    <row r="4" spans="1:28">
      <c r="C4" s="35" t="s">
        <v>0</v>
      </c>
      <c r="D4" s="35" t="s">
        <v>1</v>
      </c>
      <c r="E4" s="35" t="s">
        <v>2</v>
      </c>
      <c r="F4" s="17" t="s">
        <v>3</v>
      </c>
      <c r="G4" s="17" t="s">
        <v>4</v>
      </c>
      <c r="H4" s="17" t="s">
        <v>5</v>
      </c>
      <c r="I4" s="17" t="s">
        <v>6</v>
      </c>
      <c r="J4" s="17" t="s">
        <v>7</v>
      </c>
      <c r="K4" s="17" t="s">
        <v>8</v>
      </c>
      <c r="L4" s="17" t="s">
        <v>9</v>
      </c>
      <c r="M4" s="17" t="s">
        <v>10</v>
      </c>
      <c r="N4" s="17" t="s">
        <v>11</v>
      </c>
      <c r="O4" s="17"/>
      <c r="P4" s="14" t="s">
        <v>0</v>
      </c>
      <c r="Q4" s="14" t="s">
        <v>1</v>
      </c>
      <c r="R4" s="14" t="s">
        <v>2</v>
      </c>
      <c r="S4" s="14" t="s">
        <v>3</v>
      </c>
      <c r="T4" s="14" t="s">
        <v>4</v>
      </c>
      <c r="U4" s="14" t="s">
        <v>5</v>
      </c>
      <c r="V4" s="14" t="s">
        <v>6</v>
      </c>
      <c r="W4" s="14" t="s">
        <v>7</v>
      </c>
      <c r="X4" s="14" t="s">
        <v>8</v>
      </c>
      <c r="Y4" s="14" t="s">
        <v>9</v>
      </c>
      <c r="Z4" s="14" t="s">
        <v>10</v>
      </c>
      <c r="AA4" s="14" t="s">
        <v>11</v>
      </c>
      <c r="AB4" s="14"/>
    </row>
    <row r="5" spans="1:28">
      <c r="F5" s="15"/>
      <c r="G5" s="15"/>
      <c r="H5" s="15"/>
      <c r="I5" s="15"/>
      <c r="J5" s="15"/>
      <c r="K5" s="15"/>
      <c r="L5" s="15"/>
      <c r="M5" s="15"/>
      <c r="N5" s="15"/>
    </row>
    <row r="6" spans="1:28">
      <c r="B6" s="9" t="s">
        <v>84</v>
      </c>
      <c r="F6" s="15"/>
      <c r="G6" s="15"/>
      <c r="H6" s="15"/>
      <c r="I6" s="15"/>
      <c r="J6" s="15"/>
      <c r="K6" s="15"/>
      <c r="L6" s="15"/>
      <c r="M6" s="15"/>
      <c r="N6" s="15"/>
      <c r="O6" s="16"/>
    </row>
    <row r="7" spans="1:28">
      <c r="B7" s="5" t="s">
        <v>34</v>
      </c>
      <c r="C7" s="20">
        <f>1695448/12</f>
        <v>141287.33333333334</v>
      </c>
      <c r="D7" s="20">
        <f t="shared" ref="D7:N7" si="0">1695448/12</f>
        <v>141287.33333333334</v>
      </c>
      <c r="E7" s="20">
        <f t="shared" si="0"/>
        <v>141287.33333333334</v>
      </c>
      <c r="F7" s="20">
        <f t="shared" si="0"/>
        <v>141287.33333333334</v>
      </c>
      <c r="G7" s="20">
        <f t="shared" si="0"/>
        <v>141287.33333333334</v>
      </c>
      <c r="H7" s="20">
        <f t="shared" si="0"/>
        <v>141287.33333333334</v>
      </c>
      <c r="I7" s="20">
        <f t="shared" si="0"/>
        <v>141287.33333333334</v>
      </c>
      <c r="J7" s="20">
        <f t="shared" si="0"/>
        <v>141287.33333333334</v>
      </c>
      <c r="K7" s="20">
        <f t="shared" si="0"/>
        <v>141287.33333333334</v>
      </c>
      <c r="L7" s="20">
        <f t="shared" si="0"/>
        <v>141287.33333333334</v>
      </c>
      <c r="M7" s="20">
        <f t="shared" si="0"/>
        <v>141287.33333333334</v>
      </c>
      <c r="N7" s="20">
        <f t="shared" si="0"/>
        <v>141287.33333333334</v>
      </c>
      <c r="O7" s="50">
        <f t="shared" ref="O7:O13" si="1">SUM(C7:N7)</f>
        <v>1695447.9999999998</v>
      </c>
    </row>
    <row r="8" spans="1:28">
      <c r="B8" s="5" t="s">
        <v>35</v>
      </c>
      <c r="C8" s="20">
        <f>2075623/12</f>
        <v>172968.58333333334</v>
      </c>
      <c r="D8" s="20">
        <f t="shared" ref="D8:N8" si="2">2075623/12</f>
        <v>172968.58333333334</v>
      </c>
      <c r="E8" s="20">
        <f t="shared" si="2"/>
        <v>172968.58333333334</v>
      </c>
      <c r="F8" s="18">
        <f t="shared" si="2"/>
        <v>172968.58333333334</v>
      </c>
      <c r="G8" s="18">
        <f t="shared" si="2"/>
        <v>172968.58333333334</v>
      </c>
      <c r="H8" s="18">
        <f t="shared" si="2"/>
        <v>172968.58333333334</v>
      </c>
      <c r="I8" s="18">
        <f t="shared" si="2"/>
        <v>172968.58333333334</v>
      </c>
      <c r="J8" s="18">
        <f t="shared" si="2"/>
        <v>172968.58333333334</v>
      </c>
      <c r="K8" s="18">
        <f t="shared" si="2"/>
        <v>172968.58333333334</v>
      </c>
      <c r="L8" s="18">
        <f t="shared" si="2"/>
        <v>172968.58333333334</v>
      </c>
      <c r="M8" s="18">
        <f t="shared" si="2"/>
        <v>172968.58333333334</v>
      </c>
      <c r="N8" s="18">
        <f t="shared" si="2"/>
        <v>172968.58333333334</v>
      </c>
      <c r="O8" s="50">
        <f t="shared" si="1"/>
        <v>2075622.9999999998</v>
      </c>
    </row>
    <row r="9" spans="1:28">
      <c r="B9" s="5" t="s">
        <v>36</v>
      </c>
      <c r="C9" s="20">
        <f>585544/12</f>
        <v>48795.333333333336</v>
      </c>
      <c r="D9" s="20">
        <f t="shared" ref="D9:N9" si="3">585544/12</f>
        <v>48795.333333333336</v>
      </c>
      <c r="E9" s="20">
        <f t="shared" si="3"/>
        <v>48795.333333333336</v>
      </c>
      <c r="F9" s="18">
        <f t="shared" si="3"/>
        <v>48795.333333333336</v>
      </c>
      <c r="G9" s="18">
        <f t="shared" si="3"/>
        <v>48795.333333333336</v>
      </c>
      <c r="H9" s="18">
        <f t="shared" si="3"/>
        <v>48795.333333333336</v>
      </c>
      <c r="I9" s="18">
        <f t="shared" si="3"/>
        <v>48795.333333333336</v>
      </c>
      <c r="J9" s="18">
        <f t="shared" si="3"/>
        <v>48795.333333333336</v>
      </c>
      <c r="K9" s="18">
        <f t="shared" si="3"/>
        <v>48795.333333333336</v>
      </c>
      <c r="L9" s="18">
        <f t="shared" si="3"/>
        <v>48795.333333333336</v>
      </c>
      <c r="M9" s="18">
        <f t="shared" si="3"/>
        <v>48795.333333333336</v>
      </c>
      <c r="N9" s="18">
        <f t="shared" si="3"/>
        <v>48795.333333333336</v>
      </c>
      <c r="O9" s="50">
        <f t="shared" si="1"/>
        <v>585544</v>
      </c>
    </row>
    <row r="10" spans="1:28" hidden="1">
      <c r="B10" s="5" t="s">
        <v>37</v>
      </c>
      <c r="F10" s="15"/>
      <c r="G10" s="15"/>
      <c r="H10" s="15"/>
      <c r="I10" s="15"/>
      <c r="J10" s="15"/>
      <c r="K10" s="15"/>
      <c r="L10" s="15"/>
      <c r="M10" s="15"/>
      <c r="N10" s="15"/>
      <c r="O10" s="50">
        <f t="shared" si="1"/>
        <v>0</v>
      </c>
    </row>
    <row r="11" spans="1:28" hidden="1">
      <c r="B11" s="5" t="s">
        <v>38</v>
      </c>
      <c r="F11" s="15"/>
      <c r="G11" s="15"/>
      <c r="H11" s="15"/>
      <c r="I11" s="15"/>
      <c r="J11" s="15"/>
      <c r="K11" s="15"/>
      <c r="L11" s="15"/>
      <c r="M11" s="15"/>
      <c r="N11" s="15"/>
      <c r="O11" s="50">
        <f t="shared" si="1"/>
        <v>0</v>
      </c>
    </row>
    <row r="12" spans="1:28" hidden="1">
      <c r="B12" s="5" t="s">
        <v>39</v>
      </c>
      <c r="F12" s="15"/>
      <c r="G12" s="15"/>
      <c r="H12" s="15"/>
      <c r="I12" s="15"/>
      <c r="J12" s="15"/>
      <c r="K12" s="15"/>
      <c r="L12" s="15"/>
      <c r="M12" s="15"/>
      <c r="N12" s="15"/>
      <c r="O12" s="50">
        <f t="shared" si="1"/>
        <v>0</v>
      </c>
    </row>
    <row r="13" spans="1:28" hidden="1">
      <c r="B13" s="5" t="s">
        <v>40</v>
      </c>
      <c r="F13" s="15"/>
      <c r="G13" s="15"/>
      <c r="H13" s="15"/>
      <c r="I13" s="15"/>
      <c r="J13" s="15"/>
      <c r="K13" s="15"/>
      <c r="L13" s="15"/>
      <c r="M13" s="15"/>
      <c r="N13" s="15"/>
      <c r="O13" s="50">
        <f t="shared" si="1"/>
        <v>0</v>
      </c>
    </row>
    <row r="14" spans="1:28">
      <c r="A14" t="s">
        <v>22</v>
      </c>
      <c r="B14" s="9" t="s">
        <v>41</v>
      </c>
      <c r="C14" s="19">
        <f>SUM(C7:C13)</f>
        <v>363051.25</v>
      </c>
      <c r="D14" s="19">
        <f t="shared" ref="D14:N14" si="4">SUM(D7:D13)</f>
        <v>363051.25</v>
      </c>
      <c r="E14" s="19">
        <f t="shared" si="4"/>
        <v>363051.25</v>
      </c>
      <c r="F14" s="19">
        <f t="shared" si="4"/>
        <v>363051.25</v>
      </c>
      <c r="G14" s="19">
        <f t="shared" si="4"/>
        <v>363051.25</v>
      </c>
      <c r="H14" s="19">
        <f t="shared" si="4"/>
        <v>363051.25</v>
      </c>
      <c r="I14" s="19">
        <f t="shared" si="4"/>
        <v>363051.25</v>
      </c>
      <c r="J14" s="19">
        <f t="shared" si="4"/>
        <v>363051.25</v>
      </c>
      <c r="K14" s="19">
        <f t="shared" si="4"/>
        <v>363051.25</v>
      </c>
      <c r="L14" s="19">
        <f t="shared" si="4"/>
        <v>363051.25</v>
      </c>
      <c r="M14" s="19">
        <f t="shared" si="4"/>
        <v>363051.25</v>
      </c>
      <c r="N14" s="19">
        <f t="shared" si="4"/>
        <v>363051.25</v>
      </c>
      <c r="O14" s="51">
        <f>SUM(O7:O13)</f>
        <v>4356615</v>
      </c>
    </row>
    <row r="15" spans="1:28">
      <c r="B15" s="9"/>
      <c r="F15" s="15"/>
      <c r="G15" s="15"/>
      <c r="H15" s="15"/>
      <c r="I15" s="15"/>
      <c r="J15" s="15"/>
      <c r="K15" s="15"/>
      <c r="L15" s="15"/>
      <c r="M15" s="15"/>
      <c r="N15" s="15"/>
      <c r="O15" s="50"/>
    </row>
    <row r="16" spans="1:28">
      <c r="B16" s="9" t="s">
        <v>85</v>
      </c>
      <c r="F16" s="15"/>
      <c r="G16" s="15"/>
      <c r="H16" s="15"/>
      <c r="I16" s="15"/>
      <c r="J16" s="15"/>
      <c r="K16" s="15"/>
      <c r="L16" s="15"/>
      <c r="M16" s="15"/>
      <c r="N16" s="15"/>
      <c r="O16" s="50"/>
    </row>
    <row r="17" spans="1:15">
      <c r="B17" s="5" t="s">
        <v>34</v>
      </c>
      <c r="C17" s="20">
        <f>11407/12</f>
        <v>950.58333333333337</v>
      </c>
      <c r="D17" s="20">
        <f t="shared" ref="D17:N17" si="5">11407/12</f>
        <v>950.58333333333337</v>
      </c>
      <c r="E17" s="20">
        <f t="shared" si="5"/>
        <v>950.58333333333337</v>
      </c>
      <c r="F17" s="20">
        <f t="shared" si="5"/>
        <v>950.58333333333337</v>
      </c>
      <c r="G17" s="20">
        <f t="shared" si="5"/>
        <v>950.58333333333337</v>
      </c>
      <c r="H17" s="20">
        <f t="shared" si="5"/>
        <v>950.58333333333337</v>
      </c>
      <c r="I17" s="20">
        <f t="shared" si="5"/>
        <v>950.58333333333337</v>
      </c>
      <c r="J17" s="20">
        <f t="shared" si="5"/>
        <v>950.58333333333337</v>
      </c>
      <c r="K17" s="20">
        <f t="shared" si="5"/>
        <v>950.58333333333337</v>
      </c>
      <c r="L17" s="20">
        <f t="shared" si="5"/>
        <v>950.58333333333337</v>
      </c>
      <c r="M17" s="20">
        <f t="shared" si="5"/>
        <v>950.58333333333337</v>
      </c>
      <c r="N17" s="20">
        <f t="shared" si="5"/>
        <v>950.58333333333337</v>
      </c>
      <c r="O17" s="50">
        <f t="shared" ref="O17:O23" si="6">SUM(C17:N17)</f>
        <v>11407.000000000002</v>
      </c>
    </row>
    <row r="18" spans="1:15">
      <c r="B18" s="5" t="s">
        <v>35</v>
      </c>
      <c r="C18" s="20">
        <f>92201/12</f>
        <v>7683.416666666667</v>
      </c>
      <c r="D18" s="20">
        <f t="shared" ref="D18:N18" si="7">92201/12</f>
        <v>7683.416666666667</v>
      </c>
      <c r="E18" s="20">
        <f t="shared" si="7"/>
        <v>7683.416666666667</v>
      </c>
      <c r="F18" s="18">
        <f t="shared" si="7"/>
        <v>7683.416666666667</v>
      </c>
      <c r="G18" s="18">
        <f t="shared" si="7"/>
        <v>7683.416666666667</v>
      </c>
      <c r="H18" s="18">
        <f t="shared" si="7"/>
        <v>7683.416666666667</v>
      </c>
      <c r="I18" s="18">
        <f t="shared" si="7"/>
        <v>7683.416666666667</v>
      </c>
      <c r="J18" s="18">
        <f t="shared" si="7"/>
        <v>7683.416666666667</v>
      </c>
      <c r="K18" s="18">
        <f t="shared" si="7"/>
        <v>7683.416666666667</v>
      </c>
      <c r="L18" s="18">
        <f t="shared" si="7"/>
        <v>7683.416666666667</v>
      </c>
      <c r="M18" s="18">
        <f t="shared" si="7"/>
        <v>7683.416666666667</v>
      </c>
      <c r="N18" s="18">
        <f t="shared" si="7"/>
        <v>7683.416666666667</v>
      </c>
      <c r="O18" s="50">
        <f t="shared" si="6"/>
        <v>92201.000000000015</v>
      </c>
    </row>
    <row r="19" spans="1:15" hidden="1">
      <c r="B19" s="5" t="s">
        <v>36</v>
      </c>
      <c r="O19" s="50">
        <f t="shared" si="6"/>
        <v>0</v>
      </c>
    </row>
    <row r="20" spans="1:15" hidden="1">
      <c r="B20" s="5" t="s">
        <v>37</v>
      </c>
      <c r="O20" s="50">
        <f t="shared" si="6"/>
        <v>0</v>
      </c>
    </row>
    <row r="21" spans="1:15" hidden="1">
      <c r="B21" s="5" t="s">
        <v>38</v>
      </c>
      <c r="O21" s="50">
        <f t="shared" si="6"/>
        <v>0</v>
      </c>
    </row>
    <row r="22" spans="1:15" hidden="1">
      <c r="B22" s="5" t="s">
        <v>39</v>
      </c>
      <c r="C22" s="20">
        <v>0</v>
      </c>
      <c r="D22" s="20">
        <v>0</v>
      </c>
      <c r="E22" s="20">
        <v>0</v>
      </c>
      <c r="F22" s="18">
        <v>0</v>
      </c>
      <c r="G22" s="18">
        <v>0</v>
      </c>
      <c r="H22" s="18">
        <v>0</v>
      </c>
      <c r="I22" s="18">
        <v>0</v>
      </c>
      <c r="J22" s="18">
        <v>0</v>
      </c>
      <c r="K22" s="18">
        <v>0</v>
      </c>
      <c r="L22" s="18">
        <v>0</v>
      </c>
      <c r="M22" s="18">
        <v>0</v>
      </c>
      <c r="N22" s="18">
        <v>0</v>
      </c>
      <c r="O22" s="50">
        <f t="shared" si="6"/>
        <v>0</v>
      </c>
    </row>
    <row r="23" spans="1:15">
      <c r="B23" s="5" t="s">
        <v>40</v>
      </c>
      <c r="C23" s="20">
        <f>401210/12</f>
        <v>33434.166666666664</v>
      </c>
      <c r="D23" s="20">
        <f t="shared" ref="D23:N23" si="8">401210/12</f>
        <v>33434.166666666664</v>
      </c>
      <c r="E23" s="20">
        <f t="shared" si="8"/>
        <v>33434.166666666664</v>
      </c>
      <c r="F23" s="18">
        <f t="shared" si="8"/>
        <v>33434.166666666664</v>
      </c>
      <c r="G23" s="18">
        <f t="shared" si="8"/>
        <v>33434.166666666664</v>
      </c>
      <c r="H23" s="18">
        <f t="shared" si="8"/>
        <v>33434.166666666664</v>
      </c>
      <c r="I23" s="18">
        <f t="shared" si="8"/>
        <v>33434.166666666664</v>
      </c>
      <c r="J23" s="18">
        <f t="shared" si="8"/>
        <v>33434.166666666664</v>
      </c>
      <c r="K23" s="18">
        <f t="shared" si="8"/>
        <v>33434.166666666664</v>
      </c>
      <c r="L23" s="18">
        <f t="shared" si="8"/>
        <v>33434.166666666664</v>
      </c>
      <c r="M23" s="18">
        <f t="shared" si="8"/>
        <v>33434.166666666664</v>
      </c>
      <c r="N23" s="18">
        <f t="shared" si="8"/>
        <v>33434.166666666664</v>
      </c>
      <c r="O23" s="50">
        <f t="shared" si="6"/>
        <v>401210.00000000006</v>
      </c>
    </row>
    <row r="24" spans="1:15">
      <c r="A24" t="s">
        <v>21</v>
      </c>
      <c r="B24" s="9" t="s">
        <v>49</v>
      </c>
      <c r="C24" s="19">
        <f t="shared" ref="C24:N24" si="9">SUM(C17:C23)</f>
        <v>42068.166666666664</v>
      </c>
      <c r="D24" s="19">
        <f t="shared" si="9"/>
        <v>42068.166666666664</v>
      </c>
      <c r="E24" s="19">
        <f t="shared" si="9"/>
        <v>42068.166666666664</v>
      </c>
      <c r="F24" s="19">
        <f t="shared" si="9"/>
        <v>42068.166666666664</v>
      </c>
      <c r="G24" s="19">
        <f t="shared" si="9"/>
        <v>42068.166666666664</v>
      </c>
      <c r="H24" s="19">
        <f t="shared" si="9"/>
        <v>42068.166666666664</v>
      </c>
      <c r="I24" s="19">
        <f t="shared" si="9"/>
        <v>42068.166666666664</v>
      </c>
      <c r="J24" s="19">
        <f t="shared" si="9"/>
        <v>42068.166666666664</v>
      </c>
      <c r="K24" s="19">
        <f t="shared" si="9"/>
        <v>42068.166666666664</v>
      </c>
      <c r="L24" s="19">
        <f t="shared" si="9"/>
        <v>42068.166666666664</v>
      </c>
      <c r="M24" s="19">
        <f t="shared" si="9"/>
        <v>42068.166666666664</v>
      </c>
      <c r="N24" s="19">
        <f t="shared" si="9"/>
        <v>42068.166666666664</v>
      </c>
      <c r="O24" s="51">
        <f>SUM(O17:O23)</f>
        <v>504818.00000000006</v>
      </c>
    </row>
    <row r="25" spans="1:15" ht="16.149999999999999" customHeight="1">
      <c r="B25" s="9"/>
      <c r="F25" s="15"/>
      <c r="G25" s="15"/>
      <c r="H25" s="15"/>
      <c r="I25" s="15"/>
      <c r="J25" s="15"/>
      <c r="K25" s="15"/>
      <c r="L25" s="15"/>
      <c r="M25" s="15"/>
      <c r="N25" s="15"/>
      <c r="O25" s="50"/>
    </row>
    <row r="26" spans="1:15">
      <c r="B26" s="9" t="s">
        <v>86</v>
      </c>
      <c r="F26" s="15"/>
      <c r="G26" s="15"/>
      <c r="H26" s="15"/>
      <c r="I26" s="15"/>
      <c r="J26" s="15"/>
      <c r="K26" s="15"/>
      <c r="L26" s="15"/>
      <c r="M26" s="15"/>
      <c r="N26" s="15"/>
      <c r="O26" s="50"/>
    </row>
    <row r="27" spans="1:15">
      <c r="B27" s="5" t="s">
        <v>34</v>
      </c>
      <c r="C27" s="20">
        <f>25110/12</f>
        <v>2092.5</v>
      </c>
      <c r="D27" s="20">
        <f t="shared" ref="D27:N27" si="10">25110/12</f>
        <v>2092.5</v>
      </c>
      <c r="E27" s="20">
        <f t="shared" si="10"/>
        <v>2092.5</v>
      </c>
      <c r="F27" s="20">
        <f t="shared" si="10"/>
        <v>2092.5</v>
      </c>
      <c r="G27" s="20">
        <f t="shared" si="10"/>
        <v>2092.5</v>
      </c>
      <c r="H27" s="20">
        <f t="shared" si="10"/>
        <v>2092.5</v>
      </c>
      <c r="I27" s="20">
        <f t="shared" si="10"/>
        <v>2092.5</v>
      </c>
      <c r="J27" s="20">
        <f t="shared" si="10"/>
        <v>2092.5</v>
      </c>
      <c r="K27" s="20">
        <f t="shared" si="10"/>
        <v>2092.5</v>
      </c>
      <c r="L27" s="20">
        <f t="shared" si="10"/>
        <v>2092.5</v>
      </c>
      <c r="M27" s="20">
        <f t="shared" si="10"/>
        <v>2092.5</v>
      </c>
      <c r="N27" s="20">
        <f t="shared" si="10"/>
        <v>2092.5</v>
      </c>
      <c r="O27" s="50">
        <f t="shared" ref="O27:O33" si="11">SUM(C27:N27)</f>
        <v>25110</v>
      </c>
    </row>
    <row r="28" spans="1:15">
      <c r="B28" s="5" t="s">
        <v>35</v>
      </c>
      <c r="C28" s="20">
        <f>11551/12</f>
        <v>962.58333333333337</v>
      </c>
      <c r="D28" s="20">
        <f t="shared" ref="D28:N28" si="12">11551/12</f>
        <v>962.58333333333337</v>
      </c>
      <c r="E28" s="20">
        <f t="shared" si="12"/>
        <v>962.58333333333337</v>
      </c>
      <c r="F28" s="18">
        <f t="shared" si="12"/>
        <v>962.58333333333337</v>
      </c>
      <c r="G28" s="18">
        <f t="shared" si="12"/>
        <v>962.58333333333337</v>
      </c>
      <c r="H28" s="18">
        <f t="shared" si="12"/>
        <v>962.58333333333337</v>
      </c>
      <c r="I28" s="18">
        <f t="shared" si="12"/>
        <v>962.58333333333337</v>
      </c>
      <c r="J28" s="18">
        <f t="shared" si="12"/>
        <v>962.58333333333337</v>
      </c>
      <c r="K28" s="18">
        <f t="shared" si="12"/>
        <v>962.58333333333337</v>
      </c>
      <c r="L28" s="18">
        <f t="shared" si="12"/>
        <v>962.58333333333337</v>
      </c>
      <c r="M28" s="18">
        <f t="shared" si="12"/>
        <v>962.58333333333337</v>
      </c>
      <c r="N28" s="18">
        <f t="shared" si="12"/>
        <v>962.58333333333337</v>
      </c>
      <c r="O28" s="50">
        <f t="shared" si="11"/>
        <v>11551.000000000002</v>
      </c>
    </row>
    <row r="29" spans="1:15">
      <c r="B29" s="5" t="s">
        <v>36</v>
      </c>
      <c r="C29" s="20">
        <f>2157/12</f>
        <v>179.75</v>
      </c>
      <c r="D29" s="20">
        <f t="shared" ref="D29:N29" si="13">2157/12</f>
        <v>179.75</v>
      </c>
      <c r="E29" s="20">
        <f t="shared" si="13"/>
        <v>179.75</v>
      </c>
      <c r="F29" s="18">
        <f t="shared" si="13"/>
        <v>179.75</v>
      </c>
      <c r="G29" s="18">
        <f t="shared" si="13"/>
        <v>179.75</v>
      </c>
      <c r="H29" s="18">
        <f t="shared" si="13"/>
        <v>179.75</v>
      </c>
      <c r="I29" s="18">
        <f t="shared" si="13"/>
        <v>179.75</v>
      </c>
      <c r="J29" s="18">
        <f t="shared" si="13"/>
        <v>179.75</v>
      </c>
      <c r="K29" s="18">
        <f t="shared" si="13"/>
        <v>179.75</v>
      </c>
      <c r="L29" s="18">
        <f t="shared" si="13"/>
        <v>179.75</v>
      </c>
      <c r="M29" s="18">
        <f t="shared" si="13"/>
        <v>179.75</v>
      </c>
      <c r="N29" s="18">
        <f t="shared" si="13"/>
        <v>179.75</v>
      </c>
      <c r="O29" s="50">
        <f t="shared" si="11"/>
        <v>2157</v>
      </c>
    </row>
    <row r="30" spans="1:15" hidden="1">
      <c r="B30" s="5" t="s">
        <v>37</v>
      </c>
      <c r="O30" s="50">
        <f t="shared" si="11"/>
        <v>0</v>
      </c>
    </row>
    <row r="31" spans="1:15" hidden="1">
      <c r="B31" s="5" t="s">
        <v>38</v>
      </c>
      <c r="O31" s="50">
        <f t="shared" si="11"/>
        <v>0</v>
      </c>
    </row>
    <row r="32" spans="1:15" hidden="1">
      <c r="B32" s="5" t="s">
        <v>39</v>
      </c>
      <c r="O32" s="50">
        <f t="shared" si="11"/>
        <v>0</v>
      </c>
    </row>
    <row r="33" spans="1:29">
      <c r="B33" s="5" t="s">
        <v>40</v>
      </c>
      <c r="C33" s="20">
        <f>335952/12</f>
        <v>27996</v>
      </c>
      <c r="D33" s="20">
        <f t="shared" ref="D33:N33" si="14">335952/12</f>
        <v>27996</v>
      </c>
      <c r="E33" s="20">
        <f t="shared" si="14"/>
        <v>27996</v>
      </c>
      <c r="F33" s="18">
        <f t="shared" si="14"/>
        <v>27996</v>
      </c>
      <c r="G33" s="18">
        <f t="shared" si="14"/>
        <v>27996</v>
      </c>
      <c r="H33" s="18">
        <f t="shared" si="14"/>
        <v>27996</v>
      </c>
      <c r="I33" s="18">
        <f t="shared" si="14"/>
        <v>27996</v>
      </c>
      <c r="J33" s="18">
        <f t="shared" si="14"/>
        <v>27996</v>
      </c>
      <c r="K33" s="18">
        <f t="shared" si="14"/>
        <v>27996</v>
      </c>
      <c r="L33" s="18">
        <f t="shared" si="14"/>
        <v>27996</v>
      </c>
      <c r="M33" s="18">
        <f t="shared" si="14"/>
        <v>27996</v>
      </c>
      <c r="N33" s="18">
        <f t="shared" si="14"/>
        <v>27996</v>
      </c>
      <c r="O33" s="50">
        <f t="shared" si="11"/>
        <v>335952</v>
      </c>
    </row>
    <row r="34" spans="1:29">
      <c r="A34" t="s">
        <v>20</v>
      </c>
      <c r="B34" s="9" t="s">
        <v>48</v>
      </c>
      <c r="C34" s="19">
        <f t="shared" ref="C34:O34" si="15">SUM(C27:C33)</f>
        <v>31230.833333333332</v>
      </c>
      <c r="D34" s="19">
        <f t="shared" si="15"/>
        <v>31230.833333333332</v>
      </c>
      <c r="E34" s="19">
        <f t="shared" si="15"/>
        <v>31230.833333333332</v>
      </c>
      <c r="F34" s="19">
        <f t="shared" si="15"/>
        <v>31230.833333333332</v>
      </c>
      <c r="G34" s="19">
        <f t="shared" si="15"/>
        <v>31230.833333333332</v>
      </c>
      <c r="H34" s="19">
        <f t="shared" si="15"/>
        <v>31230.833333333332</v>
      </c>
      <c r="I34" s="19">
        <f t="shared" si="15"/>
        <v>31230.833333333332</v>
      </c>
      <c r="J34" s="19">
        <f t="shared" si="15"/>
        <v>31230.833333333332</v>
      </c>
      <c r="K34" s="19">
        <f t="shared" si="15"/>
        <v>31230.833333333332</v>
      </c>
      <c r="L34" s="19">
        <f t="shared" si="15"/>
        <v>31230.833333333332</v>
      </c>
      <c r="M34" s="19">
        <f t="shared" si="15"/>
        <v>31230.833333333332</v>
      </c>
      <c r="N34" s="19">
        <f t="shared" si="15"/>
        <v>31230.833333333332</v>
      </c>
      <c r="O34" s="51">
        <f t="shared" si="15"/>
        <v>374770</v>
      </c>
    </row>
    <row r="35" spans="1:29">
      <c r="B35" s="9"/>
      <c r="O35" s="52"/>
    </row>
    <row r="36" spans="1:29" ht="15.75" thickBot="1">
      <c r="A36" t="s">
        <v>96</v>
      </c>
      <c r="B36" s="9" t="s">
        <v>87</v>
      </c>
      <c r="C36" s="36">
        <f>C34+C24+C14</f>
        <v>436350.25</v>
      </c>
      <c r="D36" s="36">
        <f t="shared" ref="D36:O36" si="16">D34+D24+D14</f>
        <v>436350.25</v>
      </c>
      <c r="E36" s="36">
        <f t="shared" si="16"/>
        <v>436350.25</v>
      </c>
      <c r="F36" s="21">
        <f t="shared" si="16"/>
        <v>436350.25</v>
      </c>
      <c r="G36" s="21">
        <f t="shared" si="16"/>
        <v>436350.25</v>
      </c>
      <c r="H36" s="21">
        <f t="shared" si="16"/>
        <v>436350.25</v>
      </c>
      <c r="I36" s="21">
        <f t="shared" si="16"/>
        <v>436350.25</v>
      </c>
      <c r="J36" s="21">
        <f t="shared" si="16"/>
        <v>436350.25</v>
      </c>
      <c r="K36" s="21">
        <f t="shared" si="16"/>
        <v>436350.25</v>
      </c>
      <c r="L36" s="21">
        <f t="shared" si="16"/>
        <v>436350.25</v>
      </c>
      <c r="M36" s="21">
        <f t="shared" si="16"/>
        <v>436350.25</v>
      </c>
      <c r="N36" s="21">
        <f t="shared" si="16"/>
        <v>436350.25</v>
      </c>
      <c r="O36" s="53">
        <f t="shared" si="16"/>
        <v>5236203</v>
      </c>
    </row>
    <row r="37" spans="1:29" ht="15.75" thickTop="1">
      <c r="B37" s="9"/>
      <c r="O37" s="52"/>
    </row>
    <row r="38" spans="1:29">
      <c r="B38" s="28" t="s">
        <v>88</v>
      </c>
      <c r="F38" s="18"/>
      <c r="G38" s="18"/>
      <c r="H38" s="18"/>
      <c r="I38" s="18"/>
      <c r="J38" s="18"/>
      <c r="K38" s="18"/>
      <c r="L38" s="18"/>
      <c r="M38" s="18"/>
      <c r="N38" s="18"/>
      <c r="O38" s="54"/>
      <c r="P38" s="18"/>
      <c r="Q38" s="18"/>
      <c r="R38" s="18"/>
      <c r="S38" s="18"/>
      <c r="T38" s="18"/>
      <c r="U38" s="18"/>
      <c r="V38" s="18"/>
      <c r="W38" s="18"/>
      <c r="X38" s="18"/>
      <c r="Y38" s="18"/>
      <c r="Z38" s="18"/>
      <c r="AA38" s="18"/>
      <c r="AB38" s="18"/>
      <c r="AC38" s="18"/>
    </row>
    <row r="39" spans="1:29">
      <c r="B39" s="29" t="s">
        <v>34</v>
      </c>
      <c r="C39" s="20">
        <v>172930</v>
      </c>
      <c r="D39" s="20">
        <v>243798.5</v>
      </c>
      <c r="E39" s="20">
        <v>226483</v>
      </c>
      <c r="F39" s="18">
        <v>200166</v>
      </c>
      <c r="G39" s="18">
        <v>15234</v>
      </c>
      <c r="H39" s="18">
        <v>56209</v>
      </c>
      <c r="I39" s="18">
        <v>224438</v>
      </c>
      <c r="J39" s="18">
        <v>34698</v>
      </c>
      <c r="K39" s="18">
        <v>79217</v>
      </c>
      <c r="L39" s="18"/>
      <c r="M39" s="18"/>
      <c r="N39" s="18"/>
      <c r="O39" s="50">
        <f t="shared" ref="O39:O45" si="17">SUM(C39:N39)</f>
        <v>1253173.5</v>
      </c>
      <c r="P39" s="18"/>
      <c r="Q39" s="18"/>
      <c r="R39" s="18"/>
      <c r="S39" s="18"/>
      <c r="T39" s="18"/>
      <c r="U39" s="18"/>
      <c r="V39" s="18"/>
      <c r="W39" s="18"/>
      <c r="X39" s="18"/>
      <c r="Y39" s="18"/>
      <c r="Z39" s="18"/>
      <c r="AA39" s="18"/>
      <c r="AB39" s="18"/>
      <c r="AC39" s="18"/>
    </row>
    <row r="40" spans="1:29">
      <c r="B40" s="29" t="s">
        <v>35</v>
      </c>
      <c r="C40" s="20">
        <v>243701.01</v>
      </c>
      <c r="D40" s="20">
        <v>284971.88</v>
      </c>
      <c r="E40" s="20">
        <v>164933.26</v>
      </c>
      <c r="F40" s="18">
        <v>177536</v>
      </c>
      <c r="G40" s="18">
        <v>155066</v>
      </c>
      <c r="H40" s="18">
        <v>193155</v>
      </c>
      <c r="I40" s="18">
        <v>180970</v>
      </c>
      <c r="J40" s="18">
        <v>134449</v>
      </c>
      <c r="K40" s="18">
        <v>126363</v>
      </c>
      <c r="L40" s="18"/>
      <c r="M40" s="18"/>
      <c r="N40" s="18"/>
      <c r="O40" s="50">
        <f t="shared" si="17"/>
        <v>1661145.15</v>
      </c>
      <c r="P40" s="18"/>
      <c r="Q40" s="18"/>
      <c r="R40" s="18"/>
      <c r="S40" s="18"/>
      <c r="T40" s="18"/>
      <c r="U40" s="18"/>
      <c r="V40" s="18"/>
      <c r="W40" s="18"/>
      <c r="X40" s="18"/>
      <c r="Y40" s="18"/>
      <c r="Z40" s="18"/>
      <c r="AA40" s="18"/>
      <c r="AB40" s="18"/>
      <c r="AC40" s="18"/>
    </row>
    <row r="41" spans="1:29">
      <c r="B41" s="29" t="s">
        <v>36</v>
      </c>
      <c r="C41" s="20">
        <v>18244.34</v>
      </c>
      <c r="D41" s="20">
        <v>3312.66</v>
      </c>
      <c r="E41" s="20">
        <v>80052.160000000003</v>
      </c>
      <c r="F41" s="18">
        <v>4192</v>
      </c>
      <c r="G41" s="18">
        <v>1927</v>
      </c>
      <c r="H41" s="18">
        <v>66171</v>
      </c>
      <c r="I41" s="18"/>
      <c r="J41" s="18">
        <v>32346</v>
      </c>
      <c r="K41" s="18">
        <v>33987</v>
      </c>
      <c r="L41" s="18"/>
      <c r="M41" s="18"/>
      <c r="N41" s="18"/>
      <c r="O41" s="50">
        <f t="shared" si="17"/>
        <v>240232.16</v>
      </c>
      <c r="P41" s="18"/>
      <c r="Q41" s="18"/>
      <c r="R41" s="18"/>
      <c r="S41" s="18"/>
      <c r="T41" s="18"/>
      <c r="U41" s="18"/>
      <c r="V41" s="18"/>
      <c r="W41" s="18"/>
      <c r="X41" s="18"/>
      <c r="Y41" s="18"/>
      <c r="Z41" s="18"/>
      <c r="AA41" s="18"/>
      <c r="AB41" s="18"/>
      <c r="AC41" s="18"/>
    </row>
    <row r="42" spans="1:29" hidden="1">
      <c r="B42" s="29" t="s">
        <v>37</v>
      </c>
      <c r="F42" s="18"/>
      <c r="G42" s="18"/>
      <c r="H42" s="18"/>
      <c r="I42" s="18"/>
      <c r="J42" s="18"/>
      <c r="K42" s="18"/>
      <c r="L42" s="18"/>
      <c r="M42" s="18"/>
      <c r="N42" s="18"/>
      <c r="O42" s="50">
        <f t="shared" si="17"/>
        <v>0</v>
      </c>
      <c r="P42" s="18"/>
      <c r="Q42" s="18"/>
      <c r="R42" s="18"/>
      <c r="S42" s="18"/>
      <c r="T42" s="18"/>
      <c r="U42" s="18"/>
      <c r="V42" s="18"/>
      <c r="W42" s="18"/>
      <c r="X42" s="18"/>
      <c r="Y42" s="18"/>
      <c r="Z42" s="18"/>
      <c r="AA42" s="18"/>
      <c r="AB42" s="18"/>
      <c r="AC42" s="18"/>
    </row>
    <row r="43" spans="1:29" hidden="1">
      <c r="B43" s="29" t="s">
        <v>38</v>
      </c>
      <c r="F43" s="18"/>
      <c r="G43" s="18"/>
      <c r="H43" s="18"/>
      <c r="I43" s="18"/>
      <c r="J43" s="18"/>
      <c r="K43" s="18"/>
      <c r="L43" s="18"/>
      <c r="M43" s="18"/>
      <c r="N43" s="18"/>
      <c r="O43" s="50">
        <f t="shared" si="17"/>
        <v>0</v>
      </c>
      <c r="P43" s="18"/>
      <c r="Q43" s="18"/>
      <c r="R43" s="18"/>
      <c r="S43" s="18"/>
      <c r="T43" s="18"/>
      <c r="U43" s="18"/>
      <c r="V43" s="18"/>
      <c r="W43" s="18"/>
      <c r="X43" s="18"/>
      <c r="Y43" s="18"/>
      <c r="Z43" s="18"/>
      <c r="AA43" s="18"/>
      <c r="AB43" s="18"/>
      <c r="AC43" s="18"/>
    </row>
    <row r="44" spans="1:29" hidden="1">
      <c r="B44" s="29" t="s">
        <v>39</v>
      </c>
      <c r="F44" s="18"/>
      <c r="G44" s="18"/>
      <c r="H44" s="18"/>
      <c r="I44" s="18"/>
      <c r="J44" s="18"/>
      <c r="K44" s="18"/>
      <c r="L44" s="18"/>
      <c r="M44" s="18"/>
      <c r="N44" s="18"/>
      <c r="O44" s="50">
        <f t="shared" si="17"/>
        <v>0</v>
      </c>
      <c r="P44" s="18"/>
      <c r="Q44" s="18"/>
      <c r="R44" s="18"/>
      <c r="S44" s="18"/>
      <c r="T44" s="18"/>
      <c r="U44" s="18"/>
      <c r="V44" s="18"/>
      <c r="W44" s="18"/>
      <c r="X44" s="18"/>
      <c r="Y44" s="18"/>
      <c r="Z44" s="18"/>
      <c r="AA44" s="18"/>
      <c r="AB44" s="18"/>
      <c r="AC44" s="18"/>
    </row>
    <row r="45" spans="1:29" hidden="1">
      <c r="B45" s="29" t="s">
        <v>40</v>
      </c>
      <c r="F45" s="18"/>
      <c r="G45" s="18"/>
      <c r="H45" s="18"/>
      <c r="I45" s="18"/>
      <c r="J45" s="18"/>
      <c r="K45" s="18"/>
      <c r="L45" s="18"/>
      <c r="M45" s="18"/>
      <c r="N45" s="18"/>
      <c r="O45" s="50">
        <f t="shared" si="17"/>
        <v>0</v>
      </c>
      <c r="P45" s="18"/>
      <c r="Q45" s="18"/>
      <c r="R45" s="18"/>
      <c r="S45" s="18"/>
      <c r="T45" s="18"/>
      <c r="U45" s="18"/>
      <c r="V45" s="18"/>
      <c r="W45" s="18"/>
      <c r="X45" s="18"/>
      <c r="Y45" s="18"/>
      <c r="Z45" s="18"/>
      <c r="AA45" s="18"/>
      <c r="AB45" s="18"/>
      <c r="AC45" s="18"/>
    </row>
    <row r="46" spans="1:29">
      <c r="A46" t="s">
        <v>24</v>
      </c>
      <c r="B46" s="28" t="s">
        <v>42</v>
      </c>
      <c r="C46" s="19">
        <f>SUM(C39:C45)</f>
        <v>434875.35000000003</v>
      </c>
      <c r="D46" s="19">
        <f t="shared" ref="D46:N46" si="18">SUM(D39:D45)</f>
        <v>532083.04</v>
      </c>
      <c r="E46" s="19">
        <f t="shared" si="18"/>
        <v>471468.42000000004</v>
      </c>
      <c r="F46" s="19">
        <f t="shared" si="18"/>
        <v>381894</v>
      </c>
      <c r="G46" s="19">
        <f t="shared" si="18"/>
        <v>172227</v>
      </c>
      <c r="H46" s="19">
        <f t="shared" si="18"/>
        <v>315535</v>
      </c>
      <c r="I46" s="19">
        <f t="shared" si="18"/>
        <v>405408</v>
      </c>
      <c r="J46" s="19">
        <f t="shared" si="18"/>
        <v>201493</v>
      </c>
      <c r="K46" s="19">
        <f t="shared" si="18"/>
        <v>239567</v>
      </c>
      <c r="L46" s="19">
        <f t="shared" si="18"/>
        <v>0</v>
      </c>
      <c r="M46" s="19">
        <f t="shared" si="18"/>
        <v>0</v>
      </c>
      <c r="N46" s="19">
        <f t="shared" si="18"/>
        <v>0</v>
      </c>
      <c r="O46" s="51">
        <f>SUM(O39:O45)</f>
        <v>3154550.81</v>
      </c>
      <c r="P46" s="18"/>
      <c r="Q46" s="18"/>
      <c r="R46" s="18"/>
      <c r="S46" s="18"/>
      <c r="T46" s="18"/>
      <c r="U46" s="18"/>
      <c r="V46" s="18"/>
      <c r="W46" s="18"/>
      <c r="X46" s="18"/>
      <c r="Y46" s="18"/>
      <c r="Z46" s="18"/>
      <c r="AA46" s="18"/>
      <c r="AB46" s="18"/>
      <c r="AC46" s="18"/>
    </row>
    <row r="47" spans="1:29">
      <c r="B47" s="28"/>
      <c r="F47" s="18"/>
      <c r="G47" s="18"/>
      <c r="H47" s="18"/>
      <c r="I47" s="18"/>
      <c r="J47" s="18"/>
      <c r="K47" s="18"/>
      <c r="L47" s="18"/>
      <c r="M47" s="18"/>
      <c r="N47" s="18"/>
      <c r="O47" s="54"/>
      <c r="P47" s="18"/>
      <c r="Q47" s="18"/>
      <c r="R47" s="18"/>
      <c r="S47" s="18"/>
      <c r="T47" s="18"/>
      <c r="U47" s="18"/>
      <c r="V47" s="18"/>
      <c r="W47" s="18"/>
      <c r="X47" s="18"/>
      <c r="Y47" s="18"/>
      <c r="Z47" s="18"/>
      <c r="AA47" s="18"/>
      <c r="AB47" s="18"/>
      <c r="AC47" s="18"/>
    </row>
    <row r="48" spans="1:29">
      <c r="B48" s="28" t="s">
        <v>89</v>
      </c>
      <c r="F48" s="18"/>
      <c r="G48" s="18"/>
      <c r="H48" s="18"/>
      <c r="I48" s="18"/>
      <c r="J48" s="18"/>
      <c r="K48" s="18"/>
      <c r="L48" s="18"/>
      <c r="M48" s="18"/>
      <c r="N48" s="18"/>
      <c r="O48" s="54"/>
      <c r="P48" s="18"/>
      <c r="Q48" s="18"/>
      <c r="R48" s="18"/>
      <c r="S48" s="18"/>
      <c r="T48" s="18"/>
      <c r="U48" s="18"/>
      <c r="V48" s="18"/>
      <c r="W48" s="18"/>
      <c r="X48" s="18"/>
      <c r="Y48" s="18"/>
      <c r="Z48" s="18"/>
      <c r="AA48" s="18"/>
      <c r="AB48" s="18"/>
      <c r="AC48" s="18"/>
    </row>
    <row r="49" spans="1:29">
      <c r="B49" s="29" t="s">
        <v>34</v>
      </c>
      <c r="C49" s="20">
        <v>10547.95</v>
      </c>
      <c r="D49" s="20">
        <v>4474.2299999999996</v>
      </c>
      <c r="E49" s="20">
        <v>4682.05</v>
      </c>
      <c r="F49" s="18">
        <v>6037</v>
      </c>
      <c r="G49" s="18">
        <v>3359</v>
      </c>
      <c r="H49" s="18">
        <v>8988</v>
      </c>
      <c r="I49" s="18">
        <v>5138</v>
      </c>
      <c r="J49" s="18">
        <v>3625</v>
      </c>
      <c r="K49" s="18">
        <v>5412</v>
      </c>
      <c r="L49" s="18"/>
      <c r="M49" s="18"/>
      <c r="N49" s="18"/>
      <c r="O49" s="50">
        <f t="shared" ref="O49:O55" si="19">SUM(C49:N49)</f>
        <v>52263.229999999996</v>
      </c>
      <c r="P49" s="18"/>
      <c r="Q49" s="18"/>
      <c r="R49" s="18"/>
      <c r="S49" s="18"/>
      <c r="T49" s="18"/>
      <c r="U49" s="18"/>
      <c r="V49" s="18"/>
      <c r="W49" s="18"/>
      <c r="X49" s="18"/>
      <c r="Y49" s="18"/>
      <c r="Z49" s="18"/>
      <c r="AA49" s="18"/>
      <c r="AB49" s="18"/>
      <c r="AC49" s="18"/>
    </row>
    <row r="50" spans="1:29">
      <c r="B50" s="29" t="s">
        <v>35</v>
      </c>
      <c r="C50" s="20">
        <v>18380.28</v>
      </c>
      <c r="D50" s="20">
        <v>20216.05</v>
      </c>
      <c r="E50" s="20">
        <v>11137.52</v>
      </c>
      <c r="F50" s="18">
        <v>6421</v>
      </c>
      <c r="G50" s="18">
        <v>4136</v>
      </c>
      <c r="H50" s="18">
        <v>4623</v>
      </c>
      <c r="I50" s="18">
        <v>14481</v>
      </c>
      <c r="J50" s="18">
        <v>1854</v>
      </c>
      <c r="K50" s="18">
        <v>25698</v>
      </c>
      <c r="L50" s="18"/>
      <c r="M50" s="18"/>
      <c r="N50" s="18"/>
      <c r="O50" s="50">
        <f t="shared" si="19"/>
        <v>106946.85</v>
      </c>
      <c r="P50" s="18"/>
      <c r="Q50" s="18"/>
      <c r="R50" s="18"/>
      <c r="S50" s="18"/>
      <c r="T50" s="18"/>
      <c r="U50" s="18"/>
      <c r="V50" s="18"/>
      <c r="W50" s="18"/>
      <c r="X50" s="18"/>
      <c r="Y50" s="18"/>
      <c r="Z50" s="18"/>
      <c r="AA50" s="18"/>
      <c r="AB50" s="18"/>
      <c r="AC50" s="18"/>
    </row>
    <row r="51" spans="1:29">
      <c r="B51" s="29" t="s">
        <v>36</v>
      </c>
      <c r="C51" s="20">
        <v>5810.97</v>
      </c>
      <c r="D51" s="20">
        <v>1987.46</v>
      </c>
      <c r="E51" s="20">
        <v>1939.32</v>
      </c>
      <c r="F51" s="18">
        <v>1527</v>
      </c>
      <c r="G51" s="18">
        <v>-2370</v>
      </c>
      <c r="H51" s="18">
        <v>1660</v>
      </c>
      <c r="I51" s="18">
        <v>1931</v>
      </c>
      <c r="J51" s="18">
        <v>2367</v>
      </c>
      <c r="K51" s="18">
        <v>2141</v>
      </c>
      <c r="L51" s="18"/>
      <c r="M51" s="18"/>
      <c r="N51" s="18"/>
      <c r="O51" s="50">
        <f t="shared" si="19"/>
        <v>16993.75</v>
      </c>
      <c r="P51" s="18"/>
      <c r="Q51" s="18"/>
      <c r="R51" s="18"/>
      <c r="S51" s="18"/>
      <c r="T51" s="18"/>
      <c r="U51" s="18"/>
      <c r="V51" s="18"/>
      <c r="W51" s="18"/>
      <c r="X51" s="18"/>
      <c r="Y51" s="18"/>
      <c r="Z51" s="18"/>
      <c r="AA51" s="18"/>
      <c r="AB51" s="18"/>
      <c r="AC51" s="18"/>
    </row>
    <row r="52" spans="1:29" hidden="1">
      <c r="B52" s="29" t="s">
        <v>37</v>
      </c>
      <c r="F52" s="18"/>
      <c r="G52" s="18"/>
      <c r="H52" s="18"/>
      <c r="I52" s="18"/>
      <c r="J52" s="18"/>
      <c r="K52" s="18"/>
      <c r="L52" s="18"/>
      <c r="M52" s="18"/>
      <c r="N52" s="18"/>
      <c r="O52" s="50">
        <f t="shared" si="19"/>
        <v>0</v>
      </c>
      <c r="P52" s="18"/>
      <c r="Q52" s="18"/>
      <c r="R52" s="18"/>
      <c r="S52" s="18"/>
      <c r="T52" s="18"/>
      <c r="U52" s="18"/>
      <c r="V52" s="18"/>
      <c r="W52" s="18"/>
      <c r="X52" s="18"/>
      <c r="Y52" s="18"/>
      <c r="Z52" s="18"/>
      <c r="AA52" s="18"/>
      <c r="AB52" s="18"/>
      <c r="AC52" s="18"/>
    </row>
    <row r="53" spans="1:29" hidden="1">
      <c r="B53" s="29" t="s">
        <v>38</v>
      </c>
      <c r="F53" s="18"/>
      <c r="G53" s="18"/>
      <c r="H53" s="18"/>
      <c r="I53" s="18"/>
      <c r="J53" s="18"/>
      <c r="K53" s="18"/>
      <c r="L53" s="18"/>
      <c r="M53" s="18"/>
      <c r="N53" s="18"/>
      <c r="O53" s="50">
        <f t="shared" si="19"/>
        <v>0</v>
      </c>
      <c r="P53" s="18"/>
      <c r="Q53" s="18"/>
      <c r="R53" s="18"/>
      <c r="S53" s="18"/>
      <c r="T53" s="18"/>
      <c r="U53" s="18"/>
      <c r="V53" s="18"/>
      <c r="W53" s="18"/>
      <c r="X53" s="18"/>
      <c r="Y53" s="18"/>
      <c r="Z53" s="18"/>
      <c r="AA53" s="18"/>
      <c r="AB53" s="18"/>
      <c r="AC53" s="18"/>
    </row>
    <row r="54" spans="1:29">
      <c r="B54" s="29" t="s">
        <v>39</v>
      </c>
      <c r="F54" s="18"/>
      <c r="G54" s="18"/>
      <c r="H54" s="18"/>
      <c r="I54" s="18"/>
      <c r="J54" s="18"/>
      <c r="K54" s="18"/>
      <c r="L54" s="18"/>
      <c r="M54" s="18"/>
      <c r="N54" s="18"/>
      <c r="O54" s="50">
        <f t="shared" si="19"/>
        <v>0</v>
      </c>
      <c r="P54" s="18"/>
      <c r="Q54" s="18"/>
      <c r="R54" s="18"/>
      <c r="S54" s="18"/>
      <c r="T54" s="18"/>
      <c r="U54" s="18"/>
      <c r="V54" s="18"/>
      <c r="W54" s="18"/>
      <c r="X54" s="18"/>
      <c r="Y54" s="18"/>
      <c r="Z54" s="18"/>
      <c r="AA54" s="18"/>
      <c r="AB54" s="18"/>
      <c r="AC54" s="18"/>
    </row>
    <row r="55" spans="1:29">
      <c r="B55" s="29" t="s">
        <v>40</v>
      </c>
      <c r="C55" s="20">
        <v>53847.85</v>
      </c>
      <c r="D55" s="20">
        <v>57592.11</v>
      </c>
      <c r="E55" s="20">
        <v>63546.44</v>
      </c>
      <c r="F55" s="18">
        <v>53071</v>
      </c>
      <c r="G55" s="18">
        <v>57151</v>
      </c>
      <c r="H55" s="18">
        <v>58279</v>
      </c>
      <c r="I55" s="18">
        <v>69520</v>
      </c>
      <c r="J55" s="18">
        <v>54706</v>
      </c>
      <c r="K55" s="18">
        <v>49886</v>
      </c>
      <c r="L55" s="18"/>
      <c r="M55" s="18"/>
      <c r="N55" s="18"/>
      <c r="O55" s="50">
        <f t="shared" si="19"/>
        <v>517599.4</v>
      </c>
      <c r="P55" s="18"/>
      <c r="Q55" s="18"/>
      <c r="R55" s="18"/>
      <c r="S55" s="18"/>
      <c r="T55" s="18"/>
      <c r="U55" s="18"/>
      <c r="V55" s="18"/>
      <c r="W55" s="18"/>
      <c r="X55" s="18"/>
      <c r="Y55" s="18"/>
      <c r="Z55" s="18"/>
      <c r="AA55" s="18"/>
      <c r="AB55" s="18"/>
      <c r="AC55" s="18"/>
    </row>
    <row r="56" spans="1:29">
      <c r="A56" t="s">
        <v>97</v>
      </c>
      <c r="B56" s="28" t="s">
        <v>90</v>
      </c>
      <c r="C56" s="19">
        <f t="shared" ref="C56:N56" si="20">SUM(C49:C55)</f>
        <v>88587.049999999988</v>
      </c>
      <c r="D56" s="19">
        <f t="shared" si="20"/>
        <v>84269.85</v>
      </c>
      <c r="E56" s="19">
        <f t="shared" si="20"/>
        <v>81305.33</v>
      </c>
      <c r="F56" s="19">
        <f t="shared" si="20"/>
        <v>67056</v>
      </c>
      <c r="G56" s="19">
        <f t="shared" si="20"/>
        <v>62276</v>
      </c>
      <c r="H56" s="19">
        <f t="shared" si="20"/>
        <v>73550</v>
      </c>
      <c r="I56" s="19">
        <f t="shared" si="20"/>
        <v>91070</v>
      </c>
      <c r="J56" s="19">
        <f t="shared" si="20"/>
        <v>62552</v>
      </c>
      <c r="K56" s="19">
        <f t="shared" si="20"/>
        <v>83137</v>
      </c>
      <c r="L56" s="19">
        <f t="shared" si="20"/>
        <v>0</v>
      </c>
      <c r="M56" s="19">
        <f t="shared" si="20"/>
        <v>0</v>
      </c>
      <c r="N56" s="19">
        <f t="shared" si="20"/>
        <v>0</v>
      </c>
      <c r="O56" s="51">
        <f>SUM(O49:O55)</f>
        <v>693803.23</v>
      </c>
      <c r="P56" s="18"/>
      <c r="Q56" s="18"/>
      <c r="R56" s="18"/>
      <c r="S56" s="18"/>
      <c r="T56" s="18"/>
      <c r="U56" s="18"/>
      <c r="V56" s="18"/>
      <c r="W56" s="18"/>
      <c r="X56" s="18"/>
      <c r="Y56" s="18"/>
      <c r="Z56" s="18"/>
      <c r="AA56" s="18"/>
      <c r="AB56" s="18"/>
      <c r="AC56" s="18"/>
    </row>
    <row r="57" spans="1:29">
      <c r="B57" s="28"/>
      <c r="F57" s="18"/>
      <c r="G57" s="18"/>
      <c r="H57" s="18"/>
      <c r="I57" s="18"/>
      <c r="J57" s="18"/>
      <c r="K57" s="18"/>
      <c r="L57" s="18"/>
      <c r="M57" s="18"/>
      <c r="N57" s="18"/>
      <c r="O57" s="54"/>
      <c r="P57" s="18"/>
      <c r="Q57" s="18"/>
      <c r="R57" s="18"/>
      <c r="S57" s="18"/>
      <c r="T57" s="18"/>
      <c r="U57" s="18"/>
      <c r="V57" s="18"/>
      <c r="W57" s="18"/>
      <c r="X57" s="18"/>
      <c r="Y57" s="18"/>
      <c r="Z57" s="18"/>
      <c r="AA57" s="18"/>
      <c r="AB57" s="18"/>
      <c r="AC57" s="18"/>
    </row>
    <row r="58" spans="1:29">
      <c r="B58" s="28" t="s">
        <v>91</v>
      </c>
      <c r="F58" s="18"/>
      <c r="G58" s="18"/>
      <c r="H58" s="18"/>
      <c r="I58" s="18"/>
      <c r="J58" s="18"/>
      <c r="K58" s="18"/>
      <c r="L58" s="18"/>
      <c r="M58" s="18"/>
      <c r="N58" s="18"/>
      <c r="O58" s="54"/>
      <c r="P58" s="18"/>
      <c r="Q58" s="18"/>
      <c r="R58" s="18"/>
      <c r="S58" s="18"/>
      <c r="T58" s="18"/>
      <c r="U58" s="18"/>
      <c r="V58" s="18"/>
      <c r="W58" s="18"/>
      <c r="X58" s="18"/>
      <c r="Y58" s="18"/>
      <c r="Z58" s="18"/>
      <c r="AA58" s="18"/>
      <c r="AB58" s="18"/>
      <c r="AC58" s="18"/>
    </row>
    <row r="59" spans="1:29">
      <c r="B59" s="29" t="s">
        <v>34</v>
      </c>
      <c r="C59" s="20">
        <v>4063.05</v>
      </c>
      <c r="D59" s="20">
        <v>5568.53</v>
      </c>
      <c r="E59" s="20">
        <v>4284.03</v>
      </c>
      <c r="F59" s="18">
        <v>5806</v>
      </c>
      <c r="G59" s="18">
        <v>3145</v>
      </c>
      <c r="H59" s="18">
        <v>3343</v>
      </c>
      <c r="I59" s="18">
        <v>4508</v>
      </c>
      <c r="J59" s="18">
        <v>1655</v>
      </c>
      <c r="K59" s="18">
        <v>3356</v>
      </c>
      <c r="L59" s="18"/>
      <c r="M59" s="18"/>
      <c r="N59" s="18"/>
      <c r="O59" s="50">
        <f t="shared" ref="O59:O65" si="21">SUM(C59:N59)</f>
        <v>35728.61</v>
      </c>
      <c r="P59" s="18"/>
      <c r="Q59" s="18"/>
      <c r="R59" s="18"/>
      <c r="S59" s="18"/>
      <c r="T59" s="18"/>
      <c r="U59" s="18"/>
      <c r="V59" s="18"/>
      <c r="W59" s="18"/>
      <c r="X59" s="18"/>
      <c r="Y59" s="18"/>
      <c r="Z59" s="18"/>
      <c r="AA59" s="18"/>
      <c r="AB59" s="18"/>
      <c r="AC59" s="18"/>
    </row>
    <row r="60" spans="1:29">
      <c r="B60" s="29" t="s">
        <v>35</v>
      </c>
      <c r="F60" s="18">
        <v>2660</v>
      </c>
      <c r="G60" s="18">
        <v>8475</v>
      </c>
      <c r="H60" s="18">
        <v>7212</v>
      </c>
      <c r="I60" s="18">
        <v>297</v>
      </c>
      <c r="J60" s="18">
        <v>356</v>
      </c>
      <c r="K60" s="18"/>
      <c r="L60" s="18"/>
      <c r="M60" s="18"/>
      <c r="N60" s="18"/>
      <c r="O60" s="50">
        <f t="shared" si="21"/>
        <v>19000</v>
      </c>
      <c r="P60" s="18"/>
      <c r="Q60" s="18"/>
      <c r="R60" s="18"/>
      <c r="S60" s="18"/>
      <c r="T60" s="18"/>
      <c r="U60" s="18"/>
      <c r="V60" s="18"/>
      <c r="W60" s="18"/>
      <c r="X60" s="18"/>
      <c r="Y60" s="18"/>
      <c r="Z60" s="18"/>
      <c r="AA60" s="18"/>
      <c r="AB60" s="18"/>
      <c r="AC60" s="18"/>
    </row>
    <row r="61" spans="1:29">
      <c r="B61" s="29" t="s">
        <v>36</v>
      </c>
      <c r="F61" s="18"/>
      <c r="G61" s="18"/>
      <c r="H61" s="18"/>
      <c r="I61" s="18"/>
      <c r="J61" s="18"/>
      <c r="K61" s="18"/>
      <c r="L61" s="18"/>
      <c r="M61" s="18"/>
      <c r="N61" s="18"/>
      <c r="O61" s="50">
        <f t="shared" si="21"/>
        <v>0</v>
      </c>
      <c r="P61" s="18"/>
      <c r="Q61" s="18"/>
      <c r="R61" s="18"/>
      <c r="S61" s="18"/>
      <c r="T61" s="18"/>
      <c r="U61" s="18"/>
      <c r="V61" s="18"/>
      <c r="W61" s="18"/>
      <c r="X61" s="18"/>
      <c r="Y61" s="18"/>
      <c r="Z61" s="18"/>
      <c r="AA61" s="18"/>
      <c r="AB61" s="18"/>
      <c r="AC61" s="18"/>
    </row>
    <row r="62" spans="1:29">
      <c r="B62" s="29" t="s">
        <v>37</v>
      </c>
      <c r="F62" s="18"/>
      <c r="G62" s="18"/>
      <c r="H62" s="18"/>
      <c r="I62" s="18"/>
      <c r="J62" s="18"/>
      <c r="K62" s="18"/>
      <c r="L62" s="18"/>
      <c r="M62" s="18"/>
      <c r="N62" s="18"/>
      <c r="O62" s="50">
        <f t="shared" si="21"/>
        <v>0</v>
      </c>
      <c r="P62" s="18"/>
      <c r="Q62" s="18"/>
      <c r="R62" s="18"/>
      <c r="S62" s="18"/>
      <c r="T62" s="18"/>
      <c r="U62" s="18"/>
      <c r="V62" s="18"/>
      <c r="W62" s="18"/>
      <c r="X62" s="18"/>
      <c r="Y62" s="18"/>
      <c r="Z62" s="18"/>
      <c r="AA62" s="18"/>
      <c r="AB62" s="18"/>
      <c r="AC62" s="18"/>
    </row>
    <row r="63" spans="1:29">
      <c r="B63" s="29" t="s">
        <v>38</v>
      </c>
      <c r="F63" s="18"/>
      <c r="G63" s="18"/>
      <c r="H63" s="18"/>
      <c r="I63" s="18"/>
      <c r="J63" s="18"/>
      <c r="K63" s="18"/>
      <c r="L63" s="18"/>
      <c r="M63" s="18"/>
      <c r="N63" s="18"/>
      <c r="O63" s="50">
        <f t="shared" si="21"/>
        <v>0</v>
      </c>
      <c r="P63" s="18"/>
      <c r="Q63" s="18"/>
      <c r="R63" s="18"/>
      <c r="S63" s="18"/>
      <c r="T63" s="18"/>
      <c r="U63" s="18"/>
      <c r="V63" s="18"/>
      <c r="W63" s="18"/>
      <c r="X63" s="18"/>
      <c r="Y63" s="18"/>
      <c r="Z63" s="18"/>
      <c r="AA63" s="18"/>
      <c r="AB63" s="18"/>
      <c r="AC63" s="18"/>
    </row>
    <row r="64" spans="1:29">
      <c r="B64" s="29" t="s">
        <v>39</v>
      </c>
      <c r="F64" s="18"/>
      <c r="G64" s="18"/>
      <c r="H64" s="18"/>
      <c r="I64" s="18"/>
      <c r="J64" s="18"/>
      <c r="K64" s="18"/>
      <c r="L64" s="18"/>
      <c r="M64" s="18"/>
      <c r="N64" s="18"/>
      <c r="O64" s="50">
        <f t="shared" si="21"/>
        <v>0</v>
      </c>
      <c r="P64" s="18"/>
      <c r="Q64" s="18"/>
      <c r="R64" s="18"/>
      <c r="S64" s="18"/>
      <c r="T64" s="18"/>
      <c r="U64" s="18"/>
      <c r="V64" s="18"/>
      <c r="W64" s="18"/>
      <c r="X64" s="18"/>
      <c r="Y64" s="18"/>
      <c r="Z64" s="18"/>
      <c r="AA64" s="18"/>
      <c r="AB64" s="18"/>
      <c r="AC64" s="18"/>
    </row>
    <row r="65" spans="1:29">
      <c r="B65" s="29" t="s">
        <v>40</v>
      </c>
      <c r="F65" s="18">
        <v>236</v>
      </c>
      <c r="G65" s="18">
        <v>460</v>
      </c>
      <c r="H65" s="18">
        <v>632</v>
      </c>
      <c r="I65" s="18">
        <v>-158</v>
      </c>
      <c r="J65" s="18"/>
      <c r="K65" s="18"/>
      <c r="L65" s="18"/>
      <c r="M65" s="18"/>
      <c r="N65" s="18"/>
      <c r="O65" s="50">
        <f t="shared" si="21"/>
        <v>1170</v>
      </c>
      <c r="P65" s="18"/>
      <c r="Q65" s="18"/>
      <c r="R65" s="18"/>
      <c r="S65" s="18"/>
      <c r="T65" s="18"/>
      <c r="U65" s="18"/>
      <c r="V65" s="18"/>
      <c r="W65" s="18"/>
      <c r="X65" s="18"/>
      <c r="Y65" s="18"/>
      <c r="Z65" s="18"/>
      <c r="AA65" s="18"/>
      <c r="AB65" s="18"/>
      <c r="AC65" s="18"/>
    </row>
    <row r="66" spans="1:29">
      <c r="A66" t="s">
        <v>98</v>
      </c>
      <c r="B66" s="28" t="s">
        <v>43</v>
      </c>
      <c r="C66" s="19">
        <f t="shared" ref="C66:O66" si="22">SUM(C59:C65)</f>
        <v>4063.05</v>
      </c>
      <c r="D66" s="19">
        <f t="shared" si="22"/>
        <v>5568.53</v>
      </c>
      <c r="E66" s="19">
        <f t="shared" si="22"/>
        <v>4284.03</v>
      </c>
      <c r="F66" s="19">
        <f t="shared" si="22"/>
        <v>8702</v>
      </c>
      <c r="G66" s="19">
        <f t="shared" si="22"/>
        <v>12080</v>
      </c>
      <c r="H66" s="19">
        <f t="shared" si="22"/>
        <v>11187</v>
      </c>
      <c r="I66" s="19">
        <f t="shared" si="22"/>
        <v>4647</v>
      </c>
      <c r="J66" s="19">
        <f t="shared" si="22"/>
        <v>2011</v>
      </c>
      <c r="K66" s="19">
        <f t="shared" si="22"/>
        <v>3356</v>
      </c>
      <c r="L66" s="19">
        <f t="shared" si="22"/>
        <v>0</v>
      </c>
      <c r="M66" s="19">
        <f t="shared" si="22"/>
        <v>0</v>
      </c>
      <c r="N66" s="19">
        <f t="shared" si="22"/>
        <v>0</v>
      </c>
      <c r="O66" s="51">
        <f t="shared" si="22"/>
        <v>55898.61</v>
      </c>
      <c r="P66" s="18"/>
      <c r="Q66" s="18"/>
      <c r="R66" s="18"/>
      <c r="S66" s="18"/>
      <c r="T66" s="18"/>
      <c r="U66" s="18"/>
      <c r="V66" s="18"/>
      <c r="W66" s="18"/>
      <c r="X66" s="18"/>
      <c r="Y66" s="18"/>
      <c r="Z66" s="18"/>
      <c r="AA66" s="18"/>
      <c r="AB66" s="18"/>
      <c r="AC66" s="18"/>
    </row>
    <row r="67" spans="1:29">
      <c r="B67" s="28"/>
      <c r="F67" s="18"/>
      <c r="G67" s="18"/>
      <c r="H67" s="18"/>
      <c r="I67" s="18"/>
      <c r="J67" s="18"/>
      <c r="K67" s="18"/>
      <c r="L67" s="18"/>
      <c r="M67" s="18"/>
      <c r="N67" s="18"/>
      <c r="O67" s="54"/>
      <c r="P67" s="18"/>
      <c r="Q67" s="18"/>
      <c r="R67" s="18"/>
      <c r="S67" s="18"/>
      <c r="T67" s="18"/>
      <c r="U67" s="18"/>
      <c r="V67" s="18"/>
      <c r="W67" s="18"/>
      <c r="X67" s="18"/>
      <c r="Y67" s="18"/>
      <c r="Z67" s="18"/>
      <c r="AA67" s="18"/>
      <c r="AB67" s="18"/>
      <c r="AC67" s="18"/>
    </row>
    <row r="68" spans="1:29" ht="15.75" thickBot="1">
      <c r="A68" t="s">
        <v>99</v>
      </c>
      <c r="B68" s="28" t="s">
        <v>92</v>
      </c>
      <c r="C68" s="36">
        <f>C66+C56+C46</f>
        <v>527525.45000000007</v>
      </c>
      <c r="D68" s="36">
        <f t="shared" ref="D68:O68" si="23">D66+D56+D46</f>
        <v>621921.42000000004</v>
      </c>
      <c r="E68" s="36">
        <f t="shared" si="23"/>
        <v>557057.78</v>
      </c>
      <c r="F68" s="21">
        <f t="shared" si="23"/>
        <v>457652</v>
      </c>
      <c r="G68" s="21">
        <f t="shared" si="23"/>
        <v>246583</v>
      </c>
      <c r="H68" s="21">
        <f t="shared" si="23"/>
        <v>400272</v>
      </c>
      <c r="I68" s="21">
        <f t="shared" si="23"/>
        <v>501125</v>
      </c>
      <c r="J68" s="21">
        <f t="shared" si="23"/>
        <v>266056</v>
      </c>
      <c r="K68" s="21">
        <f t="shared" si="23"/>
        <v>326060</v>
      </c>
      <c r="L68" s="21">
        <f t="shared" si="23"/>
        <v>0</v>
      </c>
      <c r="M68" s="21">
        <f t="shared" si="23"/>
        <v>0</v>
      </c>
      <c r="N68" s="21">
        <f t="shared" si="23"/>
        <v>0</v>
      </c>
      <c r="O68" s="53">
        <f t="shared" si="23"/>
        <v>3904252.65</v>
      </c>
      <c r="P68" s="18"/>
      <c r="Q68" s="18"/>
      <c r="R68" s="18"/>
      <c r="S68" s="18"/>
      <c r="T68" s="18"/>
      <c r="U68" s="18"/>
      <c r="V68" s="18"/>
      <c r="W68" s="18"/>
      <c r="X68" s="18"/>
      <c r="Y68" s="18"/>
      <c r="Z68" s="18"/>
      <c r="AA68" s="18"/>
      <c r="AB68" s="18"/>
      <c r="AC68" s="18"/>
    </row>
    <row r="69" spans="1:29" ht="15.75" thickTop="1">
      <c r="B69" s="30"/>
      <c r="F69" s="18"/>
      <c r="G69" s="18"/>
      <c r="H69" s="18"/>
      <c r="I69" s="18"/>
      <c r="J69" s="18"/>
      <c r="K69" s="18"/>
      <c r="L69" s="18"/>
      <c r="M69" s="18"/>
      <c r="N69" s="18"/>
      <c r="O69" s="54"/>
      <c r="P69" s="18"/>
      <c r="Q69" s="18"/>
      <c r="R69" s="18"/>
      <c r="S69" s="18"/>
      <c r="T69" s="18"/>
      <c r="U69" s="18"/>
      <c r="V69" s="18"/>
      <c r="W69" s="18"/>
      <c r="X69" s="18"/>
      <c r="Y69" s="18"/>
      <c r="Z69" s="18"/>
      <c r="AA69" s="18"/>
      <c r="AB69" s="18"/>
      <c r="AC69" s="18"/>
    </row>
    <row r="70" spans="1:29">
      <c r="B70" s="31" t="s">
        <v>44</v>
      </c>
      <c r="F70" s="18"/>
      <c r="G70" s="18"/>
      <c r="H70" s="18"/>
      <c r="I70" s="18"/>
      <c r="J70" s="18"/>
      <c r="K70" s="18"/>
      <c r="L70" s="18"/>
      <c r="M70" s="18"/>
      <c r="N70" s="18"/>
      <c r="O70" s="54"/>
      <c r="P70" s="18"/>
      <c r="Q70" s="18"/>
      <c r="R70" s="18"/>
      <c r="S70" s="18"/>
      <c r="T70" s="18"/>
      <c r="U70" s="18"/>
      <c r="V70" s="18"/>
      <c r="W70" s="18"/>
      <c r="X70" s="18"/>
      <c r="Y70" s="18"/>
      <c r="Z70" s="18"/>
      <c r="AA70" s="18"/>
      <c r="AB70" s="18"/>
      <c r="AC70" s="18"/>
    </row>
    <row r="71" spans="1:29">
      <c r="B71" s="31" t="s">
        <v>93</v>
      </c>
      <c r="F71" s="18"/>
      <c r="G71" s="18"/>
      <c r="H71" s="18"/>
      <c r="I71" s="18"/>
      <c r="J71" s="18"/>
      <c r="K71" s="18"/>
      <c r="L71" s="18"/>
      <c r="M71" s="18"/>
      <c r="N71" s="18"/>
      <c r="O71" s="54"/>
      <c r="P71" s="18"/>
      <c r="Q71" s="18"/>
      <c r="R71" s="18"/>
      <c r="S71" s="18"/>
      <c r="T71" s="18"/>
      <c r="U71" s="18"/>
      <c r="V71" s="18"/>
      <c r="W71" s="18"/>
      <c r="X71" s="18"/>
      <c r="Y71" s="18"/>
      <c r="Z71" s="18"/>
      <c r="AA71" s="18"/>
      <c r="AB71" s="18"/>
      <c r="AC71" s="18"/>
    </row>
    <row r="72" spans="1:29">
      <c r="B72" s="32" t="s">
        <v>34</v>
      </c>
      <c r="C72" s="20">
        <f>C7-C39</f>
        <v>-31642.666666666657</v>
      </c>
      <c r="D72" s="20">
        <f t="shared" ref="D72:E72" si="24">D7-D39</f>
        <v>-102511.16666666666</v>
      </c>
      <c r="E72" s="20">
        <f t="shared" si="24"/>
        <v>-85195.666666666657</v>
      </c>
      <c r="F72" s="20">
        <f t="shared" ref="F72:G72" si="25">F7-F39</f>
        <v>-58878.666666666657</v>
      </c>
      <c r="G72" s="20">
        <f t="shared" si="25"/>
        <v>126053.33333333334</v>
      </c>
      <c r="H72" s="20">
        <f t="shared" ref="H72:I72" si="26">H7-H39</f>
        <v>85078.333333333343</v>
      </c>
      <c r="I72" s="20">
        <f t="shared" si="26"/>
        <v>-83150.666666666657</v>
      </c>
      <c r="J72" s="20">
        <f t="shared" ref="J72:K72" si="27">J7-J39</f>
        <v>106589.33333333334</v>
      </c>
      <c r="K72" s="20">
        <f t="shared" si="27"/>
        <v>62070.333333333343</v>
      </c>
      <c r="L72" s="20">
        <f t="shared" ref="L72:N72" si="28">L7-L39</f>
        <v>141287.33333333334</v>
      </c>
      <c r="M72" s="20">
        <f t="shared" si="28"/>
        <v>141287.33333333334</v>
      </c>
      <c r="N72" s="20">
        <f t="shared" si="28"/>
        <v>141287.33333333334</v>
      </c>
      <c r="O72" s="50">
        <f t="shared" ref="O72:O78" si="29">SUM(C72:N72)</f>
        <v>442274.50000000012</v>
      </c>
      <c r="P72" s="18"/>
      <c r="Q72" s="18"/>
      <c r="R72" s="18"/>
      <c r="S72" s="18"/>
      <c r="T72" s="18"/>
      <c r="U72" s="18"/>
      <c r="V72" s="18"/>
      <c r="W72" s="18"/>
      <c r="X72" s="18"/>
      <c r="Y72" s="18"/>
      <c r="Z72" s="18"/>
      <c r="AA72" s="18"/>
      <c r="AB72" s="18"/>
      <c r="AC72" s="18"/>
    </row>
    <row r="73" spans="1:29">
      <c r="B73" s="32" t="s">
        <v>35</v>
      </c>
      <c r="C73" s="20">
        <f t="shared" ref="C73:E79" si="30">C8-C40</f>
        <v>-70732.426666666666</v>
      </c>
      <c r="D73" s="20">
        <f t="shared" si="30"/>
        <v>-112003.29666666666</v>
      </c>
      <c r="E73" s="20">
        <f t="shared" si="30"/>
        <v>8035.3233333333337</v>
      </c>
      <c r="F73" s="20">
        <f t="shared" ref="F73:G73" si="31">F8-F40</f>
        <v>-4567.416666666657</v>
      </c>
      <c r="G73" s="20">
        <f t="shared" si="31"/>
        <v>17902.583333333343</v>
      </c>
      <c r="H73" s="20">
        <f t="shared" ref="H73:I73" si="32">H8-H40</f>
        <v>-20186.416666666657</v>
      </c>
      <c r="I73" s="20">
        <f t="shared" si="32"/>
        <v>-8001.416666666657</v>
      </c>
      <c r="J73" s="20">
        <f t="shared" ref="J73:K73" si="33">J8-J40</f>
        <v>38519.583333333343</v>
      </c>
      <c r="K73" s="20">
        <f t="shared" si="33"/>
        <v>46605.583333333343</v>
      </c>
      <c r="L73" s="20">
        <f t="shared" ref="L73:N73" si="34">L8-L40</f>
        <v>172968.58333333334</v>
      </c>
      <c r="M73" s="20">
        <f t="shared" si="34"/>
        <v>172968.58333333334</v>
      </c>
      <c r="N73" s="20">
        <f t="shared" si="34"/>
        <v>172968.58333333334</v>
      </c>
      <c r="O73" s="50">
        <f t="shared" si="29"/>
        <v>414477.85000000009</v>
      </c>
      <c r="P73" s="18"/>
      <c r="Q73" s="18"/>
      <c r="R73" s="18"/>
      <c r="S73" s="18"/>
      <c r="T73" s="18"/>
      <c r="U73" s="18"/>
      <c r="V73" s="18"/>
      <c r="W73" s="18"/>
      <c r="X73" s="18"/>
      <c r="Y73" s="18"/>
      <c r="Z73" s="18"/>
      <c r="AA73" s="18"/>
      <c r="AB73" s="18"/>
      <c r="AC73" s="18"/>
    </row>
    <row r="74" spans="1:29">
      <c r="B74" s="32" t="s">
        <v>36</v>
      </c>
      <c r="C74" s="20">
        <f t="shared" si="30"/>
        <v>30550.993333333336</v>
      </c>
      <c r="D74" s="20">
        <f t="shared" si="30"/>
        <v>45482.67333333334</v>
      </c>
      <c r="E74" s="20">
        <f t="shared" si="30"/>
        <v>-31256.826666666668</v>
      </c>
      <c r="F74" s="20">
        <f t="shared" ref="F74:G74" si="35">F9-F41</f>
        <v>44603.333333333336</v>
      </c>
      <c r="G74" s="20">
        <f t="shared" si="35"/>
        <v>46868.333333333336</v>
      </c>
      <c r="H74" s="20">
        <f t="shared" ref="H74:I74" si="36">H9-H41</f>
        <v>-17375.666666666664</v>
      </c>
      <c r="I74" s="20">
        <f t="shared" si="36"/>
        <v>48795.333333333336</v>
      </c>
      <c r="J74" s="20">
        <f t="shared" ref="J74:K74" si="37">J9-J41</f>
        <v>16449.333333333336</v>
      </c>
      <c r="K74" s="20">
        <f t="shared" si="37"/>
        <v>14808.333333333336</v>
      </c>
      <c r="L74" s="20">
        <f t="shared" ref="L74:N74" si="38">L9-L41</f>
        <v>48795.333333333336</v>
      </c>
      <c r="M74" s="20">
        <f t="shared" si="38"/>
        <v>48795.333333333336</v>
      </c>
      <c r="N74" s="20">
        <f t="shared" si="38"/>
        <v>48795.333333333336</v>
      </c>
      <c r="O74" s="50">
        <f t="shared" si="29"/>
        <v>345311.84</v>
      </c>
      <c r="P74" s="18"/>
      <c r="Q74" s="18"/>
      <c r="R74" s="18"/>
      <c r="S74" s="18"/>
      <c r="T74" s="18"/>
      <c r="U74" s="18"/>
      <c r="V74" s="18"/>
      <c r="W74" s="18"/>
      <c r="X74" s="18"/>
      <c r="Y74" s="18"/>
      <c r="Z74" s="18"/>
      <c r="AA74" s="18"/>
      <c r="AB74" s="18"/>
      <c r="AC74" s="18"/>
    </row>
    <row r="75" spans="1:29" hidden="1">
      <c r="B75" s="32" t="s">
        <v>37</v>
      </c>
      <c r="C75" s="20">
        <f t="shared" si="30"/>
        <v>0</v>
      </c>
      <c r="D75" s="20">
        <f t="shared" si="30"/>
        <v>0</v>
      </c>
      <c r="E75" s="20">
        <f t="shared" si="30"/>
        <v>0</v>
      </c>
      <c r="F75" s="20">
        <f t="shared" ref="F75:G75" si="39">F10-F42</f>
        <v>0</v>
      </c>
      <c r="G75" s="20">
        <f t="shared" si="39"/>
        <v>0</v>
      </c>
      <c r="H75" s="20">
        <f t="shared" ref="H75:I75" si="40">H10-H42</f>
        <v>0</v>
      </c>
      <c r="I75" s="20">
        <f t="shared" si="40"/>
        <v>0</v>
      </c>
      <c r="J75" s="20">
        <f t="shared" ref="J75:K75" si="41">J10-J42</f>
        <v>0</v>
      </c>
      <c r="K75" s="20">
        <f t="shared" si="41"/>
        <v>0</v>
      </c>
      <c r="L75" s="20">
        <f t="shared" ref="L75:N75" si="42">L10-L42</f>
        <v>0</v>
      </c>
      <c r="M75" s="20">
        <f t="shared" si="42"/>
        <v>0</v>
      </c>
      <c r="N75" s="20">
        <f t="shared" si="42"/>
        <v>0</v>
      </c>
      <c r="O75" s="50">
        <f t="shared" si="29"/>
        <v>0</v>
      </c>
      <c r="P75" s="18"/>
      <c r="Q75" s="18"/>
      <c r="R75" s="18"/>
      <c r="S75" s="18"/>
      <c r="T75" s="18"/>
      <c r="U75" s="18"/>
      <c r="V75" s="18"/>
      <c r="W75" s="18"/>
      <c r="X75" s="18"/>
      <c r="Y75" s="18"/>
      <c r="Z75" s="18"/>
      <c r="AA75" s="18"/>
      <c r="AB75" s="18"/>
      <c r="AC75" s="18"/>
    </row>
    <row r="76" spans="1:29" hidden="1">
      <c r="B76" s="32" t="s">
        <v>38</v>
      </c>
      <c r="C76" s="20">
        <f t="shared" si="30"/>
        <v>0</v>
      </c>
      <c r="D76" s="20">
        <f t="shared" si="30"/>
        <v>0</v>
      </c>
      <c r="E76" s="20">
        <f t="shared" si="30"/>
        <v>0</v>
      </c>
      <c r="F76" s="20">
        <f t="shared" ref="F76:G76" si="43">F11-F43</f>
        <v>0</v>
      </c>
      <c r="G76" s="20">
        <f t="shared" si="43"/>
        <v>0</v>
      </c>
      <c r="H76" s="20">
        <f t="shared" ref="H76:I76" si="44">H11-H43</f>
        <v>0</v>
      </c>
      <c r="I76" s="20">
        <f t="shared" si="44"/>
        <v>0</v>
      </c>
      <c r="J76" s="20">
        <f t="shared" ref="J76:K76" si="45">J11-J43</f>
        <v>0</v>
      </c>
      <c r="K76" s="20">
        <f t="shared" si="45"/>
        <v>0</v>
      </c>
      <c r="L76" s="20">
        <f t="shared" ref="L76:N76" si="46">L11-L43</f>
        <v>0</v>
      </c>
      <c r="M76" s="20">
        <f t="shared" si="46"/>
        <v>0</v>
      </c>
      <c r="N76" s="20">
        <f t="shared" si="46"/>
        <v>0</v>
      </c>
      <c r="O76" s="50">
        <f t="shared" si="29"/>
        <v>0</v>
      </c>
      <c r="P76" s="18"/>
      <c r="Q76" s="18"/>
      <c r="R76" s="18"/>
      <c r="S76" s="18"/>
      <c r="T76" s="18"/>
      <c r="U76" s="18"/>
      <c r="V76" s="18"/>
      <c r="W76" s="18"/>
      <c r="X76" s="18"/>
      <c r="Y76" s="18"/>
      <c r="Z76" s="18"/>
      <c r="AA76" s="18"/>
      <c r="AB76" s="18"/>
      <c r="AC76" s="18"/>
    </row>
    <row r="77" spans="1:29" hidden="1">
      <c r="B77" s="32" t="s">
        <v>39</v>
      </c>
      <c r="C77" s="20">
        <f t="shared" si="30"/>
        <v>0</v>
      </c>
      <c r="D77" s="20">
        <f t="shared" si="30"/>
        <v>0</v>
      </c>
      <c r="E77" s="20">
        <f t="shared" si="30"/>
        <v>0</v>
      </c>
      <c r="F77" s="20">
        <f t="shared" ref="F77:G77" si="47">F12-F44</f>
        <v>0</v>
      </c>
      <c r="G77" s="20">
        <f t="shared" si="47"/>
        <v>0</v>
      </c>
      <c r="H77" s="20">
        <f t="shared" ref="H77:I77" si="48">H12-H44</f>
        <v>0</v>
      </c>
      <c r="I77" s="20">
        <f t="shared" si="48"/>
        <v>0</v>
      </c>
      <c r="J77" s="20">
        <f t="shared" ref="J77:K77" si="49">J12-J44</f>
        <v>0</v>
      </c>
      <c r="K77" s="20">
        <f t="shared" si="49"/>
        <v>0</v>
      </c>
      <c r="L77" s="20">
        <f t="shared" ref="L77:N77" si="50">L12-L44</f>
        <v>0</v>
      </c>
      <c r="M77" s="20">
        <f t="shared" si="50"/>
        <v>0</v>
      </c>
      <c r="N77" s="20">
        <f t="shared" si="50"/>
        <v>0</v>
      </c>
      <c r="O77" s="50">
        <f t="shared" si="29"/>
        <v>0</v>
      </c>
      <c r="P77" s="18"/>
      <c r="Q77" s="18"/>
      <c r="R77" s="18"/>
      <c r="S77" s="18"/>
      <c r="T77" s="18"/>
      <c r="U77" s="18"/>
      <c r="V77" s="18"/>
      <c r="W77" s="18"/>
      <c r="X77" s="18"/>
      <c r="Y77" s="18"/>
      <c r="Z77" s="18"/>
      <c r="AA77" s="18"/>
      <c r="AB77" s="18"/>
      <c r="AC77" s="18"/>
    </row>
    <row r="78" spans="1:29" hidden="1">
      <c r="B78" s="32" t="s">
        <v>40</v>
      </c>
      <c r="C78" s="20">
        <f t="shared" si="30"/>
        <v>0</v>
      </c>
      <c r="D78" s="20">
        <f t="shared" si="30"/>
        <v>0</v>
      </c>
      <c r="E78" s="20">
        <f t="shared" si="30"/>
        <v>0</v>
      </c>
      <c r="F78" s="20">
        <f t="shared" ref="F78:G78" si="51">F13-F45</f>
        <v>0</v>
      </c>
      <c r="G78" s="20">
        <f t="shared" si="51"/>
        <v>0</v>
      </c>
      <c r="H78" s="20">
        <f t="shared" ref="H78:I78" si="52">H13-H45</f>
        <v>0</v>
      </c>
      <c r="I78" s="20">
        <f t="shared" si="52"/>
        <v>0</v>
      </c>
      <c r="J78" s="20">
        <f t="shared" ref="J78:K78" si="53">J13-J45</f>
        <v>0</v>
      </c>
      <c r="K78" s="20">
        <f t="shared" si="53"/>
        <v>0</v>
      </c>
      <c r="L78" s="20">
        <f t="shared" ref="L78:N78" si="54">L13-L45</f>
        <v>0</v>
      </c>
      <c r="M78" s="20">
        <f t="shared" si="54"/>
        <v>0</v>
      </c>
      <c r="N78" s="20">
        <f t="shared" si="54"/>
        <v>0</v>
      </c>
      <c r="O78" s="50">
        <f t="shared" si="29"/>
        <v>0</v>
      </c>
      <c r="P78" s="18"/>
      <c r="Q78" s="18"/>
      <c r="R78" s="18"/>
      <c r="S78" s="18"/>
      <c r="T78" s="18"/>
      <c r="U78" s="18"/>
      <c r="V78" s="18"/>
      <c r="W78" s="18"/>
      <c r="X78" s="18"/>
      <c r="Y78" s="18"/>
      <c r="Z78" s="18"/>
      <c r="AA78" s="18"/>
      <c r="AB78" s="18"/>
      <c r="AC78" s="18"/>
    </row>
    <row r="79" spans="1:29">
      <c r="A79" t="s">
        <v>100</v>
      </c>
      <c r="B79" s="31" t="s">
        <v>45</v>
      </c>
      <c r="C79" s="19">
        <f t="shared" si="30"/>
        <v>-71824.100000000035</v>
      </c>
      <c r="D79" s="19">
        <f t="shared" si="30"/>
        <v>-169031.79000000004</v>
      </c>
      <c r="E79" s="19">
        <f t="shared" si="30"/>
        <v>-108417.17000000004</v>
      </c>
      <c r="F79" s="19">
        <f t="shared" ref="F79:G79" si="55">F14-F46</f>
        <v>-18842.75</v>
      </c>
      <c r="G79" s="19">
        <f t="shared" si="55"/>
        <v>190824.25</v>
      </c>
      <c r="H79" s="19">
        <f t="shared" ref="H79:I79" si="56">H14-H46</f>
        <v>47516.25</v>
      </c>
      <c r="I79" s="19">
        <f t="shared" si="56"/>
        <v>-42356.75</v>
      </c>
      <c r="J79" s="19">
        <f t="shared" ref="J79:K79" si="57">J14-J46</f>
        <v>161558.25</v>
      </c>
      <c r="K79" s="19">
        <f t="shared" si="57"/>
        <v>123484.25</v>
      </c>
      <c r="L79" s="19">
        <f t="shared" ref="L79:N79" si="58">L14-L46</f>
        <v>363051.25</v>
      </c>
      <c r="M79" s="19">
        <f t="shared" si="58"/>
        <v>363051.25</v>
      </c>
      <c r="N79" s="19">
        <f t="shared" si="58"/>
        <v>363051.25</v>
      </c>
      <c r="O79" s="51">
        <f t="shared" ref="O79" si="59">SUM(O72:O78)</f>
        <v>1202064.1900000002</v>
      </c>
      <c r="P79" s="18"/>
      <c r="Q79" s="18"/>
      <c r="R79" s="18"/>
      <c r="S79" s="18"/>
      <c r="T79" s="18"/>
      <c r="U79" s="18"/>
      <c r="V79" s="18"/>
      <c r="W79" s="18"/>
      <c r="X79" s="18"/>
      <c r="Y79" s="18"/>
      <c r="Z79" s="18"/>
      <c r="AA79" s="18"/>
      <c r="AB79" s="18"/>
      <c r="AC79" s="18"/>
    </row>
    <row r="80" spans="1:29">
      <c r="B80" s="31"/>
      <c r="F80" s="20"/>
      <c r="G80" s="20"/>
      <c r="H80" s="20"/>
      <c r="I80" s="20"/>
      <c r="J80" s="20"/>
      <c r="K80" s="20"/>
      <c r="L80" s="20"/>
      <c r="M80" s="20"/>
      <c r="N80" s="20"/>
      <c r="O80" s="54"/>
      <c r="P80" s="18"/>
      <c r="Q80" s="18"/>
      <c r="R80" s="18"/>
      <c r="S80" s="18"/>
      <c r="T80" s="18"/>
      <c r="U80" s="18"/>
      <c r="V80" s="18"/>
      <c r="W80" s="18"/>
      <c r="X80" s="18"/>
      <c r="Y80" s="18"/>
      <c r="Z80" s="18"/>
      <c r="AA80" s="18"/>
      <c r="AB80" s="18"/>
      <c r="AC80" s="18"/>
    </row>
    <row r="81" spans="1:29">
      <c r="B81" s="31" t="s">
        <v>94</v>
      </c>
      <c r="F81" s="20"/>
      <c r="G81" s="20"/>
      <c r="H81" s="20"/>
      <c r="I81" s="20"/>
      <c r="J81" s="20"/>
      <c r="K81" s="20"/>
      <c r="L81" s="20"/>
      <c r="M81" s="20"/>
      <c r="N81" s="20"/>
      <c r="O81" s="50"/>
      <c r="P81" s="18"/>
      <c r="Q81" s="18"/>
      <c r="R81" s="18"/>
      <c r="S81" s="18"/>
      <c r="T81" s="18"/>
      <c r="U81" s="18"/>
      <c r="V81" s="18"/>
      <c r="W81" s="18"/>
      <c r="X81" s="18"/>
      <c r="Y81" s="18"/>
      <c r="Z81" s="18"/>
      <c r="AA81" s="18"/>
      <c r="AB81" s="18"/>
      <c r="AC81" s="18"/>
    </row>
    <row r="82" spans="1:29">
      <c r="B82" s="32" t="s">
        <v>34</v>
      </c>
      <c r="C82" s="20">
        <f t="shared" ref="C82:E89" si="60">C17-C49</f>
        <v>-9597.3666666666668</v>
      </c>
      <c r="D82" s="20">
        <f t="shared" si="60"/>
        <v>-3523.6466666666661</v>
      </c>
      <c r="E82" s="20">
        <f t="shared" si="60"/>
        <v>-3731.4666666666667</v>
      </c>
      <c r="F82" s="20">
        <f t="shared" ref="F82:G82" si="61">F17-F49</f>
        <v>-5086.416666666667</v>
      </c>
      <c r="G82" s="20">
        <f t="shared" si="61"/>
        <v>-2408.4166666666665</v>
      </c>
      <c r="H82" s="20">
        <f t="shared" ref="H82:I82" si="62">H17-H49</f>
        <v>-8037.416666666667</v>
      </c>
      <c r="I82" s="20">
        <f t="shared" si="62"/>
        <v>-4187.416666666667</v>
      </c>
      <c r="J82" s="20">
        <f t="shared" ref="J82:K82" si="63">J17-J49</f>
        <v>-2674.4166666666665</v>
      </c>
      <c r="K82" s="20">
        <f t="shared" si="63"/>
        <v>-4461.416666666667</v>
      </c>
      <c r="L82" s="20">
        <f t="shared" ref="L82:N82" si="64">L17-L49</f>
        <v>950.58333333333337</v>
      </c>
      <c r="M82" s="20">
        <f t="shared" si="64"/>
        <v>950.58333333333337</v>
      </c>
      <c r="N82" s="20">
        <f t="shared" si="64"/>
        <v>950.58333333333337</v>
      </c>
      <c r="O82" s="50">
        <f t="shared" ref="O82:O88" si="65">SUM(C82:N82)</f>
        <v>-40856.229999999989</v>
      </c>
      <c r="P82" s="18"/>
      <c r="Q82" s="18"/>
      <c r="R82" s="18"/>
      <c r="S82" s="18"/>
      <c r="T82" s="18"/>
      <c r="U82" s="18"/>
      <c r="V82" s="18"/>
      <c r="W82" s="18"/>
      <c r="X82" s="18"/>
      <c r="Y82" s="18"/>
      <c r="Z82" s="18"/>
      <c r="AA82" s="18"/>
      <c r="AB82" s="18"/>
      <c r="AC82" s="18"/>
    </row>
    <row r="83" spans="1:29">
      <c r="B83" s="32" t="s">
        <v>35</v>
      </c>
      <c r="C83" s="20">
        <f t="shared" si="60"/>
        <v>-10696.863333333331</v>
      </c>
      <c r="D83" s="20">
        <f t="shared" si="60"/>
        <v>-12532.633333333331</v>
      </c>
      <c r="E83" s="20">
        <f t="shared" si="60"/>
        <v>-3454.1033333333335</v>
      </c>
      <c r="F83" s="20">
        <f t="shared" ref="F83:G83" si="66">F18-F50</f>
        <v>1262.416666666667</v>
      </c>
      <c r="G83" s="20">
        <f t="shared" si="66"/>
        <v>3547.416666666667</v>
      </c>
      <c r="H83" s="20">
        <f t="shared" ref="H83:I83" si="67">H18-H50</f>
        <v>3060.416666666667</v>
      </c>
      <c r="I83" s="20">
        <f t="shared" si="67"/>
        <v>-6797.583333333333</v>
      </c>
      <c r="J83" s="20">
        <f t="shared" ref="J83:K83" si="68">J18-J50</f>
        <v>5829.416666666667</v>
      </c>
      <c r="K83" s="20">
        <f t="shared" si="68"/>
        <v>-18014.583333333332</v>
      </c>
      <c r="L83" s="20">
        <f t="shared" ref="L83:N83" si="69">L18-L50</f>
        <v>7683.416666666667</v>
      </c>
      <c r="M83" s="20">
        <f t="shared" si="69"/>
        <v>7683.416666666667</v>
      </c>
      <c r="N83" s="20">
        <f t="shared" si="69"/>
        <v>7683.416666666667</v>
      </c>
      <c r="O83" s="50">
        <f t="shared" si="65"/>
        <v>-14745.849999999988</v>
      </c>
      <c r="P83" s="18"/>
      <c r="Q83" s="18"/>
      <c r="R83" s="18"/>
      <c r="S83" s="18"/>
      <c r="T83" s="18"/>
      <c r="U83" s="18"/>
      <c r="V83" s="18"/>
      <c r="W83" s="18"/>
      <c r="X83" s="18"/>
      <c r="Y83" s="18"/>
      <c r="Z83" s="18"/>
      <c r="AA83" s="18"/>
      <c r="AB83" s="18"/>
      <c r="AC83" s="18"/>
    </row>
    <row r="84" spans="1:29" hidden="1">
      <c r="B84" s="32" t="s">
        <v>36</v>
      </c>
      <c r="C84" s="20">
        <f t="shared" si="60"/>
        <v>-5810.97</v>
      </c>
      <c r="D84" s="20">
        <f t="shared" si="60"/>
        <v>-1987.46</v>
      </c>
      <c r="E84" s="20">
        <f t="shared" si="60"/>
        <v>-1939.32</v>
      </c>
      <c r="F84" s="20">
        <f t="shared" ref="F84:G84" si="70">F19-F51</f>
        <v>-1527</v>
      </c>
      <c r="G84" s="20">
        <f t="shared" si="70"/>
        <v>2370</v>
      </c>
      <c r="H84" s="20">
        <f t="shared" ref="H84:I84" si="71">H19-H51</f>
        <v>-1660</v>
      </c>
      <c r="I84" s="20">
        <f t="shared" si="71"/>
        <v>-1931</v>
      </c>
      <c r="J84" s="20">
        <f t="shared" ref="J84:K84" si="72">J19-J51</f>
        <v>-2367</v>
      </c>
      <c r="K84" s="20">
        <f t="shared" si="72"/>
        <v>-2141</v>
      </c>
      <c r="L84" s="20">
        <f t="shared" ref="L84:N84" si="73">L19-L51</f>
        <v>0</v>
      </c>
      <c r="M84" s="20">
        <f t="shared" si="73"/>
        <v>0</v>
      </c>
      <c r="N84" s="20">
        <f t="shared" si="73"/>
        <v>0</v>
      </c>
      <c r="O84" s="50">
        <f t="shared" si="65"/>
        <v>-16993.75</v>
      </c>
      <c r="P84" s="18"/>
      <c r="Q84" s="18"/>
      <c r="R84" s="18"/>
      <c r="S84" s="18"/>
      <c r="T84" s="18"/>
      <c r="U84" s="18"/>
      <c r="V84" s="18"/>
      <c r="W84" s="18"/>
      <c r="X84" s="18"/>
      <c r="Y84" s="18"/>
      <c r="Z84" s="18"/>
      <c r="AA84" s="18"/>
      <c r="AB84" s="18"/>
      <c r="AC84" s="18"/>
    </row>
    <row r="85" spans="1:29" hidden="1">
      <c r="B85" s="32" t="s">
        <v>37</v>
      </c>
      <c r="C85" s="20">
        <f t="shared" si="60"/>
        <v>0</v>
      </c>
      <c r="D85" s="20">
        <f t="shared" si="60"/>
        <v>0</v>
      </c>
      <c r="E85" s="20">
        <f t="shared" si="60"/>
        <v>0</v>
      </c>
      <c r="F85" s="20">
        <f t="shared" ref="F85:G85" si="74">F20-F52</f>
        <v>0</v>
      </c>
      <c r="G85" s="20">
        <f t="shared" si="74"/>
        <v>0</v>
      </c>
      <c r="H85" s="20">
        <f t="shared" ref="H85:I85" si="75">H20-H52</f>
        <v>0</v>
      </c>
      <c r="I85" s="20">
        <f t="shared" si="75"/>
        <v>0</v>
      </c>
      <c r="J85" s="20">
        <f t="shared" ref="J85:K85" si="76">J20-J52</f>
        <v>0</v>
      </c>
      <c r="K85" s="20">
        <f t="shared" si="76"/>
        <v>0</v>
      </c>
      <c r="L85" s="20">
        <f t="shared" ref="L85:N85" si="77">L20-L52</f>
        <v>0</v>
      </c>
      <c r="M85" s="20">
        <f t="shared" si="77"/>
        <v>0</v>
      </c>
      <c r="N85" s="20">
        <f t="shared" si="77"/>
        <v>0</v>
      </c>
      <c r="O85" s="50">
        <f t="shared" si="65"/>
        <v>0</v>
      </c>
      <c r="P85" s="18"/>
      <c r="Q85" s="18"/>
      <c r="R85" s="18"/>
      <c r="S85" s="18"/>
      <c r="T85" s="18"/>
      <c r="U85" s="18"/>
      <c r="V85" s="18"/>
      <c r="W85" s="18"/>
      <c r="X85" s="18"/>
      <c r="Y85" s="18"/>
      <c r="Z85" s="18"/>
      <c r="AA85" s="18"/>
      <c r="AB85" s="18"/>
      <c r="AC85" s="18"/>
    </row>
    <row r="86" spans="1:29" hidden="1">
      <c r="B86" s="32" t="s">
        <v>38</v>
      </c>
      <c r="C86" s="20">
        <f t="shared" si="60"/>
        <v>0</v>
      </c>
      <c r="D86" s="20">
        <f t="shared" si="60"/>
        <v>0</v>
      </c>
      <c r="E86" s="20">
        <f t="shared" si="60"/>
        <v>0</v>
      </c>
      <c r="F86" s="20">
        <f t="shared" ref="F86:G86" si="78">F21-F53</f>
        <v>0</v>
      </c>
      <c r="G86" s="20">
        <f t="shared" si="78"/>
        <v>0</v>
      </c>
      <c r="H86" s="20">
        <f t="shared" ref="H86:I86" si="79">H21-H53</f>
        <v>0</v>
      </c>
      <c r="I86" s="20">
        <f t="shared" si="79"/>
        <v>0</v>
      </c>
      <c r="J86" s="20">
        <f t="shared" ref="J86:K86" si="80">J21-J53</f>
        <v>0</v>
      </c>
      <c r="K86" s="20">
        <f t="shared" si="80"/>
        <v>0</v>
      </c>
      <c r="L86" s="20">
        <f t="shared" ref="L86:N86" si="81">L21-L53</f>
        <v>0</v>
      </c>
      <c r="M86" s="20">
        <f t="shared" si="81"/>
        <v>0</v>
      </c>
      <c r="N86" s="20">
        <f t="shared" si="81"/>
        <v>0</v>
      </c>
      <c r="O86" s="50">
        <f t="shared" si="65"/>
        <v>0</v>
      </c>
      <c r="P86" s="18"/>
      <c r="Q86" s="18"/>
      <c r="R86" s="18"/>
      <c r="S86" s="18"/>
      <c r="T86" s="18"/>
      <c r="U86" s="18"/>
      <c r="V86" s="18"/>
      <c r="W86" s="18"/>
      <c r="X86" s="18"/>
      <c r="Y86" s="18"/>
      <c r="Z86" s="18"/>
      <c r="AA86" s="18"/>
      <c r="AB86" s="18"/>
      <c r="AC86" s="18"/>
    </row>
    <row r="87" spans="1:29" hidden="1">
      <c r="B87" s="32" t="s">
        <v>39</v>
      </c>
      <c r="C87" s="20">
        <f t="shared" si="60"/>
        <v>0</v>
      </c>
      <c r="D87" s="20">
        <f t="shared" si="60"/>
        <v>0</v>
      </c>
      <c r="E87" s="20">
        <f t="shared" si="60"/>
        <v>0</v>
      </c>
      <c r="F87" s="20">
        <f t="shared" ref="F87:G87" si="82">F22-F54</f>
        <v>0</v>
      </c>
      <c r="G87" s="20">
        <f t="shared" si="82"/>
        <v>0</v>
      </c>
      <c r="H87" s="20">
        <f t="shared" ref="H87:I87" si="83">H22-H54</f>
        <v>0</v>
      </c>
      <c r="I87" s="20">
        <f t="shared" si="83"/>
        <v>0</v>
      </c>
      <c r="J87" s="20">
        <f t="shared" ref="J87:K87" si="84">J22-J54</f>
        <v>0</v>
      </c>
      <c r="K87" s="20">
        <f t="shared" si="84"/>
        <v>0</v>
      </c>
      <c r="L87" s="20">
        <f t="shared" ref="L87:N87" si="85">L22-L54</f>
        <v>0</v>
      </c>
      <c r="M87" s="20">
        <f t="shared" si="85"/>
        <v>0</v>
      </c>
      <c r="N87" s="20">
        <f t="shared" si="85"/>
        <v>0</v>
      </c>
      <c r="O87" s="50">
        <f t="shared" si="65"/>
        <v>0</v>
      </c>
      <c r="P87" s="18"/>
      <c r="Q87" s="18"/>
      <c r="R87" s="18"/>
      <c r="S87" s="18"/>
      <c r="T87" s="18"/>
      <c r="U87" s="18"/>
      <c r="V87" s="18"/>
      <c r="W87" s="18"/>
      <c r="X87" s="18"/>
      <c r="Y87" s="18"/>
      <c r="Z87" s="18"/>
      <c r="AA87" s="18"/>
      <c r="AB87" s="18"/>
      <c r="AC87" s="18"/>
    </row>
    <row r="88" spans="1:29">
      <c r="B88" s="32" t="s">
        <v>40</v>
      </c>
      <c r="C88" s="20">
        <f t="shared" si="60"/>
        <v>-20413.683333333334</v>
      </c>
      <c r="D88" s="20">
        <f t="shared" si="60"/>
        <v>-24157.943333333336</v>
      </c>
      <c r="E88" s="20">
        <f t="shared" si="60"/>
        <v>-30112.273333333338</v>
      </c>
      <c r="F88" s="20">
        <f t="shared" ref="F88:G88" si="86">F23-F55</f>
        <v>-19636.833333333336</v>
      </c>
      <c r="G88" s="20">
        <f t="shared" si="86"/>
        <v>-23716.833333333336</v>
      </c>
      <c r="H88" s="20">
        <f t="shared" ref="H88:I88" si="87">H23-H55</f>
        <v>-24844.833333333336</v>
      </c>
      <c r="I88" s="20">
        <f t="shared" si="87"/>
        <v>-36085.833333333336</v>
      </c>
      <c r="J88" s="20">
        <f t="shared" ref="J88:K88" si="88">J23-J55</f>
        <v>-21271.833333333336</v>
      </c>
      <c r="K88" s="20">
        <f t="shared" si="88"/>
        <v>-16451.833333333336</v>
      </c>
      <c r="L88" s="20">
        <f t="shared" ref="L88:N88" si="89">L23-L55</f>
        <v>33434.166666666664</v>
      </c>
      <c r="M88" s="20">
        <f t="shared" si="89"/>
        <v>33434.166666666664</v>
      </c>
      <c r="N88" s="20">
        <f t="shared" si="89"/>
        <v>33434.166666666664</v>
      </c>
      <c r="O88" s="50">
        <f t="shared" si="65"/>
        <v>-116389.40000000008</v>
      </c>
      <c r="P88" s="18"/>
      <c r="Q88" s="18"/>
      <c r="R88" s="18"/>
      <c r="S88" s="18"/>
      <c r="T88" s="18"/>
      <c r="U88" s="18"/>
      <c r="V88" s="18"/>
      <c r="W88" s="18"/>
      <c r="X88" s="18"/>
      <c r="Y88" s="18"/>
      <c r="Z88" s="18"/>
      <c r="AA88" s="18"/>
      <c r="AB88" s="18"/>
      <c r="AC88" s="18"/>
    </row>
    <row r="89" spans="1:29">
      <c r="A89" t="s">
        <v>101</v>
      </c>
      <c r="B89" s="31" t="s">
        <v>45</v>
      </c>
      <c r="C89" s="19">
        <f t="shared" si="60"/>
        <v>-46518.883333333324</v>
      </c>
      <c r="D89" s="19">
        <f t="shared" si="60"/>
        <v>-42201.683333333342</v>
      </c>
      <c r="E89" s="19">
        <f t="shared" si="60"/>
        <v>-39237.163333333338</v>
      </c>
      <c r="F89" s="19">
        <f t="shared" ref="F89:G89" si="90">F24-F56</f>
        <v>-24987.833333333336</v>
      </c>
      <c r="G89" s="19">
        <f t="shared" si="90"/>
        <v>-20207.833333333336</v>
      </c>
      <c r="H89" s="19">
        <f t="shared" ref="H89:I89" si="91">H24-H56</f>
        <v>-31481.833333333336</v>
      </c>
      <c r="I89" s="19">
        <f t="shared" si="91"/>
        <v>-49001.833333333336</v>
      </c>
      <c r="J89" s="19">
        <f t="shared" ref="J89:K89" si="92">J24-J56</f>
        <v>-20483.833333333336</v>
      </c>
      <c r="K89" s="19">
        <f t="shared" si="92"/>
        <v>-41068.833333333336</v>
      </c>
      <c r="L89" s="19">
        <f t="shared" ref="L89:N89" si="93">L24-L56</f>
        <v>42068.166666666664</v>
      </c>
      <c r="M89" s="19">
        <f t="shared" si="93"/>
        <v>42068.166666666664</v>
      </c>
      <c r="N89" s="19">
        <f t="shared" si="93"/>
        <v>42068.166666666664</v>
      </c>
      <c r="O89" s="51">
        <f t="shared" ref="O89" si="94">SUM(O82:O88)</f>
        <v>-188985.23000000004</v>
      </c>
      <c r="P89" s="18"/>
      <c r="Q89" s="18"/>
      <c r="R89" s="18"/>
      <c r="S89" s="18"/>
      <c r="T89" s="18"/>
      <c r="U89" s="18"/>
      <c r="V89" s="18"/>
      <c r="W89" s="18"/>
      <c r="X89" s="18"/>
      <c r="Y89" s="18"/>
      <c r="Z89" s="18"/>
      <c r="AA89" s="18"/>
      <c r="AB89" s="18"/>
      <c r="AC89" s="18"/>
    </row>
    <row r="90" spans="1:29">
      <c r="B90" s="31"/>
      <c r="F90" s="20"/>
      <c r="G90" s="20"/>
      <c r="H90" s="20"/>
      <c r="I90" s="20"/>
      <c r="J90" s="20"/>
      <c r="K90" s="20"/>
      <c r="L90" s="20"/>
      <c r="M90" s="20"/>
      <c r="N90" s="20"/>
      <c r="O90" s="54"/>
      <c r="P90" s="18"/>
      <c r="Q90" s="18"/>
      <c r="R90" s="18"/>
      <c r="S90" s="18"/>
      <c r="T90" s="18"/>
      <c r="U90" s="18"/>
      <c r="V90" s="18"/>
      <c r="W90" s="18"/>
      <c r="X90" s="18"/>
      <c r="Y90" s="18"/>
      <c r="Z90" s="18"/>
      <c r="AA90" s="18"/>
      <c r="AB90" s="18"/>
      <c r="AC90" s="18"/>
    </row>
    <row r="91" spans="1:29">
      <c r="B91" s="31" t="s">
        <v>95</v>
      </c>
      <c r="F91" s="20"/>
      <c r="G91" s="20"/>
      <c r="H91" s="20"/>
      <c r="I91" s="20"/>
      <c r="J91" s="20"/>
      <c r="K91" s="20"/>
      <c r="L91" s="20"/>
      <c r="M91" s="20"/>
      <c r="N91" s="20"/>
      <c r="O91" s="54"/>
      <c r="P91" s="18"/>
      <c r="Q91" s="18"/>
      <c r="R91" s="18"/>
      <c r="S91" s="18"/>
      <c r="T91" s="18"/>
      <c r="U91" s="18"/>
      <c r="V91" s="18"/>
      <c r="W91" s="18"/>
      <c r="X91" s="18"/>
      <c r="Y91" s="18"/>
      <c r="Z91" s="18"/>
      <c r="AA91" s="18"/>
      <c r="AB91" s="18"/>
      <c r="AC91" s="18"/>
    </row>
    <row r="92" spans="1:29">
      <c r="B92" s="32" t="s">
        <v>34</v>
      </c>
      <c r="C92" s="20">
        <f t="shared" ref="C92:E99" si="95">C27-C59</f>
        <v>-1970.5500000000002</v>
      </c>
      <c r="D92" s="20">
        <f t="shared" si="95"/>
        <v>-3476.0299999999997</v>
      </c>
      <c r="E92" s="20">
        <f t="shared" si="95"/>
        <v>-2191.5299999999997</v>
      </c>
      <c r="F92" s="20">
        <f t="shared" ref="F92:G92" si="96">F27-F59</f>
        <v>-3713.5</v>
      </c>
      <c r="G92" s="20">
        <f t="shared" si="96"/>
        <v>-1052.5</v>
      </c>
      <c r="H92" s="20">
        <f t="shared" ref="H92:I92" si="97">H27-H59</f>
        <v>-1250.5</v>
      </c>
      <c r="I92" s="20">
        <f t="shared" si="97"/>
        <v>-2415.5</v>
      </c>
      <c r="J92" s="20">
        <f t="shared" ref="J92:K92" si="98">J27-J59</f>
        <v>437.5</v>
      </c>
      <c r="K92" s="20">
        <f t="shared" si="98"/>
        <v>-1263.5</v>
      </c>
      <c r="L92" s="20">
        <f t="shared" ref="L92:N92" si="99">L27-L59</f>
        <v>2092.5</v>
      </c>
      <c r="M92" s="20">
        <f t="shared" si="99"/>
        <v>2092.5</v>
      </c>
      <c r="N92" s="20">
        <f t="shared" si="99"/>
        <v>2092.5</v>
      </c>
      <c r="O92" s="50">
        <f t="shared" ref="O92:O98" si="100">SUM(C92:N92)</f>
        <v>-10618.61</v>
      </c>
      <c r="P92" s="18"/>
      <c r="Q92" s="18"/>
      <c r="R92" s="18"/>
      <c r="S92" s="18"/>
      <c r="T92" s="18"/>
      <c r="U92" s="18"/>
      <c r="V92" s="18"/>
      <c r="W92" s="18"/>
      <c r="X92" s="18"/>
      <c r="Y92" s="18"/>
      <c r="Z92" s="18"/>
      <c r="AA92" s="18"/>
      <c r="AB92" s="18"/>
      <c r="AC92" s="18"/>
    </row>
    <row r="93" spans="1:29">
      <c r="B93" s="32" t="s">
        <v>35</v>
      </c>
      <c r="C93" s="20">
        <f t="shared" si="95"/>
        <v>962.58333333333337</v>
      </c>
      <c r="D93" s="20">
        <f t="shared" si="95"/>
        <v>962.58333333333337</v>
      </c>
      <c r="E93" s="20">
        <f t="shared" si="95"/>
        <v>962.58333333333337</v>
      </c>
      <c r="F93" s="20">
        <f t="shared" ref="F93:G93" si="101">F28-F60</f>
        <v>-1697.4166666666665</v>
      </c>
      <c r="G93" s="20">
        <f t="shared" si="101"/>
        <v>-7512.416666666667</v>
      </c>
      <c r="H93" s="20">
        <f t="shared" ref="H93:I93" si="102">H28-H60</f>
        <v>-6249.416666666667</v>
      </c>
      <c r="I93" s="20">
        <f t="shared" si="102"/>
        <v>665.58333333333337</v>
      </c>
      <c r="J93" s="20">
        <f t="shared" ref="J93:K93" si="103">J28-J60</f>
        <v>606.58333333333337</v>
      </c>
      <c r="K93" s="20">
        <f t="shared" si="103"/>
        <v>962.58333333333337</v>
      </c>
      <c r="L93" s="20">
        <f t="shared" ref="L93:N93" si="104">L28-L60</f>
        <v>962.58333333333337</v>
      </c>
      <c r="M93" s="20">
        <f t="shared" si="104"/>
        <v>962.58333333333337</v>
      </c>
      <c r="N93" s="20">
        <f t="shared" si="104"/>
        <v>962.58333333333337</v>
      </c>
      <c r="O93" s="50">
        <f t="shared" si="100"/>
        <v>-7448.9999999999973</v>
      </c>
      <c r="P93" s="18"/>
      <c r="Q93" s="18"/>
      <c r="R93" s="18"/>
      <c r="S93" s="18"/>
      <c r="T93" s="18"/>
      <c r="U93" s="18"/>
      <c r="V93" s="18"/>
      <c r="W93" s="18"/>
      <c r="X93" s="18"/>
      <c r="Y93" s="18"/>
      <c r="Z93" s="18"/>
      <c r="AA93" s="18"/>
      <c r="AB93" s="18"/>
      <c r="AC93" s="18"/>
    </row>
    <row r="94" spans="1:29">
      <c r="B94" s="32" t="s">
        <v>36</v>
      </c>
      <c r="C94" s="20">
        <f t="shared" si="95"/>
        <v>179.75</v>
      </c>
      <c r="D94" s="20">
        <f t="shared" si="95"/>
        <v>179.75</v>
      </c>
      <c r="E94" s="20">
        <f t="shared" si="95"/>
        <v>179.75</v>
      </c>
      <c r="F94" s="20">
        <f t="shared" ref="F94:G94" si="105">F29-F61</f>
        <v>179.75</v>
      </c>
      <c r="G94" s="20">
        <f t="shared" si="105"/>
        <v>179.75</v>
      </c>
      <c r="H94" s="20">
        <f t="shared" ref="H94:I94" si="106">H29-H61</f>
        <v>179.75</v>
      </c>
      <c r="I94" s="20">
        <f t="shared" si="106"/>
        <v>179.75</v>
      </c>
      <c r="J94" s="20">
        <f t="shared" ref="J94:K94" si="107">J29-J61</f>
        <v>179.75</v>
      </c>
      <c r="K94" s="20">
        <f t="shared" si="107"/>
        <v>179.75</v>
      </c>
      <c r="L94" s="20">
        <f t="shared" ref="L94:N94" si="108">L29-L61</f>
        <v>179.75</v>
      </c>
      <c r="M94" s="20">
        <f t="shared" si="108"/>
        <v>179.75</v>
      </c>
      <c r="N94" s="20">
        <f t="shared" si="108"/>
        <v>179.75</v>
      </c>
      <c r="O94" s="50">
        <f t="shared" si="100"/>
        <v>2157</v>
      </c>
      <c r="P94" s="18"/>
      <c r="Q94" s="18"/>
      <c r="R94" s="18"/>
      <c r="S94" s="18"/>
      <c r="T94" s="18"/>
      <c r="U94" s="18"/>
      <c r="V94" s="18"/>
      <c r="W94" s="18"/>
      <c r="X94" s="18"/>
      <c r="Y94" s="18"/>
      <c r="Z94" s="18"/>
      <c r="AA94" s="18"/>
      <c r="AB94" s="18"/>
      <c r="AC94" s="18"/>
    </row>
    <row r="95" spans="1:29" hidden="1">
      <c r="B95" s="32" t="s">
        <v>37</v>
      </c>
      <c r="C95" s="20">
        <f t="shared" si="95"/>
        <v>0</v>
      </c>
      <c r="D95" s="20">
        <f t="shared" si="95"/>
        <v>0</v>
      </c>
      <c r="E95" s="20">
        <f t="shared" si="95"/>
        <v>0</v>
      </c>
      <c r="F95" s="20">
        <f t="shared" ref="F95:G95" si="109">F30-F62</f>
        <v>0</v>
      </c>
      <c r="G95" s="20">
        <f t="shared" si="109"/>
        <v>0</v>
      </c>
      <c r="H95" s="20">
        <f t="shared" ref="H95:I95" si="110">H30-H62</f>
        <v>0</v>
      </c>
      <c r="I95" s="20">
        <f t="shared" si="110"/>
        <v>0</v>
      </c>
      <c r="J95" s="20">
        <f t="shared" ref="J95:K95" si="111">J30-J62</f>
        <v>0</v>
      </c>
      <c r="K95" s="20">
        <f t="shared" si="111"/>
        <v>0</v>
      </c>
      <c r="L95" s="20">
        <f t="shared" ref="L95:N95" si="112">L30-L62</f>
        <v>0</v>
      </c>
      <c r="M95" s="20">
        <f t="shared" si="112"/>
        <v>0</v>
      </c>
      <c r="N95" s="20">
        <f t="shared" si="112"/>
        <v>0</v>
      </c>
      <c r="O95" s="50">
        <f t="shared" si="100"/>
        <v>0</v>
      </c>
      <c r="P95" s="18"/>
      <c r="Q95" s="18"/>
      <c r="R95" s="18"/>
      <c r="S95" s="18"/>
      <c r="T95" s="18"/>
      <c r="U95" s="18"/>
      <c r="V95" s="18"/>
      <c r="W95" s="18"/>
      <c r="X95" s="18"/>
      <c r="Y95" s="18"/>
      <c r="Z95" s="18"/>
      <c r="AA95" s="18"/>
      <c r="AB95" s="18"/>
      <c r="AC95" s="18"/>
    </row>
    <row r="96" spans="1:29" hidden="1">
      <c r="B96" s="32" t="s">
        <v>38</v>
      </c>
      <c r="C96" s="20">
        <f t="shared" si="95"/>
        <v>0</v>
      </c>
      <c r="D96" s="20">
        <f t="shared" si="95"/>
        <v>0</v>
      </c>
      <c r="E96" s="20">
        <f t="shared" si="95"/>
        <v>0</v>
      </c>
      <c r="F96" s="20">
        <f t="shared" ref="F96:G96" si="113">F31-F63</f>
        <v>0</v>
      </c>
      <c r="G96" s="20">
        <f t="shared" si="113"/>
        <v>0</v>
      </c>
      <c r="H96" s="20">
        <f t="shared" ref="H96:I96" si="114">H31-H63</f>
        <v>0</v>
      </c>
      <c r="I96" s="20">
        <f t="shared" si="114"/>
        <v>0</v>
      </c>
      <c r="J96" s="20">
        <f t="shared" ref="J96:K96" si="115">J31-J63</f>
        <v>0</v>
      </c>
      <c r="K96" s="20">
        <f t="shared" si="115"/>
        <v>0</v>
      </c>
      <c r="L96" s="20">
        <f t="shared" ref="L96:N96" si="116">L31-L63</f>
        <v>0</v>
      </c>
      <c r="M96" s="20">
        <f t="shared" si="116"/>
        <v>0</v>
      </c>
      <c r="N96" s="20">
        <f t="shared" si="116"/>
        <v>0</v>
      </c>
      <c r="O96" s="50">
        <f t="shared" si="100"/>
        <v>0</v>
      </c>
      <c r="P96" s="18"/>
      <c r="Q96" s="18"/>
      <c r="R96" s="18"/>
      <c r="S96" s="18"/>
      <c r="T96" s="18"/>
      <c r="U96" s="18"/>
      <c r="V96" s="18"/>
      <c r="W96" s="18"/>
      <c r="X96" s="18"/>
      <c r="Y96" s="18"/>
      <c r="Z96" s="18"/>
      <c r="AA96" s="18"/>
      <c r="AB96" s="18"/>
      <c r="AC96" s="18"/>
    </row>
    <row r="97" spans="1:29" hidden="1">
      <c r="B97" s="32" t="s">
        <v>39</v>
      </c>
      <c r="C97" s="20">
        <f t="shared" si="95"/>
        <v>0</v>
      </c>
      <c r="D97" s="20">
        <f t="shared" si="95"/>
        <v>0</v>
      </c>
      <c r="E97" s="20">
        <f t="shared" si="95"/>
        <v>0</v>
      </c>
      <c r="F97" s="20">
        <f t="shared" ref="F97:G97" si="117">F32-F64</f>
        <v>0</v>
      </c>
      <c r="G97" s="20">
        <f t="shared" si="117"/>
        <v>0</v>
      </c>
      <c r="H97" s="20">
        <f t="shared" ref="H97:I97" si="118">H32-H64</f>
        <v>0</v>
      </c>
      <c r="I97" s="20">
        <f t="shared" si="118"/>
        <v>0</v>
      </c>
      <c r="J97" s="20">
        <f t="shared" ref="J97:K97" si="119">J32-J64</f>
        <v>0</v>
      </c>
      <c r="K97" s="20">
        <f t="shared" si="119"/>
        <v>0</v>
      </c>
      <c r="L97" s="20">
        <f t="shared" ref="L97:N97" si="120">L32-L64</f>
        <v>0</v>
      </c>
      <c r="M97" s="20">
        <f t="shared" si="120"/>
        <v>0</v>
      </c>
      <c r="N97" s="20">
        <f t="shared" si="120"/>
        <v>0</v>
      </c>
      <c r="O97" s="50">
        <f t="shared" si="100"/>
        <v>0</v>
      </c>
      <c r="P97" s="18"/>
      <c r="Q97" s="18"/>
      <c r="R97" s="18"/>
      <c r="S97" s="18"/>
      <c r="T97" s="18"/>
      <c r="U97" s="18"/>
      <c r="V97" s="18"/>
      <c r="W97" s="18"/>
      <c r="X97" s="18"/>
      <c r="Y97" s="18"/>
      <c r="Z97" s="18"/>
      <c r="AA97" s="18"/>
      <c r="AB97" s="18"/>
      <c r="AC97" s="18"/>
    </row>
    <row r="98" spans="1:29">
      <c r="B98" s="32" t="s">
        <v>40</v>
      </c>
      <c r="C98" s="20">
        <f t="shared" si="95"/>
        <v>27996</v>
      </c>
      <c r="D98" s="20">
        <f t="shared" si="95"/>
        <v>27996</v>
      </c>
      <c r="E98" s="20">
        <f t="shared" si="95"/>
        <v>27996</v>
      </c>
      <c r="F98" s="20">
        <f t="shared" ref="F98:G98" si="121">F33-F65</f>
        <v>27760</v>
      </c>
      <c r="G98" s="20">
        <f t="shared" si="121"/>
        <v>27536</v>
      </c>
      <c r="H98" s="20">
        <f t="shared" ref="H98:I98" si="122">H33-H65</f>
        <v>27364</v>
      </c>
      <c r="I98" s="20">
        <f t="shared" si="122"/>
        <v>28154</v>
      </c>
      <c r="J98" s="20">
        <f t="shared" ref="J98:K98" si="123">J33-J65</f>
        <v>27996</v>
      </c>
      <c r="K98" s="20">
        <f t="shared" si="123"/>
        <v>27996</v>
      </c>
      <c r="L98" s="20">
        <f t="shared" ref="L98:N98" si="124">L33-L65</f>
        <v>27996</v>
      </c>
      <c r="M98" s="20">
        <f t="shared" si="124"/>
        <v>27996</v>
      </c>
      <c r="N98" s="20">
        <f t="shared" si="124"/>
        <v>27996</v>
      </c>
      <c r="O98" s="50">
        <f t="shared" si="100"/>
        <v>334782</v>
      </c>
      <c r="P98" s="18"/>
      <c r="Q98" s="18"/>
      <c r="R98" s="18"/>
      <c r="S98" s="18"/>
      <c r="T98" s="18"/>
      <c r="U98" s="18"/>
      <c r="V98" s="18"/>
      <c r="W98" s="18"/>
      <c r="X98" s="18"/>
      <c r="Y98" s="18"/>
      <c r="Z98" s="18"/>
      <c r="AA98" s="18"/>
      <c r="AB98" s="18"/>
      <c r="AC98" s="18"/>
    </row>
    <row r="99" spans="1:29">
      <c r="A99" t="s">
        <v>102</v>
      </c>
      <c r="B99" s="31" t="s">
        <v>45</v>
      </c>
      <c r="C99" s="19">
        <f t="shared" si="95"/>
        <v>27167.783333333333</v>
      </c>
      <c r="D99" s="19">
        <f t="shared" si="95"/>
        <v>25662.303333333333</v>
      </c>
      <c r="E99" s="19">
        <f t="shared" si="95"/>
        <v>26946.803333333333</v>
      </c>
      <c r="F99" s="19">
        <f t="shared" ref="F99:G99" si="125">F34-F66</f>
        <v>22528.833333333332</v>
      </c>
      <c r="G99" s="19">
        <f t="shared" si="125"/>
        <v>19150.833333333332</v>
      </c>
      <c r="H99" s="19">
        <f t="shared" ref="H99:I99" si="126">H34-H66</f>
        <v>20043.833333333332</v>
      </c>
      <c r="I99" s="19">
        <f t="shared" si="126"/>
        <v>26583.833333333332</v>
      </c>
      <c r="J99" s="19">
        <f t="shared" ref="J99:K99" si="127">J34-J66</f>
        <v>29219.833333333332</v>
      </c>
      <c r="K99" s="19">
        <f t="shared" si="127"/>
        <v>27874.833333333332</v>
      </c>
      <c r="L99" s="19">
        <f t="shared" ref="L99:N99" si="128">L34-L66</f>
        <v>31230.833333333332</v>
      </c>
      <c r="M99" s="19">
        <f t="shared" si="128"/>
        <v>31230.833333333332</v>
      </c>
      <c r="N99" s="19">
        <f t="shared" si="128"/>
        <v>31230.833333333332</v>
      </c>
      <c r="O99" s="51">
        <f t="shared" ref="O99" si="129">SUM(O92:O98)</f>
        <v>318871.39</v>
      </c>
      <c r="P99" s="18"/>
      <c r="Q99" s="18"/>
      <c r="R99" s="18"/>
      <c r="S99" s="18"/>
      <c r="T99" s="18"/>
      <c r="U99" s="18"/>
      <c r="V99" s="18"/>
      <c r="W99" s="18"/>
      <c r="X99" s="18"/>
      <c r="Y99" s="18"/>
      <c r="Z99" s="18"/>
      <c r="AA99" s="18"/>
      <c r="AB99" s="18"/>
      <c r="AC99" s="18"/>
    </row>
    <row r="100" spans="1:29">
      <c r="B100" s="31"/>
      <c r="F100" s="20"/>
      <c r="G100" s="20"/>
      <c r="H100" s="20"/>
      <c r="I100" s="20"/>
      <c r="J100" s="20"/>
      <c r="K100" s="20"/>
      <c r="L100" s="20"/>
      <c r="M100" s="20"/>
      <c r="N100" s="20"/>
      <c r="O100" s="54"/>
      <c r="P100" s="18"/>
      <c r="Q100" s="18"/>
      <c r="R100" s="18"/>
      <c r="S100" s="18"/>
      <c r="T100" s="18"/>
      <c r="U100" s="18"/>
      <c r="V100" s="18"/>
      <c r="W100" s="18"/>
      <c r="X100" s="18"/>
      <c r="Y100" s="18"/>
      <c r="Z100" s="18"/>
      <c r="AA100" s="18"/>
      <c r="AB100" s="18"/>
      <c r="AC100" s="18"/>
    </row>
    <row r="101" spans="1:29" ht="15.75" thickBot="1">
      <c r="B101" s="31" t="s">
        <v>45</v>
      </c>
      <c r="C101" s="36">
        <f>C36-C68</f>
        <v>-91175.20000000007</v>
      </c>
      <c r="D101" s="36">
        <f t="shared" ref="D101:E101" si="130">D36-D68</f>
        <v>-185571.17000000004</v>
      </c>
      <c r="E101" s="36">
        <f t="shared" si="130"/>
        <v>-120707.53000000003</v>
      </c>
      <c r="F101" s="36">
        <f t="shared" ref="F101:G101" si="131">F36-F68</f>
        <v>-21301.75</v>
      </c>
      <c r="G101" s="36">
        <f t="shared" si="131"/>
        <v>189767.25</v>
      </c>
      <c r="H101" s="36">
        <f t="shared" ref="H101:I101" si="132">H36-H68</f>
        <v>36078.25</v>
      </c>
      <c r="I101" s="36">
        <f t="shared" si="132"/>
        <v>-64774.75</v>
      </c>
      <c r="J101" s="36">
        <f t="shared" ref="J101:K101" si="133">J36-J68</f>
        <v>170294.25</v>
      </c>
      <c r="K101" s="36">
        <f t="shared" si="133"/>
        <v>110290.25</v>
      </c>
      <c r="L101" s="36">
        <f t="shared" ref="L101:N101" si="134">L36-L68</f>
        <v>436350.25</v>
      </c>
      <c r="M101" s="36">
        <f t="shared" si="134"/>
        <v>436350.25</v>
      </c>
      <c r="N101" s="36">
        <f t="shared" si="134"/>
        <v>436350.25</v>
      </c>
      <c r="O101" s="21">
        <f t="shared" ref="O101" si="135">O99+O89+O79</f>
        <v>1331950.3500000001</v>
      </c>
      <c r="P101" s="18"/>
      <c r="Q101" s="18"/>
      <c r="R101" s="18"/>
      <c r="S101" s="18"/>
      <c r="T101" s="18"/>
      <c r="U101" s="18"/>
      <c r="V101" s="18"/>
      <c r="W101" s="18"/>
      <c r="X101" s="18"/>
      <c r="Y101" s="18"/>
      <c r="Z101" s="18"/>
      <c r="AA101" s="18"/>
      <c r="AB101" s="18"/>
      <c r="AC101" s="18"/>
    </row>
    <row r="102" spans="1:29" ht="15.75" thickTop="1">
      <c r="B102" s="30"/>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row>
    <row r="103" spans="1:29">
      <c r="B103" s="30"/>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row>
    <row r="104" spans="1:29">
      <c r="B104" s="30" t="s">
        <v>59</v>
      </c>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row>
    <row r="105" spans="1:29" ht="27.75" customHeight="1">
      <c r="B105" s="91" t="s">
        <v>68</v>
      </c>
      <c r="C105" s="91"/>
      <c r="D105" s="91"/>
      <c r="E105" s="91"/>
      <c r="F105" s="91"/>
      <c r="G105" s="91"/>
      <c r="H105" s="91"/>
      <c r="I105" s="91"/>
      <c r="J105" s="91"/>
      <c r="K105" s="91"/>
      <c r="L105" s="91"/>
      <c r="M105" s="91"/>
      <c r="N105" s="91"/>
      <c r="O105" s="91"/>
      <c r="P105" s="18"/>
      <c r="Q105" s="18"/>
      <c r="R105" s="18"/>
      <c r="S105" s="18"/>
      <c r="T105" s="18"/>
      <c r="U105" s="18"/>
      <c r="V105" s="18"/>
      <c r="W105" s="18"/>
      <c r="X105" s="18"/>
      <c r="Y105" s="18"/>
      <c r="Z105" s="18"/>
      <c r="AA105" s="18"/>
      <c r="AB105" s="18"/>
      <c r="AC105" s="18"/>
    </row>
    <row r="106" spans="1:29" ht="27.75" customHeight="1">
      <c r="B106" s="91" t="s">
        <v>69</v>
      </c>
      <c r="C106" s="91"/>
      <c r="D106" s="91"/>
      <c r="E106" s="91"/>
      <c r="F106" s="91"/>
      <c r="G106" s="91"/>
      <c r="H106" s="91"/>
      <c r="I106" s="91"/>
      <c r="J106" s="91"/>
      <c r="K106" s="91"/>
      <c r="L106" s="91"/>
      <c r="M106" s="91"/>
      <c r="N106" s="91"/>
      <c r="O106" s="91"/>
      <c r="P106" s="18"/>
      <c r="Q106" s="18"/>
      <c r="R106" s="18"/>
      <c r="S106" s="18"/>
      <c r="T106" s="18"/>
      <c r="U106" s="18"/>
      <c r="V106" s="18"/>
      <c r="W106" s="18"/>
      <c r="X106" s="18"/>
      <c r="Y106" s="18"/>
      <c r="Z106" s="18"/>
      <c r="AA106" s="18"/>
      <c r="AB106" s="18"/>
      <c r="AC106" s="18"/>
    </row>
    <row r="107" spans="1:29">
      <c r="B107" s="1"/>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row>
    <row r="108" spans="1:29">
      <c r="B108" s="59" t="s">
        <v>61</v>
      </c>
      <c r="P108" s="18"/>
      <c r="Q108" s="18"/>
      <c r="R108" s="18"/>
      <c r="S108" s="18"/>
      <c r="T108" s="18"/>
      <c r="U108" s="18"/>
      <c r="V108" s="18"/>
      <c r="W108" s="18"/>
      <c r="X108" s="18"/>
      <c r="Y108" s="18"/>
      <c r="Z108" s="18"/>
      <c r="AA108" s="18"/>
      <c r="AB108" s="18"/>
      <c r="AC108" s="18"/>
    </row>
    <row r="109" spans="1:29" ht="31.5" customHeight="1">
      <c r="B109" s="90" t="s">
        <v>62</v>
      </c>
      <c r="C109" s="90"/>
      <c r="D109" s="90"/>
      <c r="E109" s="90"/>
      <c r="F109" s="90"/>
      <c r="G109" s="90"/>
      <c r="H109" s="90"/>
      <c r="I109" s="90"/>
      <c r="J109" s="90"/>
      <c r="K109" s="90"/>
      <c r="L109" s="90"/>
      <c r="M109" s="90"/>
      <c r="N109" s="90"/>
      <c r="O109" s="90"/>
      <c r="P109" s="18"/>
      <c r="Q109" s="18"/>
      <c r="R109" s="18"/>
      <c r="S109" s="18"/>
      <c r="T109" s="18"/>
      <c r="U109" s="18"/>
      <c r="V109" s="18"/>
      <c r="W109" s="18"/>
      <c r="X109" s="18"/>
      <c r="Y109" s="18"/>
      <c r="Z109" s="18"/>
      <c r="AA109" s="18"/>
      <c r="AB109" s="18"/>
      <c r="AC109" s="18"/>
    </row>
    <row r="110" spans="1:29" ht="30.75" customHeight="1">
      <c r="B110" s="90" t="s">
        <v>63</v>
      </c>
      <c r="C110" s="90"/>
      <c r="D110" s="90"/>
      <c r="E110" s="90"/>
      <c r="F110" s="90"/>
      <c r="G110" s="90"/>
      <c r="H110" s="90"/>
      <c r="I110" s="90"/>
      <c r="J110" s="90"/>
      <c r="K110" s="90"/>
      <c r="L110" s="90"/>
      <c r="M110" s="90"/>
      <c r="N110" s="90"/>
      <c r="O110" s="90"/>
      <c r="P110" s="18"/>
      <c r="Q110" s="18"/>
      <c r="R110" s="18"/>
      <c r="S110" s="18"/>
      <c r="T110" s="18"/>
      <c r="U110" s="18"/>
      <c r="V110" s="18"/>
      <c r="W110" s="18"/>
      <c r="X110" s="18"/>
      <c r="Y110" s="18"/>
      <c r="Z110" s="18"/>
      <c r="AA110" s="18"/>
      <c r="AB110" s="18"/>
      <c r="AC110" s="18"/>
    </row>
    <row r="111" spans="1:29" ht="30" customHeight="1">
      <c r="B111" s="90" t="s">
        <v>66</v>
      </c>
      <c r="C111" s="90"/>
      <c r="D111" s="90"/>
      <c r="E111" s="90"/>
      <c r="F111" s="90"/>
      <c r="G111" s="90"/>
      <c r="H111" s="90"/>
      <c r="I111" s="90"/>
      <c r="J111" s="90"/>
      <c r="K111" s="90"/>
      <c r="L111" s="90"/>
      <c r="M111" s="90"/>
      <c r="N111" s="90"/>
      <c r="O111" s="90"/>
    </row>
    <row r="112" spans="1:29" ht="30.75" customHeight="1">
      <c r="B112" s="90" t="s">
        <v>129</v>
      </c>
      <c r="C112" s="90"/>
      <c r="D112" s="90"/>
      <c r="E112" s="90"/>
      <c r="F112" s="90"/>
      <c r="G112" s="90"/>
      <c r="H112" s="90"/>
      <c r="I112" s="90"/>
      <c r="J112" s="90"/>
      <c r="K112" s="90"/>
      <c r="L112" s="90"/>
      <c r="M112" s="90"/>
      <c r="N112" s="90"/>
      <c r="O112" s="90"/>
    </row>
    <row r="113" spans="2:15">
      <c r="B113" s="90" t="s">
        <v>141</v>
      </c>
      <c r="C113" s="90"/>
      <c r="D113" s="90"/>
      <c r="E113" s="90"/>
      <c r="F113" s="90"/>
      <c r="G113" s="90"/>
      <c r="H113" s="90"/>
      <c r="I113" s="90"/>
      <c r="J113" s="90"/>
      <c r="K113" s="90"/>
      <c r="L113" s="90"/>
      <c r="M113" s="90"/>
      <c r="N113" s="90"/>
      <c r="O113" s="90"/>
    </row>
    <row r="114" spans="2:15">
      <c r="B114" s="90" t="s">
        <v>147</v>
      </c>
      <c r="C114" s="90"/>
      <c r="D114" s="90"/>
      <c r="E114" s="90"/>
      <c r="F114" s="90"/>
      <c r="G114" s="90"/>
      <c r="H114" s="90"/>
      <c r="I114" s="90"/>
      <c r="J114" s="90"/>
      <c r="K114" s="90"/>
      <c r="L114" s="90"/>
      <c r="M114" s="90"/>
      <c r="N114" s="90"/>
      <c r="O114" s="90"/>
    </row>
    <row r="115" spans="2:15">
      <c r="B115" s="90" t="s">
        <v>156</v>
      </c>
      <c r="C115" s="90"/>
      <c r="D115" s="90"/>
      <c r="E115" s="90"/>
      <c r="F115" s="90"/>
      <c r="G115" s="90"/>
      <c r="H115" s="90"/>
      <c r="I115" s="90"/>
      <c r="J115" s="90"/>
      <c r="K115" s="90"/>
      <c r="L115" s="90"/>
      <c r="M115" s="90"/>
      <c r="N115" s="90"/>
      <c r="O115" s="90"/>
    </row>
    <row r="116" spans="2:15">
      <c r="B116" s="90" t="s">
        <v>165</v>
      </c>
      <c r="C116" s="90"/>
      <c r="D116" s="90"/>
      <c r="E116" s="90"/>
      <c r="F116" s="90"/>
      <c r="G116" s="90"/>
      <c r="H116" s="90"/>
      <c r="I116" s="90"/>
      <c r="J116" s="90"/>
      <c r="K116" s="90"/>
      <c r="L116" s="90"/>
      <c r="M116" s="90"/>
      <c r="N116" s="90"/>
      <c r="O116" s="90"/>
    </row>
    <row r="117" spans="2:15">
      <c r="B117" s="90" t="s">
        <v>178</v>
      </c>
      <c r="C117" s="90"/>
      <c r="D117" s="90"/>
      <c r="E117" s="90"/>
      <c r="F117" s="90"/>
      <c r="G117" s="90"/>
      <c r="H117" s="90"/>
      <c r="I117" s="90"/>
      <c r="J117" s="90"/>
      <c r="K117" s="90"/>
      <c r="L117" s="90"/>
      <c r="M117" s="90"/>
      <c r="N117" s="90"/>
      <c r="O117" s="90"/>
    </row>
  </sheetData>
  <mergeCells count="11">
    <mergeCell ref="B117:O117"/>
    <mergeCell ref="B105:O105"/>
    <mergeCell ref="B109:O109"/>
    <mergeCell ref="B110:O110"/>
    <mergeCell ref="B111:O111"/>
    <mergeCell ref="B106:O106"/>
    <mergeCell ref="B116:O116"/>
    <mergeCell ref="B115:O115"/>
    <mergeCell ref="B114:O114"/>
    <mergeCell ref="B113:O113"/>
    <mergeCell ref="B112:O112"/>
  </mergeCells>
  <pageMargins left="0" right="0" top="0.75" bottom="0.75" header="0.3" footer="0.3"/>
  <pageSetup scale="75" orientation="landscape" r:id="rId1"/>
</worksheet>
</file>

<file path=xl/worksheets/sheet8.xml><?xml version="1.0" encoding="utf-8"?>
<worksheet xmlns="http://schemas.openxmlformats.org/spreadsheetml/2006/main" xmlns:r="http://schemas.openxmlformats.org/officeDocument/2006/relationships">
  <dimension ref="A2:B14"/>
  <sheetViews>
    <sheetView workbookViewId="0">
      <selection activeCell="B11" sqref="B11"/>
    </sheetView>
  </sheetViews>
  <sheetFormatPr defaultRowHeight="15"/>
  <cols>
    <col min="1" max="1" width="51.5703125" bestFit="1" customWidth="1"/>
    <col min="2" max="2" width="14.28515625" bestFit="1" customWidth="1"/>
  </cols>
  <sheetData>
    <row r="2" spans="1:2">
      <c r="A2" s="79" t="s">
        <v>169</v>
      </c>
      <c r="B2" s="1">
        <f>'ID-Sch91 Rider Balance'!J17</f>
        <v>915532.59426851559</v>
      </c>
    </row>
    <row r="3" spans="1:2">
      <c r="A3" s="79"/>
    </row>
    <row r="4" spans="1:2">
      <c r="A4" s="79" t="s">
        <v>170</v>
      </c>
      <c r="B4" s="1">
        <v>2607000</v>
      </c>
    </row>
    <row r="5" spans="1:2">
      <c r="A5" s="79" t="s">
        <v>171</v>
      </c>
      <c r="B5" s="87">
        <f>SUM('ID-Sch91 Rider Balance'!K11:N11)</f>
        <v>1858259</v>
      </c>
    </row>
    <row r="6" spans="1:2">
      <c r="A6" s="79"/>
      <c r="B6" s="1">
        <f>B5-B4</f>
        <v>-748741</v>
      </c>
    </row>
    <row r="8" spans="1:2">
      <c r="A8" s="79" t="s">
        <v>172</v>
      </c>
      <c r="B8" s="3">
        <f>B2+B6</f>
        <v>166791.59426851559</v>
      </c>
    </row>
    <row r="10" spans="1:2">
      <c r="A10" s="79" t="s">
        <v>173</v>
      </c>
      <c r="B10" s="1">
        <v>7706000</v>
      </c>
    </row>
    <row r="11" spans="1:2">
      <c r="A11" t="s">
        <v>174</v>
      </c>
      <c r="B11" s="88"/>
    </row>
    <row r="12" spans="1:2">
      <c r="B12" s="3">
        <f>B11-B10</f>
        <v>-7706000</v>
      </c>
    </row>
    <row r="14" spans="1:2">
      <c r="A14" t="s">
        <v>175</v>
      </c>
      <c r="B14" s="3">
        <f>B8+B12</f>
        <v>-7539208.4057314843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sheetPr>
    <tabColor theme="4" tint="0.39997558519241921"/>
  </sheetPr>
  <dimension ref="A2:S30"/>
  <sheetViews>
    <sheetView workbookViewId="0">
      <selection activeCell="C5" sqref="C5:S19"/>
    </sheetView>
  </sheetViews>
  <sheetFormatPr defaultRowHeight="15"/>
  <cols>
    <col min="1" max="1" width="3.42578125" bestFit="1" customWidth="1"/>
    <col min="2" max="2" width="34.85546875" customWidth="1"/>
    <col min="3" max="12" width="10.5703125" bestFit="1" customWidth="1"/>
    <col min="13" max="15" width="11.28515625" bestFit="1" customWidth="1"/>
    <col min="16" max="16" width="11.5703125" bestFit="1" customWidth="1"/>
    <col min="17" max="19" width="11.28515625" bestFit="1" customWidth="1"/>
  </cols>
  <sheetData>
    <row r="2" spans="1:19">
      <c r="B2" s="37" t="s">
        <v>27</v>
      </c>
    </row>
    <row r="3" spans="1:19">
      <c r="C3" s="25">
        <v>2010</v>
      </c>
      <c r="D3" s="25">
        <v>2010</v>
      </c>
      <c r="E3" s="25">
        <v>2010</v>
      </c>
      <c r="F3" s="25">
        <v>2010</v>
      </c>
      <c r="G3" s="25">
        <v>2010</v>
      </c>
      <c r="H3" s="25">
        <v>2010</v>
      </c>
      <c r="I3" s="25">
        <v>2010</v>
      </c>
      <c r="J3" s="25">
        <v>2010</v>
      </c>
      <c r="K3" s="25">
        <v>2010</v>
      </c>
      <c r="L3" s="25">
        <v>2010</v>
      </c>
      <c r="M3" s="25">
        <v>2010</v>
      </c>
      <c r="N3" s="25">
        <v>2010</v>
      </c>
      <c r="O3" s="40" t="s">
        <v>31</v>
      </c>
      <c r="P3" s="40">
        <v>2010</v>
      </c>
      <c r="Q3" s="40">
        <v>2010</v>
      </c>
      <c r="R3" s="40">
        <v>2010</v>
      </c>
      <c r="S3" s="40">
        <v>2010</v>
      </c>
    </row>
    <row r="4" spans="1:19">
      <c r="C4" s="25" t="s">
        <v>0</v>
      </c>
      <c r="D4" s="25" t="s">
        <v>1</v>
      </c>
      <c r="E4" s="25" t="s">
        <v>2</v>
      </c>
      <c r="F4" s="25" t="s">
        <v>3</v>
      </c>
      <c r="G4" s="25" t="s">
        <v>4</v>
      </c>
      <c r="H4" s="25" t="s">
        <v>5</v>
      </c>
      <c r="I4" s="25" t="s">
        <v>6</v>
      </c>
      <c r="J4" s="25" t="s">
        <v>7</v>
      </c>
      <c r="K4" s="25" t="s">
        <v>8</v>
      </c>
      <c r="L4" s="25" t="s">
        <v>9</v>
      </c>
      <c r="M4" s="25" t="s">
        <v>10</v>
      </c>
      <c r="N4" s="25" t="s">
        <v>11</v>
      </c>
      <c r="O4" s="40"/>
      <c r="P4" s="40" t="s">
        <v>70</v>
      </c>
      <c r="Q4" s="40" t="s">
        <v>71</v>
      </c>
      <c r="R4" s="40" t="s">
        <v>72</v>
      </c>
      <c r="S4" s="40" t="s">
        <v>73</v>
      </c>
    </row>
    <row r="5" spans="1:19">
      <c r="A5" t="s">
        <v>22</v>
      </c>
      <c r="B5" t="s">
        <v>13</v>
      </c>
      <c r="C5" s="1">
        <v>2369036</v>
      </c>
      <c r="D5" s="1">
        <v>2417282.7042496516</v>
      </c>
      <c r="E5" s="1">
        <v>2008878.0759582312</v>
      </c>
      <c r="F5" s="1">
        <v>1899184.6391990476</v>
      </c>
      <c r="G5" s="1">
        <v>1546950.2058988889</v>
      </c>
      <c r="H5" s="1">
        <v>1380554.5555852479</v>
      </c>
      <c r="I5" s="1">
        <v>1261713.3583502132</v>
      </c>
      <c r="J5" s="1">
        <v>1126002.1138560926</v>
      </c>
      <c r="K5" s="1">
        <v>915532.59426851559</v>
      </c>
      <c r="L5" s="1">
        <v>695193.95695712604</v>
      </c>
      <c r="M5" s="1">
        <v>695193.95695712604</v>
      </c>
      <c r="N5" s="1">
        <v>695193.95695712604</v>
      </c>
      <c r="O5" s="38"/>
      <c r="P5" s="42">
        <v>2369036</v>
      </c>
      <c r="Q5" s="45">
        <v>1899184.6391990478</v>
      </c>
      <c r="R5" s="45">
        <v>1261713.3583502136</v>
      </c>
      <c r="S5" s="45">
        <v>695193.9569571265</v>
      </c>
    </row>
    <row r="6" spans="1:19">
      <c r="C6" s="1"/>
      <c r="D6" s="1"/>
      <c r="E6" s="1"/>
      <c r="F6" s="1"/>
      <c r="G6" s="1"/>
      <c r="H6" s="1"/>
      <c r="I6" s="1"/>
      <c r="J6" s="1"/>
      <c r="K6" s="1"/>
      <c r="L6" s="1"/>
      <c r="M6" s="1"/>
      <c r="N6" s="1"/>
      <c r="O6" s="38"/>
      <c r="P6" s="38"/>
      <c r="Q6" s="38"/>
      <c r="R6" s="38"/>
      <c r="S6" s="38"/>
    </row>
    <row r="7" spans="1:19">
      <c r="B7" t="s">
        <v>14</v>
      </c>
      <c r="C7" s="2">
        <v>762517.58312813356</v>
      </c>
      <c r="D7" s="2">
        <v>674515.55651750427</v>
      </c>
      <c r="E7" s="2">
        <v>666481.51311140764</v>
      </c>
      <c r="F7" s="2">
        <v>579081.23508125055</v>
      </c>
      <c r="G7" s="2">
        <v>572813.44250258419</v>
      </c>
      <c r="H7" s="2">
        <v>574689.38997737388</v>
      </c>
      <c r="I7" s="2">
        <v>610752.61206215969</v>
      </c>
      <c r="J7" s="2">
        <v>612737.13680048392</v>
      </c>
      <c r="K7" s="2">
        <v>571980.18213039427</v>
      </c>
      <c r="L7" s="2">
        <v>622702.35335211549</v>
      </c>
      <c r="M7" s="2">
        <v>672378.20568990125</v>
      </c>
      <c r="N7" s="2">
        <v>738830.05628822499</v>
      </c>
      <c r="O7" s="45">
        <v>7659479.2666415349</v>
      </c>
      <c r="P7" s="45">
        <v>2103514.6527570458</v>
      </c>
      <c r="Q7" s="45">
        <v>1726584.0675612085</v>
      </c>
      <c r="R7" s="45">
        <v>1795469.930993038</v>
      </c>
      <c r="S7" s="45">
        <v>2033910.6153302416</v>
      </c>
    </row>
    <row r="8" spans="1:19">
      <c r="A8" t="s">
        <v>21</v>
      </c>
      <c r="B8" t="s">
        <v>15</v>
      </c>
      <c r="C8" s="1">
        <v>762818.20575034816</v>
      </c>
      <c r="D8" s="1">
        <v>679100.83829142037</v>
      </c>
      <c r="E8" s="1">
        <v>619689.10675918369</v>
      </c>
      <c r="F8" s="1">
        <v>623154.43330015859</v>
      </c>
      <c r="G8" s="1">
        <v>601224.65031364083</v>
      </c>
      <c r="H8" s="1">
        <v>557359.19723503478</v>
      </c>
      <c r="I8" s="1">
        <v>568063.24449412059</v>
      </c>
      <c r="J8" s="1">
        <v>610837.51958757697</v>
      </c>
      <c r="K8" s="1">
        <v>588924.63731138955</v>
      </c>
      <c r="L8" s="1">
        <v>0</v>
      </c>
      <c r="M8" s="1">
        <v>0</v>
      </c>
      <c r="N8" s="1">
        <v>0</v>
      </c>
      <c r="O8" s="45">
        <v>5611171.833042874</v>
      </c>
      <c r="P8" s="45">
        <v>2061608.1508009522</v>
      </c>
      <c r="Q8" s="45">
        <v>1781738.2808488342</v>
      </c>
      <c r="R8" s="45">
        <v>1767825.4013930871</v>
      </c>
      <c r="S8" s="45">
        <v>0</v>
      </c>
    </row>
    <row r="9" spans="1:19">
      <c r="B9" t="s">
        <v>16</v>
      </c>
      <c r="C9" s="22">
        <v>300.62262221460696</v>
      </c>
      <c r="D9" s="22">
        <v>4585.2817739160964</v>
      </c>
      <c r="E9" s="22">
        <v>-46792.406352223945</v>
      </c>
      <c r="F9" s="22">
        <v>44073.198218908045</v>
      </c>
      <c r="G9" s="22">
        <v>28411.207811056636</v>
      </c>
      <c r="H9" s="22">
        <v>-17330.192742339103</v>
      </c>
      <c r="I9" s="22">
        <v>-42689.367568039102</v>
      </c>
      <c r="J9" s="22">
        <v>-1899.6172129069455</v>
      </c>
      <c r="K9" s="22">
        <v>16944.455180995283</v>
      </c>
      <c r="L9" s="22">
        <v>-622702.35335211549</v>
      </c>
      <c r="M9" s="22">
        <v>-672378.20568990125</v>
      </c>
      <c r="N9" s="22">
        <v>-738830.05628822499</v>
      </c>
      <c r="O9" s="46">
        <v>-2048307.4335986604</v>
      </c>
      <c r="P9" s="46">
        <v>-41906.501956093591</v>
      </c>
      <c r="Q9" s="46">
        <v>55154.213287625695</v>
      </c>
      <c r="R9" s="46">
        <v>-27644.529599950882</v>
      </c>
      <c r="S9" s="46">
        <v>-2033910.6153302416</v>
      </c>
    </row>
    <row r="10" spans="1:19">
      <c r="C10" s="1"/>
      <c r="D10" s="1"/>
      <c r="E10" s="1"/>
      <c r="F10" s="1"/>
      <c r="G10" s="1"/>
      <c r="H10" s="1"/>
      <c r="I10" s="1"/>
      <c r="J10" s="1"/>
      <c r="K10" s="1"/>
      <c r="L10" s="1"/>
      <c r="M10" s="1"/>
      <c r="N10" s="1"/>
      <c r="O10" s="38"/>
      <c r="P10" s="38"/>
      <c r="Q10" s="38"/>
      <c r="R10" s="38"/>
      <c r="S10" s="38"/>
    </row>
    <row r="11" spans="1:19">
      <c r="B11" t="s">
        <v>18</v>
      </c>
      <c r="C11" s="1">
        <v>464564.75</v>
      </c>
      <c r="D11" s="1">
        <v>464564.75</v>
      </c>
      <c r="E11" s="1">
        <v>464564.75</v>
      </c>
      <c r="F11" s="1">
        <v>464564.75</v>
      </c>
      <c r="G11" s="1">
        <v>464564.75</v>
      </c>
      <c r="H11" s="1">
        <v>464564.75</v>
      </c>
      <c r="I11" s="1">
        <v>464564.75</v>
      </c>
      <c r="J11" s="1">
        <v>464564.75</v>
      </c>
      <c r="K11" s="1">
        <v>464564.75</v>
      </c>
      <c r="L11" s="1">
        <v>464564.75</v>
      </c>
      <c r="M11" s="1">
        <v>464564.75</v>
      </c>
      <c r="N11" s="1">
        <v>464564.75</v>
      </c>
      <c r="O11" s="45">
        <v>5574777</v>
      </c>
      <c r="P11" s="45">
        <v>1393694.25</v>
      </c>
      <c r="Q11" s="45">
        <v>1393694.25</v>
      </c>
      <c r="R11" s="45">
        <v>1393694.25</v>
      </c>
      <c r="S11" s="45">
        <v>1393694.25</v>
      </c>
    </row>
    <row r="12" spans="1:19">
      <c r="A12" t="s">
        <v>20</v>
      </c>
      <c r="B12" t="s">
        <v>17</v>
      </c>
      <c r="C12" s="1">
        <v>811064.90999999992</v>
      </c>
      <c r="D12" s="1">
        <v>270696.20999999996</v>
      </c>
      <c r="E12" s="1">
        <v>509995.67000000004</v>
      </c>
      <c r="F12" s="1">
        <v>270920</v>
      </c>
      <c r="G12" s="1">
        <v>434829</v>
      </c>
      <c r="H12" s="1">
        <v>438518</v>
      </c>
      <c r="I12" s="1">
        <v>432352</v>
      </c>
      <c r="J12" s="1">
        <v>400368</v>
      </c>
      <c r="K12" s="1">
        <v>368586</v>
      </c>
      <c r="L12" s="1">
        <v>0</v>
      </c>
      <c r="M12" s="1">
        <v>0</v>
      </c>
      <c r="N12" s="1">
        <v>0</v>
      </c>
      <c r="O12" s="45">
        <v>3937329.79</v>
      </c>
      <c r="P12" s="45">
        <v>1591756.79</v>
      </c>
      <c r="Q12" s="45">
        <v>1144267</v>
      </c>
      <c r="R12" s="45">
        <v>1201306</v>
      </c>
      <c r="S12" s="45">
        <v>0</v>
      </c>
    </row>
    <row r="13" spans="1:19">
      <c r="B13" t="s">
        <v>19</v>
      </c>
      <c r="C13" s="23">
        <v>-346500.15999999992</v>
      </c>
      <c r="D13" s="23">
        <v>193868.54000000004</v>
      </c>
      <c r="E13" s="23">
        <v>-45430.920000000042</v>
      </c>
      <c r="F13" s="23">
        <v>193644.75</v>
      </c>
      <c r="G13" s="23">
        <v>29735.75</v>
      </c>
      <c r="H13" s="23">
        <v>26046.75</v>
      </c>
      <c r="I13" s="23">
        <v>32212.75</v>
      </c>
      <c r="J13" s="23">
        <v>64196.75</v>
      </c>
      <c r="K13" s="23">
        <v>95978.75</v>
      </c>
      <c r="L13" s="23">
        <v>464564.75</v>
      </c>
      <c r="M13" s="23">
        <v>464564.75</v>
      </c>
      <c r="N13" s="23">
        <v>464564.75</v>
      </c>
      <c r="O13" s="46">
        <v>1637447.21</v>
      </c>
      <c r="P13" s="47">
        <v>-198062.54000000004</v>
      </c>
      <c r="Q13" s="47">
        <v>249427.25</v>
      </c>
      <c r="R13" s="47">
        <v>192388.25</v>
      </c>
      <c r="S13" s="47">
        <v>1393694.25</v>
      </c>
    </row>
    <row r="14" spans="1:19">
      <c r="C14" s="1"/>
      <c r="D14" s="1"/>
      <c r="E14" s="1"/>
      <c r="F14" s="1"/>
      <c r="G14" s="1"/>
      <c r="H14" s="1"/>
      <c r="I14" s="1"/>
      <c r="J14" s="1"/>
      <c r="K14" s="1"/>
      <c r="L14" s="1"/>
      <c r="M14" s="1"/>
      <c r="N14" s="1"/>
      <c r="O14" s="38"/>
      <c r="P14" s="38"/>
      <c r="Q14" s="38"/>
      <c r="R14" s="38"/>
      <c r="S14" s="38"/>
    </row>
    <row r="15" spans="1:19" ht="30">
      <c r="A15" t="s">
        <v>24</v>
      </c>
      <c r="B15" s="4" t="s">
        <v>23</v>
      </c>
      <c r="C15" s="1">
        <v>-48246.704249651753</v>
      </c>
      <c r="D15" s="1">
        <v>408404.62829142041</v>
      </c>
      <c r="E15" s="1">
        <v>109693.43675918365</v>
      </c>
      <c r="F15" s="1">
        <v>352234.43330015859</v>
      </c>
      <c r="G15" s="1">
        <v>166395.65031364083</v>
      </c>
      <c r="H15" s="1">
        <v>118841.19723503478</v>
      </c>
      <c r="I15" s="1">
        <v>135711.24449412059</v>
      </c>
      <c r="J15" s="1">
        <v>210469.51958757697</v>
      </c>
      <c r="K15" s="1">
        <v>220338.63731138955</v>
      </c>
      <c r="L15" s="1">
        <v>0</v>
      </c>
      <c r="M15" s="1">
        <v>0</v>
      </c>
      <c r="N15" s="1">
        <v>0</v>
      </c>
      <c r="O15" s="43">
        <v>1673842.043042874</v>
      </c>
      <c r="P15" s="43">
        <v>469851.36080095218</v>
      </c>
      <c r="Q15" s="43">
        <v>637471.2808488342</v>
      </c>
      <c r="R15" s="43">
        <v>566519.40139308712</v>
      </c>
      <c r="S15" s="43">
        <v>0</v>
      </c>
    </row>
    <row r="16" spans="1:19">
      <c r="C16" s="1"/>
      <c r="D16" s="1"/>
      <c r="E16" s="1"/>
      <c r="F16" s="1"/>
      <c r="G16" s="1"/>
      <c r="H16" s="1"/>
      <c r="I16" s="1"/>
      <c r="J16" s="1"/>
      <c r="K16" s="1"/>
      <c r="L16" s="1"/>
      <c r="M16" s="1"/>
      <c r="N16" s="1"/>
      <c r="O16" s="38"/>
      <c r="P16" s="38"/>
      <c r="Q16" s="38"/>
      <c r="R16" s="38"/>
      <c r="S16" s="38"/>
    </row>
    <row r="17" spans="2:19" ht="15.75" thickBot="1">
      <c r="B17" t="s">
        <v>25</v>
      </c>
      <c r="C17" s="57">
        <v>2417282.7042496516</v>
      </c>
      <c r="D17" s="57">
        <v>2008878.0759582312</v>
      </c>
      <c r="E17" s="57">
        <v>1899184.6391990476</v>
      </c>
      <c r="F17" s="57">
        <v>1546950.2058988889</v>
      </c>
      <c r="G17" s="57">
        <v>1380554.5555852479</v>
      </c>
      <c r="H17" s="57">
        <v>1261713.3583502132</v>
      </c>
      <c r="I17" s="57">
        <v>1126002.1138560926</v>
      </c>
      <c r="J17" s="57">
        <v>915532.59426851559</v>
      </c>
      <c r="K17" s="57">
        <v>695193.95695712604</v>
      </c>
      <c r="L17" s="57">
        <v>695193.95695712604</v>
      </c>
      <c r="M17" s="57">
        <v>695193.95695712604</v>
      </c>
      <c r="N17" s="57">
        <v>695193.95695712604</v>
      </c>
      <c r="O17" s="45"/>
      <c r="P17" s="45">
        <v>1899184.6391990478</v>
      </c>
      <c r="Q17" s="45">
        <v>1261713.3583502136</v>
      </c>
      <c r="R17" s="45">
        <v>695193.9569571265</v>
      </c>
      <c r="S17" s="45">
        <v>695193.9569571265</v>
      </c>
    </row>
    <row r="18" spans="2:19" ht="15.75" thickTop="1">
      <c r="O18" s="38"/>
      <c r="P18" s="38"/>
      <c r="Q18" s="38"/>
      <c r="R18" s="38"/>
      <c r="S18" s="38"/>
    </row>
    <row r="19" spans="2:19">
      <c r="B19" t="s">
        <v>30</v>
      </c>
      <c r="E19" s="3"/>
      <c r="F19" s="3"/>
      <c r="G19" s="3"/>
      <c r="H19" s="3"/>
      <c r="I19" s="3"/>
      <c r="J19" s="3"/>
      <c r="K19" s="3"/>
      <c r="L19" s="3">
        <v>-158137.60335211549</v>
      </c>
      <c r="M19" s="3">
        <v>-365951.05904201674</v>
      </c>
      <c r="N19" s="3">
        <v>-640216.36533024162</v>
      </c>
      <c r="O19" s="38"/>
      <c r="P19" s="45"/>
      <c r="Q19" s="38"/>
      <c r="R19" s="38"/>
      <c r="S19" s="38"/>
    </row>
    <row r="21" spans="2:19">
      <c r="B21" s="49" t="s">
        <v>26</v>
      </c>
    </row>
    <row r="22" spans="2:19">
      <c r="B22" s="92" t="s">
        <v>81</v>
      </c>
      <c r="C22" s="92"/>
      <c r="D22" s="92"/>
      <c r="E22" s="92"/>
      <c r="F22" s="92"/>
      <c r="G22" s="92"/>
      <c r="H22" s="92"/>
      <c r="I22" s="92"/>
      <c r="J22" s="92"/>
      <c r="K22" s="92"/>
      <c r="L22" s="92"/>
      <c r="M22" s="92"/>
      <c r="N22" s="92"/>
      <c r="O22" s="92"/>
    </row>
    <row r="23" spans="2:19" ht="30.75" customHeight="1">
      <c r="B23" s="90" t="s">
        <v>82</v>
      </c>
      <c r="C23" s="90"/>
      <c r="D23" s="90"/>
      <c r="E23" s="90"/>
      <c r="F23" s="90"/>
      <c r="G23" s="90"/>
      <c r="H23" s="90"/>
      <c r="I23" s="90"/>
      <c r="J23" s="90"/>
      <c r="K23" s="90"/>
      <c r="L23" s="90"/>
      <c r="M23" s="90"/>
      <c r="N23" s="90"/>
      <c r="O23" s="90"/>
    </row>
    <row r="24" spans="2:19" ht="18" customHeight="1">
      <c r="B24" s="77" t="s">
        <v>127</v>
      </c>
      <c r="C24" s="77"/>
      <c r="D24" s="77"/>
      <c r="E24" s="77"/>
      <c r="F24" s="77"/>
      <c r="G24" s="77"/>
      <c r="H24" s="77"/>
      <c r="I24" s="77"/>
      <c r="J24" s="77"/>
      <c r="K24" s="77"/>
      <c r="L24" s="77"/>
      <c r="M24" s="77"/>
      <c r="N24" s="77"/>
      <c r="O24" s="79"/>
    </row>
    <row r="25" spans="2:19">
      <c r="B25" s="77" t="s">
        <v>135</v>
      </c>
      <c r="C25" s="77"/>
      <c r="D25" s="77"/>
      <c r="E25" s="77"/>
      <c r="F25" s="77"/>
      <c r="G25" s="77"/>
      <c r="H25" s="77"/>
      <c r="I25" s="77"/>
      <c r="J25" s="77"/>
      <c r="K25" s="77"/>
      <c r="L25" s="77"/>
      <c r="M25" s="77"/>
      <c r="N25" s="77"/>
    </row>
    <row r="26" spans="2:19">
      <c r="B26" s="81" t="s">
        <v>149</v>
      </c>
      <c r="C26" s="80"/>
      <c r="D26" s="80"/>
      <c r="E26" s="80"/>
      <c r="F26" s="80"/>
      <c r="G26" s="80"/>
      <c r="H26" s="80"/>
      <c r="I26" s="80"/>
      <c r="J26" s="80"/>
      <c r="K26" s="80"/>
      <c r="L26" s="80"/>
      <c r="M26" s="80"/>
      <c r="N26" s="80"/>
    </row>
    <row r="27" spans="2:19">
      <c r="B27" s="81" t="s">
        <v>148</v>
      </c>
      <c r="C27" s="81"/>
      <c r="D27" s="81"/>
      <c r="E27" s="81"/>
      <c r="F27" s="81"/>
      <c r="G27" s="81"/>
      <c r="H27" s="81"/>
      <c r="I27" s="81"/>
      <c r="J27" s="81"/>
      <c r="K27" s="81"/>
      <c r="L27" s="81"/>
      <c r="M27" s="81"/>
      <c r="N27" s="81"/>
    </row>
    <row r="28" spans="2:19">
      <c r="B28" s="86" t="s">
        <v>159</v>
      </c>
      <c r="C28" s="86"/>
      <c r="D28" s="86"/>
      <c r="E28" s="86"/>
      <c r="F28" s="86"/>
      <c r="G28" s="86"/>
      <c r="H28" s="86"/>
      <c r="I28" s="86"/>
      <c r="J28" s="86"/>
      <c r="K28" s="86"/>
      <c r="L28" s="86"/>
      <c r="M28" s="86"/>
      <c r="N28" s="86"/>
    </row>
    <row r="29" spans="2:19">
      <c r="B29" s="92" t="s">
        <v>168</v>
      </c>
      <c r="C29" s="92"/>
      <c r="D29" s="92"/>
      <c r="E29" s="92"/>
      <c r="F29" s="92"/>
      <c r="G29" s="92"/>
      <c r="H29" s="92"/>
      <c r="I29" s="92"/>
      <c r="J29" s="92"/>
      <c r="K29" s="92"/>
      <c r="L29" s="92"/>
      <c r="M29" s="92"/>
      <c r="N29" s="92"/>
      <c r="O29" s="92"/>
    </row>
    <row r="30" spans="2:19">
      <c r="B30" s="92" t="s">
        <v>181</v>
      </c>
      <c r="C30" s="92"/>
      <c r="D30" s="92"/>
      <c r="E30" s="92"/>
      <c r="F30" s="92"/>
      <c r="G30" s="92"/>
      <c r="H30" s="92"/>
      <c r="I30" s="92"/>
      <c r="J30" s="92"/>
      <c r="K30" s="92"/>
      <c r="L30" s="92"/>
      <c r="M30" s="92"/>
      <c r="N30" s="92"/>
      <c r="O30" s="92"/>
    </row>
  </sheetData>
  <mergeCells count="4">
    <mergeCell ref="B22:O22"/>
    <mergeCell ref="B23:O23"/>
    <mergeCell ref="B29:O29"/>
    <mergeCell ref="B30:O30"/>
  </mergeCells>
  <pageMargins left="0" right="0" top="0.75" bottom="0.75" header="0.3" footer="0.3"/>
  <pageSetup scale="7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2010-01-29T08:00:00+00:00</OpenedDate>
    <Date1 xmlns="dc463f71-b30c-4ab2-9473-d307f9d35888">2010-10-14T07:00:00+00:00</Date1>
    <IsDocumentOrder xmlns="dc463f71-b30c-4ab2-9473-d307f9d35888" xsi:nil="true"/>
    <IsHighlyConfidential xmlns="dc463f71-b30c-4ab2-9473-d307f9d35888">false</IsHighlyConfidential>
    <CaseCompanyNames xmlns="dc463f71-b30c-4ab2-9473-d307f9d35888">Avista Corporation</CaseCompanyNames>
    <DocketNumber xmlns="dc463f71-b30c-4ab2-9473-d307f9d35888">100176</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B8B777AB53222F48ABE74CFDB1F2A548" ma:contentTypeVersion="131" ma:contentTypeDescription="" ma:contentTypeScope="" ma:versionID="d6bd52c79baaa7ba80cbe1a3fc250d6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FCEFCE-4894-4DD5-9BCA-A043DA1D079D}"/>
</file>

<file path=customXml/itemProps2.xml><?xml version="1.0" encoding="utf-8"?>
<ds:datastoreItem xmlns:ds="http://schemas.openxmlformats.org/officeDocument/2006/customXml" ds:itemID="{5480EAB0-CDBD-4D82-AA63-BA21B378C340}"/>
</file>

<file path=customXml/itemProps3.xml><?xml version="1.0" encoding="utf-8"?>
<ds:datastoreItem xmlns:ds="http://schemas.openxmlformats.org/officeDocument/2006/customXml" ds:itemID="{9FCB653F-4CF2-4270-9030-3552E3456F11}"/>
</file>

<file path=customXml/itemProps4.xml><?xml version="1.0" encoding="utf-8"?>
<ds:datastoreItem xmlns:ds="http://schemas.openxmlformats.org/officeDocument/2006/customXml" ds:itemID="{9E3E3366-A669-4C7A-98FD-0C72F361B88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9</vt:i4>
      </vt:variant>
    </vt:vector>
  </HeadingPairs>
  <TitlesOfParts>
    <vt:vector size="22" baseType="lpstr">
      <vt:lpstr>WAID Act vs Budget savings</vt:lpstr>
      <vt:lpstr>WA-Sch91 Bal Projection</vt:lpstr>
      <vt:lpstr>WA-Sch91 Rider Balance</vt:lpstr>
      <vt:lpstr>WA-Sch91 Budget-Act Exp</vt:lpstr>
      <vt:lpstr>WA-Sch191 Bal Projection </vt:lpstr>
      <vt:lpstr>WA-Sch191 Rider Balance</vt:lpstr>
      <vt:lpstr>WA-Sch191 Budget-Act Exp </vt:lpstr>
      <vt:lpstr>ID-Sch91 Bal Projection </vt:lpstr>
      <vt:lpstr>ID-Sch91 Rider Balance</vt:lpstr>
      <vt:lpstr>ID-Sch91 Budget-Act Exp</vt:lpstr>
      <vt:lpstr>ID-Sch191 Bal Projection</vt:lpstr>
      <vt:lpstr>ID-Sch191 Rider Balance</vt:lpstr>
      <vt:lpstr>ID-Sch191 Budget-Act Exp</vt:lpstr>
      <vt:lpstr>'ID-Sch91 Budget-Act Exp'!DSMFlag</vt:lpstr>
      <vt:lpstr>'WA-Sch191 Budget-Act Exp '!DSMFlag</vt:lpstr>
      <vt:lpstr>'WA-Sch91 Budget-Act Exp'!DSMFlag</vt:lpstr>
      <vt:lpstr>'WA-Sch91 Rider Balance'!DSMFlag</vt:lpstr>
      <vt:lpstr>'WA-Sch91 Budget-Act Exp'!Print_Area</vt:lpstr>
      <vt:lpstr>'ID-Sch191 Rider Balance'!Print_Titles</vt:lpstr>
      <vt:lpstr>'ID-Sch91 Rider Balance'!Print_Titles</vt:lpstr>
      <vt:lpstr>'WA-Sch191 Rider Balance'!Print_Titles</vt:lpstr>
      <vt:lpstr>'WA-Sch91 Rider Balance'!Print_Titles</vt:lpstr>
    </vt:vector>
  </TitlesOfParts>
  <Company>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Lori</dc:creator>
  <cp:lastModifiedBy>Linda Gervais</cp:lastModifiedBy>
  <cp:lastPrinted>2010-05-12T22:10:00Z</cp:lastPrinted>
  <dcterms:created xsi:type="dcterms:W3CDTF">2010-03-25T21:27:14Z</dcterms:created>
  <dcterms:modified xsi:type="dcterms:W3CDTF">2010-10-14T22:02:41Z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0x0101006E56B4D1795A2E4DB2F0B01679ED314A00B8B777AB53222F48ABE74CFDB1F2A548</vt:lpwstr>
  </property>
  <property fmtid="{D5CDD505-2E9C-101B-9397-08002B2CF9AE}" pid="4" name="_docset_NoMedatataSyncRequired">
    <vt:lpwstr>False</vt:lpwstr>
  </property>
</Properties>
</file>