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690" windowHeight="7290" tabRatio="731" firstSheet="1" activeTab="3"/>
  </bookViews>
  <sheets>
    <sheet name="Index" sheetId="1" r:id="rId1"/>
    <sheet name="WGJ-2" sheetId="2" r:id="rId2"/>
    <sheet name="WGJ-4" sheetId="3" r:id="rId3"/>
    <sheet name="WGJ-5" sheetId="4" r:id="rId4"/>
    <sheet name="Aurora" sheetId="5" r:id="rId5"/>
  </sheets>
  <definedNames>
    <definedName name="_xlnm.Print_Area" localSheetId="0">'Index'!$A$21:$O$66</definedName>
    <definedName name="_xlnm.Print_Area" localSheetId="1">'WGJ-2'!$A$1:$F$121</definedName>
    <definedName name="_xlnm.Print_Area" localSheetId="2">'WGJ-4'!$A$1:$O$57</definedName>
    <definedName name="_xlnm.Print_Titles" localSheetId="1">'WGJ-2'!$1:$6</definedName>
  </definedNames>
  <calcPr fullCalcOnLoad="1"/>
</workbook>
</file>

<file path=xl/sharedStrings.xml><?xml version="1.0" encoding="utf-8"?>
<sst xmlns="http://schemas.openxmlformats.org/spreadsheetml/2006/main" count="302" uniqueCount="255">
  <si>
    <t>Line</t>
  </si>
  <si>
    <t>No.</t>
  </si>
  <si>
    <t>Actuals</t>
  </si>
  <si>
    <t>Adjustment</t>
  </si>
  <si>
    <t>555 PURCHASED POWER</t>
  </si>
  <si>
    <t>Rocky Reach</t>
  </si>
  <si>
    <t>Wanapum</t>
  </si>
  <si>
    <t>WNP-3</t>
  </si>
  <si>
    <t>Deer Lake-IP&amp;L</t>
  </si>
  <si>
    <t>Spokane-Upriver</t>
  </si>
  <si>
    <t>Total Account 555</t>
  </si>
  <si>
    <t xml:space="preserve"> </t>
  </si>
  <si>
    <t>565 TRANSMISSION OF ELECTRICITY BY OTHERS</t>
  </si>
  <si>
    <t>Garrison-Burke</t>
  </si>
  <si>
    <t>Total Account 565</t>
  </si>
  <si>
    <t>Broker Commission Fees</t>
  </si>
  <si>
    <t>Total Account 557</t>
  </si>
  <si>
    <t>536 WATER FOR POWER</t>
  </si>
  <si>
    <t>TOTAL EXPENSE</t>
  </si>
  <si>
    <t>447 SALES FOR RESALE</t>
  </si>
  <si>
    <t>Total Account 447</t>
  </si>
  <si>
    <t>456 OTHER ELECTRIC REVENUE</t>
  </si>
  <si>
    <t>Total Account 456</t>
  </si>
  <si>
    <t>TOTAL REVENUE</t>
  </si>
  <si>
    <t>Kettle Falls</t>
  </si>
  <si>
    <t>Total Account 501</t>
  </si>
  <si>
    <t>Colstrip</t>
  </si>
  <si>
    <t>BPA Townsend-Garrison Wheeling</t>
  </si>
  <si>
    <t>Upstream Storage Revenue</t>
  </si>
  <si>
    <t>Black Creek Wheeling</t>
  </si>
  <si>
    <t>557 OTHER EXPENSES</t>
  </si>
  <si>
    <t>453 SALES OF WATER AND WATER POWER</t>
  </si>
  <si>
    <t>Black Creek Index Purchase</t>
  </si>
  <si>
    <t>PGE Firm Wheeling</t>
  </si>
  <si>
    <t>Nichols Pumping Sale</t>
  </si>
  <si>
    <t>Pend Oreille DES &amp; Spinning</t>
  </si>
  <si>
    <t>Avista Corp.</t>
  </si>
  <si>
    <t>Total</t>
  </si>
  <si>
    <t>Colstrip MWh</t>
  </si>
  <si>
    <t>Colstrip Fuel Cost</t>
  </si>
  <si>
    <t>Kettle Falls MWh</t>
  </si>
  <si>
    <t>Kettle Falls Fuel Cost</t>
  </si>
  <si>
    <t>Rathdrum MWh</t>
  </si>
  <si>
    <t>Rathdrum Fuel Cost</t>
  </si>
  <si>
    <t>Total Fuel Expense</t>
  </si>
  <si>
    <t>Nichols Pumping</t>
  </si>
  <si>
    <t>Sales</t>
  </si>
  <si>
    <t>Northeast MWh</t>
  </si>
  <si>
    <t>Northeast Fuel Cost</t>
  </si>
  <si>
    <t>Total Account 547</t>
  </si>
  <si>
    <t>Rathdrum Municipal Payment</t>
  </si>
  <si>
    <t>Kettle Falls - Wood Fuel</t>
  </si>
  <si>
    <t>Colstrip - Coal</t>
  </si>
  <si>
    <t>Colstip - Oil</t>
  </si>
  <si>
    <t>501 THERMAL FUEL EXPENSE</t>
  </si>
  <si>
    <t>547 OTHER FUEL EXPENSE</t>
  </si>
  <si>
    <t>549 MISC OTHER GENERATION EXPENSE</t>
  </si>
  <si>
    <t xml:space="preserve">Non-Monetary </t>
  </si>
  <si>
    <t>454 MISC RENTS</t>
  </si>
  <si>
    <t>Colstrip Rents</t>
  </si>
  <si>
    <t>$</t>
  </si>
  <si>
    <t>Secondary Sales - MWh</t>
  </si>
  <si>
    <t>Secondary Purchase - MWh</t>
  </si>
  <si>
    <t>Boulder Park Fuel Cost</t>
  </si>
  <si>
    <t>Boulder Park MWh</t>
  </si>
  <si>
    <t>Kettle Falls CT Fuel Cost</t>
  </si>
  <si>
    <t>Kettle Falls CT MWh</t>
  </si>
  <si>
    <t>Coyote Springs Gas</t>
  </si>
  <si>
    <t>Boulder Park Gas</t>
  </si>
  <si>
    <t>Kettle Falls CT Gas</t>
  </si>
  <si>
    <t>Northeast CT Gas</t>
  </si>
  <si>
    <t>Rathdrum  Gas</t>
  </si>
  <si>
    <t>Scenario 1</t>
  </si>
  <si>
    <t>ANNUAL</t>
  </si>
  <si>
    <t>GENERATION (GWh)</t>
  </si>
  <si>
    <t>Boulder Park</t>
  </si>
  <si>
    <t>Coyote Springs</t>
  </si>
  <si>
    <t>Kettle Falls CT</t>
  </si>
  <si>
    <t>Northeast</t>
  </si>
  <si>
    <t>Rathdrum</t>
  </si>
  <si>
    <t>FUEL COST ($000)</t>
  </si>
  <si>
    <t>MARKET (GWh)</t>
  </si>
  <si>
    <t>Market Purch</t>
  </si>
  <si>
    <t>Market Sale</t>
  </si>
  <si>
    <t>MARKET ($000)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</si>
  <si>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</si>
  <si>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</si>
  <si>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</si>
  <si>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</si>
  <si>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</si>
  <si>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</si>
  <si>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</si>
  <si>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</si>
  <si>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</si>
  <si>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</si>
  <si>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</si>
  <si>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</si>
  <si>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Coyote Springs Fuel Cost</t>
  </si>
  <si>
    <t>Net Fuel and Purchase Expense</t>
  </si>
  <si>
    <t>Coyote Springs  MWh</t>
  </si>
  <si>
    <t>(GWh)</t>
  </si>
  <si>
    <t>FUEL USE (MMBtu)</t>
  </si>
  <si>
    <t>NET POWER SUPPLY COST ($000)</t>
  </si>
  <si>
    <t>MWh</t>
  </si>
  <si>
    <t>Kootenai for Worley</t>
  </si>
  <si>
    <t>Avista on BPA - Borderline</t>
  </si>
  <si>
    <t>Gas Not Consumed Sales Revenue</t>
  </si>
  <si>
    <t>Rathdrum Fuel Cost $/MWh</t>
  </si>
  <si>
    <t>Northeast Fuel Cost $/MWh</t>
  </si>
  <si>
    <t>Coyote Springs Fuel Cost  $/MWh</t>
  </si>
  <si>
    <t>Boulder Park Fuel Cost $/MWh</t>
  </si>
  <si>
    <t>Kettle Falls Fuel Cost $/MWh</t>
  </si>
  <si>
    <t>Colstrip Fuel Cost $/MWh</t>
  </si>
  <si>
    <t>Kettle Falls CT Fuel Cost $/MWh</t>
  </si>
  <si>
    <t>Headwater Benefits Payments</t>
  </si>
  <si>
    <t>Revenue</t>
  </si>
  <si>
    <t>Average Market Sales Price -$/ MWh</t>
  </si>
  <si>
    <t>Market Sales - Dollars</t>
  </si>
  <si>
    <t>Market Sales - MWh</t>
  </si>
  <si>
    <t>Market Purchases - Dollars</t>
  </si>
  <si>
    <t>Net Market Purchases (Sales) MWh</t>
  </si>
  <si>
    <t>Average Market Purchase Price - $/MWh</t>
  </si>
  <si>
    <t>Net Market Purchases (Sales) aMW</t>
  </si>
  <si>
    <t>Market Purchases - MWh</t>
  </si>
  <si>
    <t>Average Sale and Purchase Price - $/MWh</t>
  </si>
  <si>
    <t>Spokane Energy Service Fee - Peaker Sale</t>
  </si>
  <si>
    <t>Peaker (PGE) Capacity Sale</t>
  </si>
  <si>
    <t>Wheeling for System Sales &amp; Purchases</t>
  </si>
  <si>
    <t>normal $0</t>
  </si>
  <si>
    <t>Comment</t>
  </si>
  <si>
    <t>Market Purchases and Sales, Plant Generation and Fuel Cost Summary</t>
  </si>
  <si>
    <t>Potlatch Co-Gen Purchase</t>
  </si>
  <si>
    <t>Purchases</t>
  </si>
  <si>
    <t>Contract C</t>
  </si>
  <si>
    <t>Contract D</t>
  </si>
  <si>
    <t>Sovereign/Kaiser DES</t>
  </si>
  <si>
    <t>Northwestern Load Following</t>
  </si>
  <si>
    <t>Douglas Settlement</t>
  </si>
  <si>
    <t>Grant Displacement</t>
  </si>
  <si>
    <t>modeled energy higher than actual</t>
  </si>
  <si>
    <t>index</t>
  </si>
  <si>
    <t>model</t>
  </si>
  <si>
    <t>only gas burned modeled</t>
  </si>
  <si>
    <t>exchange capacity not modeled</t>
  </si>
  <si>
    <t>modeled MWh x new contract rate</t>
  </si>
  <si>
    <t>Sagle-Northern Lights</t>
  </si>
  <si>
    <t>Jan 06 - Dec 06</t>
  </si>
  <si>
    <t>Proforma</t>
  </si>
  <si>
    <t>Authorized</t>
  </si>
  <si>
    <t>ERM Authorized</t>
  </si>
  <si>
    <t>thru Nov</t>
  </si>
  <si>
    <t>****LOAD NEW FLAT PRICES*****</t>
  </si>
  <si>
    <t>Contract A</t>
  </si>
  <si>
    <t>Contract B</t>
  </si>
  <si>
    <t>Small Power</t>
  </si>
  <si>
    <t>Modeled Electric Price</t>
  </si>
  <si>
    <t>Black Creek Expense</t>
  </si>
  <si>
    <t>Priest Rapids Meaningful Priority, MWh</t>
  </si>
  <si>
    <t>Priest Rapids Meaningful Priority Expense</t>
  </si>
  <si>
    <t>Reasonable Portion Revenue</t>
  </si>
  <si>
    <t>Net Meaningful Priority Cost</t>
  </si>
  <si>
    <t>Net Meaningful Priority Cost per MWh</t>
  </si>
  <si>
    <t>CS2 Exchange</t>
  </si>
  <si>
    <t>includes Mean Pri &amp; Reas Port</t>
  </si>
  <si>
    <t xml:space="preserve">  Meaningful Priority</t>
  </si>
  <si>
    <t xml:space="preserve">  Surplus Conversion</t>
  </si>
  <si>
    <t>Surplus Conversion Cost</t>
  </si>
  <si>
    <t>Surplus Conversion MWh</t>
  </si>
  <si>
    <t xml:space="preserve">  Avista Total Slice</t>
  </si>
  <si>
    <t>Power Supply Expense</t>
  </si>
  <si>
    <t>Douglas Exchange Capacity</t>
  </si>
  <si>
    <t>Seattle Exchange Capacity</t>
  </si>
  <si>
    <t>BPA NT Deviation Energy</t>
  </si>
  <si>
    <t>Renewable Energy Credit Sales</t>
  </si>
  <si>
    <t>TOTAL NET EXPENSE</t>
  </si>
  <si>
    <t>SMUD Sale</t>
  </si>
  <si>
    <t>Ancillary Services</t>
  </si>
  <si>
    <t>REC Purchases</t>
  </si>
  <si>
    <t>Total Adjustment Including Potlatch</t>
  </si>
  <si>
    <t>Potlatch Purchase Assigned to Idaho</t>
  </si>
  <si>
    <t>Account 447 - Sale for Resale</t>
  </si>
  <si>
    <t>Account 547 - Natrual Gas Fuel</t>
  </si>
  <si>
    <t>Account 501 - Thermal Fuel</t>
  </si>
  <si>
    <t>Account 555 - Purchased Power</t>
  </si>
  <si>
    <t>Stimson</t>
  </si>
  <si>
    <t xml:space="preserve">  Grant's Share of Reasonable Portion Revenue</t>
  </si>
  <si>
    <t>Priest Rapids Project Cost</t>
  </si>
  <si>
    <t>Wanapum Total Cost</t>
  </si>
  <si>
    <t>Wanapum Total Generation, aMW</t>
  </si>
  <si>
    <t>Wanapum Total Cost per MWh</t>
  </si>
  <si>
    <t>Priest Rapids Total Generation, aMW</t>
  </si>
  <si>
    <t>Priest Rapids Total Generation, MWh</t>
  </si>
  <si>
    <t>Priest Rapids Total Cost</t>
  </si>
  <si>
    <t>Priest Rapids Total Cost per MWh</t>
  </si>
  <si>
    <t>Combined Total Cost per MWh</t>
  </si>
  <si>
    <t>Priest Rapids Project</t>
  </si>
  <si>
    <t>Market Price</t>
  </si>
  <si>
    <t>Surplus Conversion Cost per MWh</t>
  </si>
  <si>
    <t>Total Priest Rapids Product Cost</t>
  </si>
  <si>
    <t>Total Priest Rapids Product Cost per MWh</t>
  </si>
  <si>
    <t>Rick?</t>
  </si>
  <si>
    <t>Sand Dunes-Warden</t>
  </si>
  <si>
    <t>Black Creek, MWh</t>
  </si>
  <si>
    <t>Modeled Short-Term Market Purchases</t>
  </si>
  <si>
    <t>Modeled Short-Term Market Sales</t>
  </si>
  <si>
    <t>Pro forma</t>
  </si>
  <si>
    <t>Natural Gas Fuel Purchases</t>
  </si>
  <si>
    <t>Total Retail Sales, MWh</t>
  </si>
  <si>
    <t>Avista Corp</t>
  </si>
  <si>
    <t>Oct 07 - Sep 08</t>
  </si>
  <si>
    <t>Actual ST Market Purchases - Physical</t>
  </si>
  <si>
    <t>Northwestern Deviation Energy</t>
  </si>
  <si>
    <t>Spinning Reserve Purchase</t>
  </si>
  <si>
    <t>check MWh</t>
  </si>
  <si>
    <t>Bad Debt Reserve</t>
  </si>
  <si>
    <t>use 5 yr avg</t>
  </si>
  <si>
    <t>test power</t>
  </si>
  <si>
    <t>new rate</t>
  </si>
  <si>
    <t>check energy</t>
  </si>
  <si>
    <t>modeled MWh x Actual</t>
  </si>
  <si>
    <t>Actual ST Purchases - Financial  M-to-M</t>
  </si>
  <si>
    <t>Actual ST Market Sales - Physical</t>
  </si>
  <si>
    <t>check</t>
  </si>
  <si>
    <t xml:space="preserve">  Surplus</t>
  </si>
  <si>
    <t>Priest Rapids, MWh</t>
  </si>
  <si>
    <t>Wanpum, MWh</t>
  </si>
  <si>
    <t>Total Project Generation and Cost</t>
  </si>
  <si>
    <t>Stateline Wind Purchase</t>
  </si>
  <si>
    <t>Jan 10 - Dec 10</t>
  </si>
  <si>
    <t>System Numbers - Oct 2007 - Sep 2008 Actual and Jan 2010 - Dec 2010 Pro forma</t>
  </si>
  <si>
    <t>Wells, Avista and Colville Share</t>
  </si>
  <si>
    <t>Surplus MWh</t>
  </si>
  <si>
    <t>Surplus Cost</t>
  </si>
  <si>
    <t>Surplus Cost per MWh</t>
  </si>
  <si>
    <t>Lancaster Gas</t>
  </si>
  <si>
    <t>CS2 Gas Transportation Charge</t>
  </si>
  <si>
    <t>Lancaster Gas Transportation Charge</t>
  </si>
  <si>
    <t>Lancaster</t>
  </si>
  <si>
    <t>Lancaster  MWh</t>
  </si>
  <si>
    <t>Lancaster Fuel Cost  $/MWh</t>
  </si>
  <si>
    <t>Lancaster Fuel Cost</t>
  </si>
  <si>
    <t>PTP Transmission for Lancaster</t>
  </si>
  <si>
    <t>PTP Transmission  for Colstrip &amp; Coyote</t>
  </si>
  <si>
    <t>Lancaster Variable O&amp;M Payments</t>
  </si>
  <si>
    <t>Lancaster Capacity Payment</t>
  </si>
  <si>
    <t>Washington Proforma January 2010 - December 2010</t>
  </si>
  <si>
    <t>Kettle Falls - Start-up Gas</t>
  </si>
  <si>
    <t>Power Supply Pro forma - Washington Jurisdiction</t>
  </si>
  <si>
    <t xml:space="preserve">ERM Authorized Washington Retail Sales </t>
  </si>
  <si>
    <t>ERM Authorized Expense and Retail Sales</t>
  </si>
  <si>
    <t>Transmission Expense</t>
  </si>
  <si>
    <t>Transmission Revenue</t>
  </si>
  <si>
    <t>ERM Authorized Power Supply Expense (1)</t>
  </si>
  <si>
    <t>1)  The proposed retail revenue credit is $53.41/MWh</t>
  </si>
  <si>
    <t>Pro forma January 2010 - December 2010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</si>
</sst>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"/>
    <numFmt numFmtId="165" formatCode="#,##0\ ;\(#,##0\)"/>
    <numFmt numFmtId="166" formatCode="0.0000"/>
    <numFmt numFmtId="167" formatCode="0.0"/>
    <numFmt numFmtId="168" formatCode="&quot;$&quot;#,##0"/>
    <numFmt numFmtId="169" formatCode="&quot;$&quot;#,##0.0"/>
    <numFmt numFmtId="170" formatCode="&quot;$&quot;#,##0.00"/>
    <numFmt numFmtId="171" formatCode="0.000"/>
    <numFmt numFmtId="172" formatCode="#,##0.0_);[Red]\(#,##0.0\)"/>
    <numFmt numFmtId="173" formatCode="#,##0.0"/>
    <numFmt numFmtId="174" formatCode="&quot;$&quot;#,##0.000\ ;\(&quot;$&quot;#,##0.00\)"/>
    <numFmt numFmtId="175" formatCode="#,##0.000"/>
    <numFmt numFmtId="176" formatCode="&quot; &quot;"/>
    <numFmt numFmtId="177" formatCode="&quot;$&quot;#,##0.000"/>
    <numFmt numFmtId="178" formatCode="&quot;$&quot;#,##0.0000"/>
    <numFmt numFmtId="179" formatCode="&quot;$&quot;#,##0.00000"/>
    <numFmt numFmtId="180" formatCode="&quot;$&quot;#,##0.0_);\(&quot;$&quot;#,##0.0\)"/>
    <numFmt numFmtId="181" formatCode="&quot;$&quot;#,##0.000_);\(&quot;$&quot;#,##0.000\)"/>
    <numFmt numFmtId="182" formatCode="&quot;$&quot;#,##0.0000_);\(&quot;$&quot;#,##0.0000\)"/>
    <numFmt numFmtId="183" formatCode="#,##0.000_);[Red]\(#,##0.000\)"/>
    <numFmt numFmtId="184" formatCode="#,##0.0000_);[Red]\(#,##0.0000\)"/>
    <numFmt numFmtId="185" formatCode="&quot;$&quot;#,##0.0_);[Red]\(&quot;$&quot;#,##0.0\)"/>
    <numFmt numFmtId="186" formatCode="0.0%"/>
    <numFmt numFmtId="187" formatCode="m/d"/>
    <numFmt numFmtId="188" formatCode="0.000000"/>
    <numFmt numFmtId="189" formatCode="0.00000"/>
    <numFmt numFmtId="190" formatCode="&quot;$&quot;#,##0\ "/>
    <numFmt numFmtId="191" formatCode="&quot;$&quot;#,##0.000000"/>
    <numFmt numFmtId="192" formatCode="_(&quot;$&quot;* #,##0_);_(&quot;$&quot;* \(#,##0\);_(&quot;$&quot;* &quot;-&quot;??_);_(@_)"/>
    <numFmt numFmtId="193" formatCode="_(* #,##0_);_(* \(#,##0\);_(* &quot;-&quot;??_);_(@_)"/>
    <numFmt numFmtId="194" formatCode="0_);\(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sz val="9"/>
      <name val="Geneva"/>
      <family val="0"/>
    </font>
    <font>
      <sz val="8"/>
      <name val="Geneva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4"/>
      <name val="Geneva"/>
      <family val="0"/>
    </font>
    <font>
      <b/>
      <u val="single"/>
      <sz val="10"/>
      <name val="Geneva"/>
      <family val="0"/>
    </font>
    <font>
      <sz val="10"/>
      <color indexed="8"/>
      <name val="Arial"/>
      <family val="0"/>
    </font>
    <font>
      <b/>
      <sz val="12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168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0" xfId="0" applyNumberFormat="1" applyAlignment="1">
      <alignment/>
    </xf>
    <xf numFmtId="165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170" fontId="0" fillId="0" borderId="4" xfId="0" applyNumberFormat="1" applyBorder="1" applyAlignment="1">
      <alignment horizontal="center"/>
    </xf>
    <xf numFmtId="170" fontId="0" fillId="0" borderId="0" xfId="0" applyNumberFormat="1" applyAlignment="1">
      <alignment/>
    </xf>
    <xf numFmtId="168" fontId="1" fillId="0" borderId="3" xfId="0" applyNumberFormat="1" applyFont="1" applyBorder="1" applyAlignment="1">
      <alignment horizontal="center"/>
    </xf>
    <xf numFmtId="5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5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7" fontId="0" fillId="0" borderId="1" xfId="0" applyNumberFormat="1" applyBorder="1" applyAlignment="1">
      <alignment/>
    </xf>
    <xf numFmtId="17" fontId="0" fillId="0" borderId="0" xfId="0" applyNumberFormat="1" applyBorder="1" applyAlignment="1">
      <alignment/>
    </xf>
    <xf numFmtId="170" fontId="0" fillId="0" borderId="0" xfId="0" applyNumberFormat="1" applyFont="1" applyAlignment="1">
      <alignment/>
    </xf>
    <xf numFmtId="0" fontId="0" fillId="0" borderId="8" xfId="0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72" fontId="8" fillId="0" borderId="9" xfId="0" applyNumberFormat="1" applyFont="1" applyBorder="1" applyAlignment="1">
      <alignment/>
    </xf>
    <xf numFmtId="172" fontId="0" fillId="0" borderId="9" xfId="0" applyNumberFormat="1" applyBorder="1" applyAlignment="1">
      <alignment/>
    </xf>
    <xf numFmtId="172" fontId="7" fillId="0" borderId="9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9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8" fontId="10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172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38" fontId="7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70" fontId="0" fillId="0" borderId="10" xfId="0" applyNumberFormat="1" applyBorder="1" applyAlignment="1">
      <alignment horizontal="center"/>
    </xf>
    <xf numFmtId="172" fontId="9" fillId="0" borderId="0" xfId="0" applyNumberFormat="1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0" fillId="0" borderId="8" xfId="0" applyBorder="1" applyAlignment="1">
      <alignment/>
    </xf>
    <xf numFmtId="170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170" fontId="1" fillId="0" borderId="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0" fillId="0" borderId="0" xfId="0" applyNumberFormat="1" applyAlignment="1">
      <alignment horizontal="right"/>
    </xf>
    <xf numFmtId="5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1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173" fontId="0" fillId="0" borderId="0" xfId="0" applyNumberFormat="1" applyBorder="1" applyAlignment="1">
      <alignment horizontal="left"/>
    </xf>
    <xf numFmtId="3" fontId="0" fillId="0" borderId="0" xfId="0" applyNumberFormat="1" applyFill="1" applyAlignment="1">
      <alignment horizontal="right"/>
    </xf>
    <xf numFmtId="37" fontId="0" fillId="0" borderId="0" xfId="0" applyNumberFormat="1" applyAlignment="1">
      <alignment/>
    </xf>
    <xf numFmtId="170" fontId="0" fillId="2" borderId="0" xfId="15" applyNumberFormat="1" applyFill="1" applyAlignment="1">
      <alignment/>
    </xf>
    <xf numFmtId="168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21" applyNumberFormat="1" applyBorder="1" applyAlignment="1">
      <alignment horizontal="center"/>
    </xf>
    <xf numFmtId="168" fontId="0" fillId="3" borderId="0" xfId="0" applyNumberFormat="1" applyFont="1" applyFill="1" applyBorder="1" applyAlignment="1">
      <alignment horizontal="center"/>
    </xf>
    <xf numFmtId="168" fontId="0" fillId="3" borderId="0" xfId="0" applyNumberFormat="1" applyFill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center"/>
    </xf>
    <xf numFmtId="168" fontId="0" fillId="3" borderId="4" xfId="0" applyNumberFormat="1" applyFill="1" applyBorder="1" applyAlignment="1">
      <alignment horizontal="center"/>
    </xf>
    <xf numFmtId="168" fontId="0" fillId="0" borderId="1" xfId="0" applyNumberFormat="1" applyBorder="1" applyAlignment="1">
      <alignment horizontal="right"/>
    </xf>
    <xf numFmtId="0" fontId="14" fillId="0" borderId="0" xfId="0" applyFont="1" applyAlignment="1">
      <alignment/>
    </xf>
    <xf numFmtId="0" fontId="4" fillId="4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9" fontId="0" fillId="2" borderId="0" xfId="21" applyNumberFormat="1" applyFill="1" applyBorder="1" applyAlignment="1">
      <alignment horizontal="center"/>
    </xf>
    <xf numFmtId="168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17" fontId="4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left"/>
    </xf>
    <xf numFmtId="9" fontId="0" fillId="0" borderId="0" xfId="21" applyAlignment="1">
      <alignment/>
    </xf>
    <xf numFmtId="173" fontId="0" fillId="0" borderId="4" xfId="0" applyNumberFormat="1" applyBorder="1" applyAlignment="1">
      <alignment horizontal="center"/>
    </xf>
    <xf numFmtId="0" fontId="16" fillId="0" borderId="0" xfId="0" applyFont="1" applyAlignment="1">
      <alignment/>
    </xf>
    <xf numFmtId="0" fontId="14" fillId="2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17" fontId="4" fillId="4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10" fontId="0" fillId="0" borderId="0" xfId="21" applyNumberFormat="1" applyAlignment="1">
      <alignment horizontal="center"/>
    </xf>
    <xf numFmtId="3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6"/>
  <sheetViews>
    <sheetView workbookViewId="0" topLeftCell="D35">
      <selection activeCell="D52" sqref="D52:O52"/>
    </sheetView>
  </sheetViews>
  <sheetFormatPr defaultColWidth="9.00390625" defaultRowHeight="12.75"/>
  <cols>
    <col min="1" max="1" width="6.875" style="0" customWidth="1"/>
    <col min="2" max="2" width="36.875" style="0" customWidth="1"/>
    <col min="3" max="3" width="13.75390625" style="0" customWidth="1"/>
    <col min="4" max="10" width="10.75390625" style="0" customWidth="1"/>
    <col min="11" max="11" width="11.875" style="0" customWidth="1"/>
    <col min="12" max="15" width="10.75390625" style="0" customWidth="1"/>
  </cols>
  <sheetData>
    <row r="3" ht="12.75">
      <c r="D3" s="2" t="s">
        <v>151</v>
      </c>
    </row>
    <row r="6" spans="3:15" ht="12.75">
      <c r="C6" s="40">
        <f>SUM(D6:O6)</f>
        <v>8760</v>
      </c>
      <c r="D6" s="50">
        <f>'WGJ-4'!D6</f>
        <v>744</v>
      </c>
      <c r="E6" s="50">
        <v>672</v>
      </c>
      <c r="F6" s="50">
        <v>743</v>
      </c>
      <c r="G6" s="50">
        <v>720</v>
      </c>
      <c r="H6" s="50">
        <f>'WGJ-4'!H6</f>
        <v>744</v>
      </c>
      <c r="I6" s="50">
        <f>'WGJ-4'!I6</f>
        <v>720</v>
      </c>
      <c r="J6" s="50">
        <f>'WGJ-4'!J6</f>
        <v>744</v>
      </c>
      <c r="K6" s="50">
        <f>'WGJ-4'!K6</f>
        <v>744</v>
      </c>
      <c r="L6" s="50">
        <f>'WGJ-4'!L6</f>
        <v>720</v>
      </c>
      <c r="M6" s="50">
        <v>744</v>
      </c>
      <c r="N6" s="50">
        <v>721</v>
      </c>
      <c r="O6" s="50">
        <f>'WGJ-4'!O6</f>
        <v>744</v>
      </c>
    </row>
    <row r="7" spans="3:15" ht="12.75">
      <c r="C7" s="54" t="s">
        <v>37</v>
      </c>
      <c r="D7" s="51">
        <v>38721</v>
      </c>
      <c r="E7" s="51">
        <v>38752</v>
      </c>
      <c r="F7" s="51">
        <v>38780</v>
      </c>
      <c r="G7" s="51">
        <v>38811</v>
      </c>
      <c r="H7" s="51">
        <v>38841</v>
      </c>
      <c r="I7" s="51">
        <v>38872</v>
      </c>
      <c r="J7" s="51">
        <v>38902</v>
      </c>
      <c r="K7" s="51">
        <v>38933</v>
      </c>
      <c r="L7" s="51">
        <v>38964</v>
      </c>
      <c r="M7" s="51">
        <v>38994</v>
      </c>
      <c r="N7" s="51">
        <v>39025</v>
      </c>
      <c r="O7" s="51">
        <v>39055</v>
      </c>
    </row>
    <row r="8" spans="3:15" ht="12.75">
      <c r="C8" s="80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2.75">
      <c r="A9" s="2" t="s">
        <v>155</v>
      </c>
      <c r="C9" s="31">
        <f>AVERAGE(D9:O9)</f>
        <v>60.065167475541436</v>
      </c>
      <c r="D9" s="105">
        <v>67.58372253417969</v>
      </c>
      <c r="E9" s="105">
        <v>62.38870429992676</v>
      </c>
      <c r="F9" s="105">
        <v>57.68662803649902</v>
      </c>
      <c r="G9" s="105">
        <v>49.775044174194335</v>
      </c>
      <c r="H9" s="105">
        <v>39.329722051620486</v>
      </c>
      <c r="I9" s="105">
        <v>34.800229206085206</v>
      </c>
      <c r="J9" s="105">
        <v>62.157102012634276</v>
      </c>
      <c r="K9" s="105">
        <v>70.34956108093262</v>
      </c>
      <c r="L9" s="105">
        <v>67.12376136779785</v>
      </c>
      <c r="M9" s="105">
        <v>64.30847648620606</v>
      </c>
      <c r="N9" s="105">
        <v>68.42160804748535</v>
      </c>
      <c r="O9" s="105">
        <v>76.85745040893555</v>
      </c>
    </row>
    <row r="10" spans="3:15" ht="12.75">
      <c r="C10" s="30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3" ht="12.75">
      <c r="A11" s="2" t="s">
        <v>46</v>
      </c>
      <c r="C11" s="30"/>
    </row>
    <row r="12" spans="2:3" ht="12.75">
      <c r="B12" t="s">
        <v>45</v>
      </c>
      <c r="C12" s="30"/>
    </row>
    <row r="13" spans="2:15" ht="12.75">
      <c r="B13" t="s">
        <v>103</v>
      </c>
      <c r="C13" s="29">
        <f>SUM(D13:O13)</f>
        <v>67890</v>
      </c>
      <c r="D13" s="3">
        <v>5766</v>
      </c>
      <c r="E13" s="3">
        <v>5208</v>
      </c>
      <c r="F13" s="3">
        <v>5766</v>
      </c>
      <c r="G13" s="3">
        <v>5580</v>
      </c>
      <c r="H13" s="3">
        <v>5766</v>
      </c>
      <c r="I13" s="3">
        <v>5580</v>
      </c>
      <c r="J13" s="3">
        <v>5766</v>
      </c>
      <c r="K13" s="3">
        <v>5766</v>
      </c>
      <c r="L13" s="3">
        <v>5580</v>
      </c>
      <c r="M13" s="3">
        <v>5766</v>
      </c>
      <c r="N13" s="3">
        <v>5580</v>
      </c>
      <c r="O13" s="3">
        <v>5766</v>
      </c>
    </row>
    <row r="14" spans="2:15" ht="12.75">
      <c r="B14" t="s">
        <v>115</v>
      </c>
      <c r="C14" s="115">
        <f>SUM(D14:O14)</f>
        <v>3941099.231408329</v>
      </c>
      <c r="D14" s="27">
        <f>(D9-2.05)*D13</f>
        <v>377867.44413208007</v>
      </c>
      <c r="E14" s="27">
        <f aca="true" t="shared" si="0" ref="E14:O14">(E9-2.05)*E13</f>
        <v>314243.9719940186</v>
      </c>
      <c r="F14" s="27">
        <f t="shared" si="0"/>
        <v>320800.7972584534</v>
      </c>
      <c r="G14" s="27">
        <f t="shared" si="0"/>
        <v>266305.74649200443</v>
      </c>
      <c r="H14" s="27">
        <f t="shared" si="0"/>
        <v>214954.87734964374</v>
      </c>
      <c r="I14" s="27">
        <f t="shared" si="0"/>
        <v>182746.27896995546</v>
      </c>
      <c r="J14" s="27">
        <f t="shared" si="0"/>
        <v>346577.5502048493</v>
      </c>
      <c r="K14" s="27">
        <f t="shared" si="0"/>
        <v>393815.2691926575</v>
      </c>
      <c r="L14" s="27">
        <f t="shared" si="0"/>
        <v>363111.58843231207</v>
      </c>
      <c r="M14" s="27">
        <f t="shared" si="0"/>
        <v>358982.37541946414</v>
      </c>
      <c r="N14" s="27">
        <f t="shared" si="0"/>
        <v>370353.5729049683</v>
      </c>
      <c r="O14" s="27">
        <f t="shared" si="0"/>
        <v>431339.7590579224</v>
      </c>
    </row>
    <row r="15" ht="12.75">
      <c r="C15" s="30"/>
    </row>
    <row r="17" ht="12.75">
      <c r="A17" s="2" t="s">
        <v>132</v>
      </c>
    </row>
    <row r="18" spans="2:13" ht="12.75">
      <c r="B18" t="s">
        <v>202</v>
      </c>
      <c r="M18" s="3">
        <v>3274</v>
      </c>
    </row>
    <row r="19" spans="2:13" ht="12.75">
      <c r="B19" t="s">
        <v>156</v>
      </c>
      <c r="C19" s="114">
        <f>SUM(D19:O19)</f>
        <v>184353.95201583864</v>
      </c>
      <c r="K19" s="32"/>
      <c r="L19" s="32"/>
      <c r="M19" s="27">
        <f>(M9-8)*M18</f>
        <v>184353.95201583864</v>
      </c>
    </row>
    <row r="20" spans="3:13" ht="12.75">
      <c r="C20" s="119"/>
      <c r="K20" s="32"/>
      <c r="L20" s="32"/>
      <c r="M20" s="27"/>
    </row>
    <row r="21" spans="1:13" ht="12.75">
      <c r="A21" s="2" t="s">
        <v>195</v>
      </c>
      <c r="C21" s="119"/>
      <c r="K21" s="32"/>
      <c r="L21" s="32"/>
      <c r="M21" s="27"/>
    </row>
    <row r="22" spans="3:15" ht="12.75">
      <c r="C22" s="119"/>
      <c r="D22" s="124">
        <v>38717</v>
      </c>
      <c r="E22" s="124">
        <v>38748</v>
      </c>
      <c r="F22" s="124">
        <v>38776</v>
      </c>
      <c r="G22" s="124">
        <v>38807</v>
      </c>
      <c r="H22" s="124">
        <v>38837</v>
      </c>
      <c r="I22" s="124">
        <v>38868</v>
      </c>
      <c r="J22" s="124">
        <v>38898</v>
      </c>
      <c r="K22" s="124">
        <v>38929</v>
      </c>
      <c r="L22" s="124">
        <v>38960</v>
      </c>
      <c r="M22" s="124">
        <v>38990</v>
      </c>
      <c r="N22" s="124">
        <v>39021</v>
      </c>
      <c r="O22" s="124">
        <v>39051</v>
      </c>
    </row>
    <row r="23" spans="1:13" ht="12.75">
      <c r="A23" s="2"/>
      <c r="C23" s="119"/>
      <c r="K23" s="32"/>
      <c r="L23" s="32"/>
      <c r="M23" s="27"/>
    </row>
    <row r="24" spans="2:15" ht="12.75">
      <c r="B24" t="s">
        <v>196</v>
      </c>
      <c r="C24" s="119"/>
      <c r="D24" s="105">
        <f>D9</f>
        <v>67.58372253417969</v>
      </c>
      <c r="E24" s="105">
        <f aca="true" t="shared" si="1" ref="E24:O24">E9</f>
        <v>62.38870429992676</v>
      </c>
      <c r="F24" s="105">
        <f t="shared" si="1"/>
        <v>57.68662803649902</v>
      </c>
      <c r="G24" s="105">
        <f t="shared" si="1"/>
        <v>49.775044174194335</v>
      </c>
      <c r="H24" s="105">
        <f t="shared" si="1"/>
        <v>39.329722051620486</v>
      </c>
      <c r="I24" s="105">
        <f t="shared" si="1"/>
        <v>34.800229206085206</v>
      </c>
      <c r="J24" s="105">
        <f t="shared" si="1"/>
        <v>62.157102012634276</v>
      </c>
      <c r="K24" s="105">
        <f t="shared" si="1"/>
        <v>70.34956108093262</v>
      </c>
      <c r="L24" s="105">
        <f t="shared" si="1"/>
        <v>67.12376136779785</v>
      </c>
      <c r="M24" s="105">
        <f t="shared" si="1"/>
        <v>64.30847648620606</v>
      </c>
      <c r="N24" s="105">
        <f t="shared" si="1"/>
        <v>68.42160804748535</v>
      </c>
      <c r="O24" s="105">
        <f t="shared" si="1"/>
        <v>76.85745040893555</v>
      </c>
    </row>
    <row r="25" spans="4:15" ht="12.75">
      <c r="D25">
        <v>20.382483261718754</v>
      </c>
      <c r="E25">
        <v>15.6528769140625</v>
      </c>
      <c r="F25">
        <v>13.9696183203125</v>
      </c>
      <c r="G25">
        <v>16.509794326171875</v>
      </c>
      <c r="H25">
        <v>19.89279537109375</v>
      </c>
      <c r="I25">
        <v>21.50606638671875</v>
      </c>
      <c r="J25">
        <v>19.745548984375</v>
      </c>
      <c r="K25" s="32">
        <v>11.697136025390623</v>
      </c>
      <c r="L25" s="32">
        <v>11.045855</v>
      </c>
      <c r="M25" s="27">
        <v>13.075767695312502</v>
      </c>
      <c r="N25">
        <v>13.745435019531248</v>
      </c>
      <c r="O25">
        <v>16.709947773437502</v>
      </c>
    </row>
    <row r="26" spans="2:15" ht="12.75">
      <c r="B26" t="s">
        <v>224</v>
      </c>
      <c r="C26" s="107">
        <f>SUM(D26:O26)</f>
        <v>180061.16290039066</v>
      </c>
      <c r="D26" s="3">
        <f>D33*1000</f>
        <v>22737.7269140625</v>
      </c>
      <c r="E26" s="3">
        <f aca="true" t="shared" si="2" ref="E26:O26">E33*1000</f>
        <v>17019.29548828125</v>
      </c>
      <c r="F26" s="3">
        <f t="shared" si="2"/>
        <v>14239.755488281251</v>
      </c>
      <c r="G26" s="3">
        <f t="shared" si="2"/>
        <v>12628.104648437498</v>
      </c>
      <c r="H26" s="3">
        <f t="shared" si="2"/>
        <v>9481.04451171875</v>
      </c>
      <c r="I26" s="3">
        <f t="shared" si="2"/>
        <v>13348.516279296877</v>
      </c>
      <c r="J26" s="3">
        <f t="shared" si="2"/>
        <v>15205.964609375</v>
      </c>
      <c r="K26" s="3">
        <f t="shared" si="2"/>
        <v>14682.215253906252</v>
      </c>
      <c r="L26" s="3">
        <f t="shared" si="2"/>
        <v>12643.4519921875</v>
      </c>
      <c r="M26" s="3">
        <f t="shared" si="2"/>
        <v>14663.805312500002</v>
      </c>
      <c r="N26" s="3">
        <f t="shared" si="2"/>
        <v>15209.6514453125</v>
      </c>
      <c r="O26" s="3">
        <f t="shared" si="2"/>
        <v>18201.630957031248</v>
      </c>
    </row>
    <row r="27" spans="2:15" ht="12.75">
      <c r="B27" t="s">
        <v>225</v>
      </c>
      <c r="C27" s="107">
        <f>SUM(D27:O27)</f>
        <v>193933.32507812505</v>
      </c>
      <c r="D27" s="3">
        <f>D25*1000</f>
        <v>20382.483261718753</v>
      </c>
      <c r="E27" s="3">
        <f aca="true" t="shared" si="3" ref="E27:O27">E25*1000</f>
        <v>15652.876914062499</v>
      </c>
      <c r="F27" s="3">
        <f t="shared" si="3"/>
        <v>13969.6183203125</v>
      </c>
      <c r="G27" s="3">
        <f t="shared" si="3"/>
        <v>16509.794326171876</v>
      </c>
      <c r="H27" s="3">
        <f t="shared" si="3"/>
        <v>19892.79537109375</v>
      </c>
      <c r="I27" s="3">
        <f t="shared" si="3"/>
        <v>21506.06638671875</v>
      </c>
      <c r="J27" s="3">
        <f t="shared" si="3"/>
        <v>19745.548984375</v>
      </c>
      <c r="K27" s="3">
        <f t="shared" si="3"/>
        <v>11697.136025390624</v>
      </c>
      <c r="L27" s="3">
        <f t="shared" si="3"/>
        <v>11045.855</v>
      </c>
      <c r="M27" s="3">
        <f t="shared" si="3"/>
        <v>13075.767695312501</v>
      </c>
      <c r="N27" s="3">
        <f t="shared" si="3"/>
        <v>13745.435019531249</v>
      </c>
      <c r="O27" s="3">
        <f t="shared" si="3"/>
        <v>16709.947773437503</v>
      </c>
    </row>
    <row r="28" spans="2:15" ht="12.75">
      <c r="B28" t="s">
        <v>164</v>
      </c>
      <c r="C28" s="108"/>
      <c r="D28" s="108">
        <v>0.033</v>
      </c>
      <c r="E28" s="108">
        <v>0.033</v>
      </c>
      <c r="F28" s="108">
        <v>0.033</v>
      </c>
      <c r="G28" s="108">
        <v>0.033</v>
      </c>
      <c r="H28" s="108">
        <v>0.033</v>
      </c>
      <c r="I28" s="108">
        <v>0.033</v>
      </c>
      <c r="J28" s="108">
        <v>0.033</v>
      </c>
      <c r="K28" s="108">
        <v>0.033</v>
      </c>
      <c r="L28" s="108">
        <v>0.033</v>
      </c>
      <c r="M28" s="108">
        <v>0.033</v>
      </c>
      <c r="N28" s="108">
        <v>0.033</v>
      </c>
      <c r="O28" s="108">
        <v>0.033</v>
      </c>
    </row>
    <row r="29" spans="2:15" ht="12.75">
      <c r="B29" t="s">
        <v>223</v>
      </c>
      <c r="D29" s="135">
        <v>0.0099</v>
      </c>
      <c r="E29" s="135">
        <v>0.0099</v>
      </c>
      <c r="F29" s="135">
        <v>0.0099</v>
      </c>
      <c r="G29" s="135">
        <v>0.0099</v>
      </c>
      <c r="H29" s="135">
        <v>0.0099</v>
      </c>
      <c r="I29" s="135">
        <v>0.0099</v>
      </c>
      <c r="J29" s="135">
        <v>0.0099</v>
      </c>
      <c r="K29" s="135">
        <v>0.0099</v>
      </c>
      <c r="L29" s="135">
        <v>0.0099</v>
      </c>
      <c r="M29" s="135">
        <v>0.0099</v>
      </c>
      <c r="N29" s="135">
        <v>0.0099</v>
      </c>
      <c r="O29" s="135">
        <v>0.0099</v>
      </c>
    </row>
    <row r="30" spans="2:15" ht="12.75">
      <c r="B30" t="s">
        <v>165</v>
      </c>
      <c r="C30" s="108"/>
      <c r="D30" s="108">
        <v>0.0036</v>
      </c>
      <c r="E30" s="108">
        <v>0.0036</v>
      </c>
      <c r="F30" s="108">
        <v>0.0036</v>
      </c>
      <c r="G30" s="108">
        <v>0.0036</v>
      </c>
      <c r="H30" s="108">
        <v>0.0036</v>
      </c>
      <c r="I30" s="108">
        <v>0.0036</v>
      </c>
      <c r="J30" s="108">
        <v>0.0036</v>
      </c>
      <c r="K30" s="108">
        <v>0.0036</v>
      </c>
      <c r="L30" s="108">
        <v>0.0036</v>
      </c>
      <c r="M30" s="108">
        <v>0.0036</v>
      </c>
      <c r="N30" s="108">
        <v>0.0036</v>
      </c>
      <c r="O30" s="108">
        <v>0.0036</v>
      </c>
    </row>
    <row r="31" spans="2:15" ht="12.75">
      <c r="B31" t="s">
        <v>168</v>
      </c>
      <c r="C31" s="108"/>
      <c r="D31" s="108">
        <f aca="true" t="shared" si="4" ref="D31:O31">SUM(D28:D30)</f>
        <v>0.0465</v>
      </c>
      <c r="E31" s="108">
        <f t="shared" si="4"/>
        <v>0.0465</v>
      </c>
      <c r="F31" s="108">
        <f t="shared" si="4"/>
        <v>0.0465</v>
      </c>
      <c r="G31" s="108">
        <f t="shared" si="4"/>
        <v>0.0465</v>
      </c>
      <c r="H31" s="108">
        <f t="shared" si="4"/>
        <v>0.0465</v>
      </c>
      <c r="I31" s="108">
        <f t="shared" si="4"/>
        <v>0.0465</v>
      </c>
      <c r="J31" s="108">
        <f t="shared" si="4"/>
        <v>0.0465</v>
      </c>
      <c r="K31" s="108">
        <f t="shared" si="4"/>
        <v>0.0465</v>
      </c>
      <c r="L31" s="108">
        <f t="shared" si="4"/>
        <v>0.0465</v>
      </c>
      <c r="M31" s="108">
        <f t="shared" si="4"/>
        <v>0.0465</v>
      </c>
      <c r="N31" s="108">
        <f t="shared" si="4"/>
        <v>0.0465</v>
      </c>
      <c r="O31" s="108">
        <f t="shared" si="4"/>
        <v>0.0465</v>
      </c>
    </row>
    <row r="32" spans="2:15" ht="12.75">
      <c r="B32" t="s">
        <v>185</v>
      </c>
      <c r="C32" s="108"/>
      <c r="D32" s="121">
        <v>0.16502803125346419</v>
      </c>
      <c r="E32" s="121">
        <f>D32</f>
        <v>0.16502803125346419</v>
      </c>
      <c r="F32" s="121">
        <f aca="true" t="shared" si="5" ref="F32:O32">E32</f>
        <v>0.16502803125346419</v>
      </c>
      <c r="G32" s="121">
        <f t="shared" si="5"/>
        <v>0.16502803125346419</v>
      </c>
      <c r="H32" s="121">
        <f t="shared" si="5"/>
        <v>0.16502803125346419</v>
      </c>
      <c r="I32" s="121">
        <f t="shared" si="5"/>
        <v>0.16502803125346419</v>
      </c>
      <c r="J32" s="121">
        <f t="shared" si="5"/>
        <v>0.16502803125346419</v>
      </c>
      <c r="K32" s="121">
        <f t="shared" si="5"/>
        <v>0.16502803125346419</v>
      </c>
      <c r="L32" s="121">
        <f t="shared" si="5"/>
        <v>0.16502803125346419</v>
      </c>
      <c r="M32" s="121">
        <f t="shared" si="5"/>
        <v>0.16502803125346419</v>
      </c>
      <c r="N32" s="121">
        <f t="shared" si="5"/>
        <v>0.16502803125346419</v>
      </c>
      <c r="O32" s="121">
        <f t="shared" si="5"/>
        <v>0.16502803125346419</v>
      </c>
    </row>
    <row r="33" spans="3:15" ht="12.75">
      <c r="C33" s="107"/>
      <c r="D33">
        <v>22.7377269140625</v>
      </c>
      <c r="E33">
        <v>17.019295488281248</v>
      </c>
      <c r="F33">
        <v>14.23975548828125</v>
      </c>
      <c r="G33">
        <v>12.628104648437498</v>
      </c>
      <c r="H33">
        <v>9.48104451171875</v>
      </c>
      <c r="I33">
        <v>13.348516279296877</v>
      </c>
      <c r="J33">
        <v>15.205964609375</v>
      </c>
      <c r="K33">
        <v>14.682215253906252</v>
      </c>
      <c r="L33">
        <v>12.643451992187499</v>
      </c>
      <c r="M33">
        <v>14.663805312500003</v>
      </c>
      <c r="N33">
        <v>15.2096514453125</v>
      </c>
      <c r="O33">
        <v>18.20163095703125</v>
      </c>
    </row>
    <row r="34" spans="2:15" ht="12.75">
      <c r="B34" t="s">
        <v>157</v>
      </c>
      <c r="C34" s="107">
        <f>SUM(D34:O34)</f>
        <v>265415.4430815273</v>
      </c>
      <c r="D34" s="3">
        <f>(D26+D27)*(D28/D31)</f>
        <v>30601.439479586694</v>
      </c>
      <c r="E34" s="3">
        <f aca="true" t="shared" si="6" ref="E34:O34">(E26+E27)*(E28/E31)</f>
        <v>23186.702995211694</v>
      </c>
      <c r="F34" s="3">
        <f t="shared" si="6"/>
        <v>20019.55560609879</v>
      </c>
      <c r="G34" s="3">
        <f t="shared" si="6"/>
        <v>20678.508949722782</v>
      </c>
      <c r="H34" s="3">
        <f t="shared" si="6"/>
        <v>20845.950884576614</v>
      </c>
      <c r="I34" s="3">
        <f t="shared" si="6"/>
        <v>24735.510279107868</v>
      </c>
      <c r="J34" s="3">
        <f t="shared" si="6"/>
        <v>24804.299969758067</v>
      </c>
      <c r="K34" s="3">
        <f t="shared" si="6"/>
        <v>18720.82994014617</v>
      </c>
      <c r="L34" s="3">
        <f t="shared" si="6"/>
        <v>16811.766252520163</v>
      </c>
      <c r="M34" s="3">
        <f t="shared" si="6"/>
        <v>19686.14858618952</v>
      </c>
      <c r="N34" s="3">
        <f t="shared" si="6"/>
        <v>20548.771039566534</v>
      </c>
      <c r="O34" s="3">
        <f t="shared" si="6"/>
        <v>24775.959099042342</v>
      </c>
    </row>
    <row r="35" spans="2:15" ht="12.75">
      <c r="B35" t="s">
        <v>158</v>
      </c>
      <c r="C35" s="106">
        <f>SUM(D35:O35)</f>
        <v>15942966.57557367</v>
      </c>
      <c r="D35" s="27">
        <f aca="true" t="shared" si="7" ref="D35:O35">D9*D34</f>
        <v>2068159.1949348792</v>
      </c>
      <c r="E35" s="27">
        <f t="shared" si="7"/>
        <v>1446588.3568584884</v>
      </c>
      <c r="F35" s="27">
        <f t="shared" si="7"/>
        <v>1154860.6577050297</v>
      </c>
      <c r="G35" s="27">
        <f t="shared" si="7"/>
        <v>1029273.6964289243</v>
      </c>
      <c r="H35" s="27">
        <f t="shared" si="7"/>
        <v>819865.4541921305</v>
      </c>
      <c r="I35" s="27">
        <f t="shared" si="7"/>
        <v>860801.4272424304</v>
      </c>
      <c r="J35" s="27">
        <f t="shared" si="7"/>
        <v>1541763.4035722334</v>
      </c>
      <c r="K35" s="27">
        <f t="shared" si="7"/>
        <v>1317002.1693600651</v>
      </c>
      <c r="L35" s="27">
        <f t="shared" si="7"/>
        <v>1128468.9861053606</v>
      </c>
      <c r="M35" s="27">
        <f t="shared" si="7"/>
        <v>1265986.2234589274</v>
      </c>
      <c r="N35" s="27">
        <f t="shared" si="7"/>
        <v>1405979.9579267395</v>
      </c>
      <c r="O35" s="27">
        <f t="shared" si="7"/>
        <v>1904217.0477884624</v>
      </c>
    </row>
    <row r="36" ht="12.75">
      <c r="D36" s="27"/>
    </row>
    <row r="37" spans="2:15" ht="12.75">
      <c r="B37" t="s">
        <v>159</v>
      </c>
      <c r="C37" s="106">
        <f>SUM(D37:O37)</f>
        <v>8844540.750704933</v>
      </c>
      <c r="D37" s="27">
        <f aca="true" t="shared" si="8" ref="D37:O37">(D34*(1-D32))*(D9-D48)</f>
        <v>1211781.1294732168</v>
      </c>
      <c r="E37" s="27">
        <f t="shared" si="8"/>
        <v>817589.4205140297</v>
      </c>
      <c r="F37" s="27">
        <f t="shared" si="8"/>
        <v>627313.4000732325</v>
      </c>
      <c r="G37" s="27">
        <f t="shared" si="8"/>
        <v>511360.5118971509</v>
      </c>
      <c r="H37" s="27">
        <f t="shared" si="8"/>
        <v>333692.1695083461</v>
      </c>
      <c r="I37" s="27">
        <f t="shared" si="8"/>
        <v>302404.7165098495</v>
      </c>
      <c r="J37" s="27">
        <f t="shared" si="8"/>
        <v>869831.0320437733</v>
      </c>
      <c r="K37" s="27">
        <f t="shared" si="8"/>
        <v>784556.7600857602</v>
      </c>
      <c r="L37" s="27">
        <f t="shared" si="8"/>
        <v>659269.5977290059</v>
      </c>
      <c r="M37" s="27">
        <f t="shared" si="8"/>
        <v>725711.9348097276</v>
      </c>
      <c r="N37" s="27">
        <f t="shared" si="8"/>
        <v>828083.3884852469</v>
      </c>
      <c r="O37" s="27">
        <f t="shared" si="8"/>
        <v>1172946.6895755925</v>
      </c>
    </row>
    <row r="39" spans="2:15" ht="12.75">
      <c r="B39" t="s">
        <v>160</v>
      </c>
      <c r="C39" s="109">
        <f>SUM(D39:O39)</f>
        <v>7098425.824868738</v>
      </c>
      <c r="D39" s="27">
        <f>D35-D37</f>
        <v>856378.0654616624</v>
      </c>
      <c r="E39" s="27">
        <f aca="true" t="shared" si="9" ref="E39:O39">E35-E37</f>
        <v>628998.9363444587</v>
      </c>
      <c r="F39" s="27">
        <f t="shared" si="9"/>
        <v>527547.2576317972</v>
      </c>
      <c r="G39" s="27">
        <f t="shared" si="9"/>
        <v>517913.18453177344</v>
      </c>
      <c r="H39" s="27">
        <f t="shared" si="9"/>
        <v>486173.28468378435</v>
      </c>
      <c r="I39" s="27">
        <f t="shared" si="9"/>
        <v>558396.7107325809</v>
      </c>
      <c r="J39" s="27">
        <f t="shared" si="9"/>
        <v>671932.3715284601</v>
      </c>
      <c r="K39" s="27">
        <f t="shared" si="9"/>
        <v>532445.409274305</v>
      </c>
      <c r="L39" s="27">
        <f t="shared" si="9"/>
        <v>469199.3883763547</v>
      </c>
      <c r="M39" s="27">
        <f t="shared" si="9"/>
        <v>540274.2886491998</v>
      </c>
      <c r="N39" s="27">
        <f t="shared" si="9"/>
        <v>577896.5694414926</v>
      </c>
      <c r="O39" s="27">
        <f t="shared" si="9"/>
        <v>731270.3582128698</v>
      </c>
    </row>
    <row r="40" spans="2:15" ht="12.75">
      <c r="B40" t="s">
        <v>161</v>
      </c>
      <c r="C40" s="125">
        <f aca="true" t="shared" si="10" ref="C40:O40">C39/C34</f>
        <v>26.744584800547283</v>
      </c>
      <c r="D40" s="32">
        <f t="shared" si="10"/>
        <v>27.984894829307837</v>
      </c>
      <c r="E40" s="32">
        <f t="shared" si="10"/>
        <v>27.127571197783222</v>
      </c>
      <c r="F40" s="32">
        <f t="shared" si="10"/>
        <v>26.35159680922609</v>
      </c>
      <c r="G40" s="32">
        <f t="shared" si="10"/>
        <v>25.04596370033327</v>
      </c>
      <c r="H40" s="32">
        <f t="shared" si="10"/>
        <v>23.32219275463666</v>
      </c>
      <c r="I40" s="32">
        <f t="shared" si="10"/>
        <v>22.574699467761313</v>
      </c>
      <c r="J40" s="32">
        <f t="shared" si="10"/>
        <v>27.089350328277533</v>
      </c>
      <c r="K40" s="32">
        <f t="shared" si="10"/>
        <v>28.441335719443416</v>
      </c>
      <c r="L40" s="32">
        <f t="shared" si="10"/>
        <v>27.908988343566786</v>
      </c>
      <c r="M40" s="32">
        <f t="shared" si="10"/>
        <v>27.44438742214005</v>
      </c>
      <c r="N40" s="32">
        <f t="shared" si="10"/>
        <v>28.123169425984464</v>
      </c>
      <c r="O40" s="32">
        <f t="shared" si="10"/>
        <v>29.515319882859163</v>
      </c>
    </row>
    <row r="42" spans="2:15" ht="12.75">
      <c r="B42" t="s">
        <v>231</v>
      </c>
      <c r="C42" s="107">
        <f>SUM(D42:O42)</f>
        <v>79624.63292445817</v>
      </c>
      <c r="D42" s="3">
        <f>(D26+D27)*(D29/D31)</f>
        <v>9180.43184387601</v>
      </c>
      <c r="E42" s="3">
        <f aca="true" t="shared" si="11" ref="E42:O42">(E26+E27)*(E29/E31)</f>
        <v>6956.010898563509</v>
      </c>
      <c r="F42" s="3">
        <f t="shared" si="11"/>
        <v>6005.866681829638</v>
      </c>
      <c r="G42" s="3">
        <f t="shared" si="11"/>
        <v>6203.552684916835</v>
      </c>
      <c r="H42" s="3">
        <f t="shared" si="11"/>
        <v>6253.785265372984</v>
      </c>
      <c r="I42" s="3">
        <f t="shared" si="11"/>
        <v>7420.653083732361</v>
      </c>
      <c r="J42" s="3">
        <f t="shared" si="11"/>
        <v>7441.28999092742</v>
      </c>
      <c r="K42" s="3">
        <f t="shared" si="11"/>
        <v>5616.248982043851</v>
      </c>
      <c r="L42" s="3">
        <f t="shared" si="11"/>
        <v>5043.529875756049</v>
      </c>
      <c r="M42" s="3">
        <f t="shared" si="11"/>
        <v>5905.844575856856</v>
      </c>
      <c r="N42" s="3">
        <f t="shared" si="11"/>
        <v>6164.63131186996</v>
      </c>
      <c r="O42" s="3">
        <f t="shared" si="11"/>
        <v>7432.787729712703</v>
      </c>
    </row>
    <row r="43" spans="2:15" ht="12.75">
      <c r="B43" t="s">
        <v>186</v>
      </c>
      <c r="D43" s="123">
        <f>$C66</f>
        <v>20.158384694015037</v>
      </c>
      <c r="E43" s="123">
        <f aca="true" t="shared" si="12" ref="E43:O43">$C66</f>
        <v>20.158384694015037</v>
      </c>
      <c r="F43" s="123">
        <f t="shared" si="12"/>
        <v>20.158384694015037</v>
      </c>
      <c r="G43" s="123">
        <f t="shared" si="12"/>
        <v>20.158384694015037</v>
      </c>
      <c r="H43" s="123">
        <f t="shared" si="12"/>
        <v>20.158384694015037</v>
      </c>
      <c r="I43" s="123">
        <f t="shared" si="12"/>
        <v>20.158384694015037</v>
      </c>
      <c r="J43" s="123">
        <f t="shared" si="12"/>
        <v>20.158384694015037</v>
      </c>
      <c r="K43" s="123">
        <f t="shared" si="12"/>
        <v>20.158384694015037</v>
      </c>
      <c r="L43" s="123">
        <f t="shared" si="12"/>
        <v>20.158384694015037</v>
      </c>
      <c r="M43" s="123">
        <f t="shared" si="12"/>
        <v>20.158384694015037</v>
      </c>
      <c r="N43" s="123">
        <f t="shared" si="12"/>
        <v>20.158384694015037</v>
      </c>
      <c r="O43" s="123">
        <f t="shared" si="12"/>
        <v>20.158384694015037</v>
      </c>
    </row>
    <row r="44" spans="2:15" ht="12.75">
      <c r="B44" t="s">
        <v>232</v>
      </c>
      <c r="C44" s="110">
        <f>SUM(D44:O44)</f>
        <v>1605103.9816109634</v>
      </c>
      <c r="D44" s="27">
        <f>D42*D43</f>
        <v>185062.67676603838</v>
      </c>
      <c r="E44" s="27">
        <f aca="true" t="shared" si="13" ref="E44:O44">E42*E43</f>
        <v>140221.9436290044</v>
      </c>
      <c r="F44" s="27">
        <f t="shared" si="13"/>
        <v>121068.57099328945</v>
      </c>
      <c r="G44" s="27">
        <f t="shared" si="13"/>
        <v>125053.60149214341</v>
      </c>
      <c r="H44" s="27">
        <f t="shared" si="13"/>
        <v>126066.20917315154</v>
      </c>
      <c r="I44" s="27">
        <f t="shared" si="13"/>
        <v>149588.3795427059</v>
      </c>
      <c r="J44" s="27">
        <f t="shared" si="13"/>
        <v>150004.3862568386</v>
      </c>
      <c r="K44" s="27">
        <f t="shared" si="13"/>
        <v>113214.50751741031</v>
      </c>
      <c r="L44" s="27">
        <f t="shared" si="13"/>
        <v>101669.4154512483</v>
      </c>
      <c r="M44" s="27">
        <f t="shared" si="13"/>
        <v>119052.28690318458</v>
      </c>
      <c r="N44" s="27">
        <f t="shared" si="13"/>
        <v>124269.00948144525</v>
      </c>
      <c r="O44" s="27">
        <f t="shared" si="13"/>
        <v>149832.99440450335</v>
      </c>
    </row>
    <row r="45" spans="2:4" ht="12.75">
      <c r="B45" t="s">
        <v>233</v>
      </c>
      <c r="C45" s="125">
        <f>C44/C42</f>
        <v>20.158384694015037</v>
      </c>
      <c r="D45" s="27"/>
    </row>
    <row r="46" spans="3:4" ht="12.75">
      <c r="C46" s="125"/>
      <c r="D46" s="27"/>
    </row>
    <row r="47" spans="2:15" ht="12.75">
      <c r="B47" t="s">
        <v>167</v>
      </c>
      <c r="C47" s="107">
        <f>SUM(D47:O47)</f>
        <v>28954.411972530244</v>
      </c>
      <c r="D47" s="3">
        <f>(D26+D27)*(D30/D31)</f>
        <v>3338.3388523185486</v>
      </c>
      <c r="E47" s="3">
        <f aca="true" t="shared" si="14" ref="E47:O47">(E26+E27)*(E30/E31)</f>
        <v>2529.4585085685485</v>
      </c>
      <c r="F47" s="3">
        <f t="shared" si="14"/>
        <v>2183.9515206653227</v>
      </c>
      <c r="G47" s="3">
        <f t="shared" si="14"/>
        <v>2255.837339969758</v>
      </c>
      <c r="H47" s="3">
        <f t="shared" si="14"/>
        <v>2274.103732862903</v>
      </c>
      <c r="I47" s="3">
        <f t="shared" si="14"/>
        <v>2698.419303175404</v>
      </c>
      <c r="J47" s="3">
        <f t="shared" si="14"/>
        <v>2705.9236330645163</v>
      </c>
      <c r="K47" s="3">
        <f t="shared" si="14"/>
        <v>2042.272357106855</v>
      </c>
      <c r="L47" s="3">
        <f t="shared" si="14"/>
        <v>1834.0108639112905</v>
      </c>
      <c r="M47" s="3">
        <f t="shared" si="14"/>
        <v>2147.5798457661294</v>
      </c>
      <c r="N47" s="3">
        <f t="shared" si="14"/>
        <v>2241.684113407258</v>
      </c>
      <c r="O47" s="3">
        <f t="shared" si="14"/>
        <v>2702.83190171371</v>
      </c>
    </row>
    <row r="48" spans="2:15" ht="12.75">
      <c r="B48" t="s">
        <v>186</v>
      </c>
      <c r="D48" s="123">
        <f>$C66</f>
        <v>20.158384694015037</v>
      </c>
      <c r="E48" s="123">
        <f aca="true" t="shared" si="15" ref="E48:O48">$C66</f>
        <v>20.158384694015037</v>
      </c>
      <c r="F48" s="123">
        <f t="shared" si="15"/>
        <v>20.158384694015037</v>
      </c>
      <c r="G48" s="123">
        <f t="shared" si="15"/>
        <v>20.158384694015037</v>
      </c>
      <c r="H48" s="123">
        <f t="shared" si="15"/>
        <v>20.158384694015037</v>
      </c>
      <c r="I48" s="123">
        <f t="shared" si="15"/>
        <v>20.158384694015037</v>
      </c>
      <c r="J48" s="123">
        <f t="shared" si="15"/>
        <v>20.158384694015037</v>
      </c>
      <c r="K48" s="123">
        <f t="shared" si="15"/>
        <v>20.158384694015037</v>
      </c>
      <c r="L48" s="123">
        <f t="shared" si="15"/>
        <v>20.158384694015037</v>
      </c>
      <c r="M48" s="123">
        <f t="shared" si="15"/>
        <v>20.158384694015037</v>
      </c>
      <c r="N48" s="123">
        <f t="shared" si="15"/>
        <v>20.158384694015037</v>
      </c>
      <c r="O48" s="123">
        <f t="shared" si="15"/>
        <v>20.158384694015037</v>
      </c>
    </row>
    <row r="49" spans="2:15" ht="12.75">
      <c r="B49" t="s">
        <v>166</v>
      </c>
      <c r="C49" s="110">
        <f>SUM(D49:O49)</f>
        <v>583674.1751312594</v>
      </c>
      <c r="D49" s="27">
        <f>D47*D48</f>
        <v>67295.51882401395</v>
      </c>
      <c r="E49" s="27">
        <f aca="true" t="shared" si="16" ref="E49:O49">E47*E48</f>
        <v>50989.79768327433</v>
      </c>
      <c r="F49" s="27">
        <f t="shared" si="16"/>
        <v>44024.934906650706</v>
      </c>
      <c r="G49" s="27">
        <f t="shared" si="16"/>
        <v>45474.03690623397</v>
      </c>
      <c r="H49" s="27">
        <f t="shared" si="16"/>
        <v>45842.257881146004</v>
      </c>
      <c r="I49" s="27">
        <f t="shared" si="16"/>
        <v>54395.774379165785</v>
      </c>
      <c r="J49" s="27">
        <f t="shared" si="16"/>
        <v>54547.04954794131</v>
      </c>
      <c r="K49" s="27">
        <f t="shared" si="16"/>
        <v>41168.91182451284</v>
      </c>
      <c r="L49" s="27">
        <f t="shared" si="16"/>
        <v>36970.69652772665</v>
      </c>
      <c r="M49" s="27">
        <f t="shared" si="16"/>
        <v>43291.74069206712</v>
      </c>
      <c r="N49" s="27">
        <f t="shared" si="16"/>
        <v>45188.730720525535</v>
      </c>
      <c r="O49" s="27">
        <f t="shared" si="16"/>
        <v>54484.72523800121</v>
      </c>
    </row>
    <row r="50" spans="2:15" ht="12.75">
      <c r="B50" t="s">
        <v>197</v>
      </c>
      <c r="C50" s="125">
        <f>C49/C47</f>
        <v>20.158384694015034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4:15" ht="12.75"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2.75">
      <c r="B52" t="s">
        <v>198</v>
      </c>
      <c r="C52" s="120">
        <f>C39+C49</f>
        <v>7682099.999999997</v>
      </c>
      <c r="D52" s="27">
        <f>D39+D49</f>
        <v>923673.5842856764</v>
      </c>
      <c r="E52" s="27">
        <f aca="true" t="shared" si="17" ref="E52:O52">E39+E49</f>
        <v>679988.7340277331</v>
      </c>
      <c r="F52" s="27">
        <f t="shared" si="17"/>
        <v>571572.1925384479</v>
      </c>
      <c r="G52" s="27">
        <f t="shared" si="17"/>
        <v>563387.2214380074</v>
      </c>
      <c r="H52" s="27">
        <f t="shared" si="17"/>
        <v>532015.5425649304</v>
      </c>
      <c r="I52" s="27">
        <f t="shared" si="17"/>
        <v>612792.4851117467</v>
      </c>
      <c r="J52" s="27">
        <f t="shared" si="17"/>
        <v>726479.4210764014</v>
      </c>
      <c r="K52" s="27">
        <f t="shared" si="17"/>
        <v>573614.3210988179</v>
      </c>
      <c r="L52" s="27">
        <f t="shared" si="17"/>
        <v>506170.08490408136</v>
      </c>
      <c r="M52" s="27">
        <f t="shared" si="17"/>
        <v>583566.0293412668</v>
      </c>
      <c r="N52" s="27">
        <f t="shared" si="17"/>
        <v>623085.300162018</v>
      </c>
      <c r="O52" s="27">
        <f t="shared" si="17"/>
        <v>785755.083450871</v>
      </c>
    </row>
    <row r="53" spans="2:3" ht="12.75">
      <c r="B53" t="s">
        <v>199</v>
      </c>
      <c r="C53" s="125">
        <f>C52/(C26+C27)</f>
        <v>20.540677060570207</v>
      </c>
    </row>
    <row r="55" ht="12.75">
      <c r="B55" s="2" t="s">
        <v>226</v>
      </c>
    </row>
    <row r="56" spans="2:15" ht="12.75">
      <c r="B56" t="s">
        <v>188</v>
      </c>
      <c r="D56" s="60">
        <v>581.7073170731708</v>
      </c>
      <c r="E56" s="60">
        <v>491.46341463414626</v>
      </c>
      <c r="F56" s="60">
        <v>420.73170731707313</v>
      </c>
      <c r="G56" s="60">
        <v>491.46341463414626</v>
      </c>
      <c r="H56" s="60">
        <v>578.0487804878048</v>
      </c>
      <c r="I56" s="60">
        <v>636.5853658536586</v>
      </c>
      <c r="J56" s="60">
        <v>559.7560975609756</v>
      </c>
      <c r="K56" s="60">
        <v>331.7073170731707</v>
      </c>
      <c r="L56" s="60">
        <v>324.390243902439</v>
      </c>
      <c r="M56" s="60">
        <v>373.1707317073171</v>
      </c>
      <c r="N56" s="60">
        <v>413.4146341463414</v>
      </c>
      <c r="O56" s="60">
        <v>482.9268292682927</v>
      </c>
    </row>
    <row r="57" spans="2:15" ht="12.75">
      <c r="B57" t="s">
        <v>188</v>
      </c>
      <c r="C57" s="119">
        <f>SUM(D57:O57)</f>
        <v>4149739.0243902435</v>
      </c>
      <c r="D57" s="60">
        <f aca="true" t="shared" si="18" ref="D57:O57">D6*D56</f>
        <v>432790.2439024391</v>
      </c>
      <c r="E57" s="60">
        <f t="shared" si="18"/>
        <v>330263.41463414626</v>
      </c>
      <c r="F57" s="60">
        <f t="shared" si="18"/>
        <v>312603.65853658534</v>
      </c>
      <c r="G57" s="60">
        <f t="shared" si="18"/>
        <v>353853.6585365853</v>
      </c>
      <c r="H57" s="60">
        <f t="shared" si="18"/>
        <v>430068.2926829268</v>
      </c>
      <c r="I57" s="60">
        <f t="shared" si="18"/>
        <v>458341.46341463417</v>
      </c>
      <c r="J57" s="60">
        <f t="shared" si="18"/>
        <v>416458.53658536583</v>
      </c>
      <c r="K57" s="60">
        <f t="shared" si="18"/>
        <v>246790.24390243902</v>
      </c>
      <c r="L57" s="60">
        <f t="shared" si="18"/>
        <v>233560.97560975607</v>
      </c>
      <c r="M57" s="60">
        <f t="shared" si="18"/>
        <v>277639.0243902439</v>
      </c>
      <c r="N57" s="60">
        <f t="shared" si="18"/>
        <v>298071.95121951215</v>
      </c>
      <c r="O57" s="60">
        <f t="shared" si="18"/>
        <v>359297.56097560975</v>
      </c>
    </row>
    <row r="58" spans="2:3" ht="12.75">
      <c r="B58" t="s">
        <v>187</v>
      </c>
      <c r="C58" s="122">
        <v>90209000</v>
      </c>
    </row>
    <row r="59" spans="2:3" ht="12.75">
      <c r="B59" t="s">
        <v>189</v>
      </c>
      <c r="C59" s="32">
        <f>C58/C57</f>
        <v>21.738475472744984</v>
      </c>
    </row>
    <row r="61" spans="2:15" ht="12.75">
      <c r="B61" t="s">
        <v>190</v>
      </c>
      <c r="D61" s="60">
        <v>645.4545454545455</v>
      </c>
      <c r="E61" s="60">
        <v>536.3636363636363</v>
      </c>
      <c r="F61" s="60">
        <v>427.27272727272725</v>
      </c>
      <c r="G61" s="60">
        <v>375.75757575757575</v>
      </c>
      <c r="H61" s="60">
        <v>275.75757575757575</v>
      </c>
      <c r="I61" s="60">
        <v>390.9090909090909</v>
      </c>
      <c r="J61" s="60">
        <v>430.30303030303025</v>
      </c>
      <c r="K61" s="60">
        <v>418.1818181818182</v>
      </c>
      <c r="L61" s="60">
        <v>372.72727272727275</v>
      </c>
      <c r="M61" s="60">
        <v>421.2121212121212</v>
      </c>
      <c r="N61" s="60">
        <v>460.60606060606057</v>
      </c>
      <c r="O61" s="60">
        <v>527.2727272727273</v>
      </c>
    </row>
    <row r="62" spans="2:15" ht="12.75">
      <c r="B62" t="s">
        <v>191</v>
      </c>
      <c r="C62" s="119">
        <f>SUM(D62:O62)</f>
        <v>3852687.8787878784</v>
      </c>
      <c r="D62" s="60">
        <f aca="true" t="shared" si="19" ref="D62:O62">D6*D61</f>
        <v>480218.1818181818</v>
      </c>
      <c r="E62" s="60">
        <f t="shared" si="19"/>
        <v>360436.3636363636</v>
      </c>
      <c r="F62" s="60">
        <f t="shared" si="19"/>
        <v>317463.63636363635</v>
      </c>
      <c r="G62" s="60">
        <f t="shared" si="19"/>
        <v>270545.45454545453</v>
      </c>
      <c r="H62" s="60">
        <f t="shared" si="19"/>
        <v>205163.63636363635</v>
      </c>
      <c r="I62" s="60">
        <f t="shared" si="19"/>
        <v>281454.5454545454</v>
      </c>
      <c r="J62" s="60">
        <f t="shared" si="19"/>
        <v>320145.45454545453</v>
      </c>
      <c r="K62" s="60">
        <f t="shared" si="19"/>
        <v>311127.2727272727</v>
      </c>
      <c r="L62" s="60">
        <f t="shared" si="19"/>
        <v>268363.63636363635</v>
      </c>
      <c r="M62" s="60">
        <f t="shared" si="19"/>
        <v>313381.8181818182</v>
      </c>
      <c r="N62" s="60">
        <f t="shared" si="19"/>
        <v>332096.96969696967</v>
      </c>
      <c r="O62" s="60">
        <f t="shared" si="19"/>
        <v>392290.90909090906</v>
      </c>
    </row>
    <row r="63" spans="2:3" ht="12.75">
      <c r="B63" t="s">
        <v>192</v>
      </c>
      <c r="C63" s="122">
        <v>71107000</v>
      </c>
    </row>
    <row r="64" spans="2:3" ht="12.75">
      <c r="B64" t="s">
        <v>193</v>
      </c>
      <c r="C64" s="32">
        <f>C63/C62</f>
        <v>18.456465261954072</v>
      </c>
    </row>
    <row r="66" spans="2:3" ht="12.75">
      <c r="B66" t="s">
        <v>194</v>
      </c>
      <c r="C66" s="32">
        <f>(C63+C58)/(C57+C62)</f>
        <v>20.158384694015037</v>
      </c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6"/>
  <sheetViews>
    <sheetView workbookViewId="0" topLeftCell="A2">
      <pane xSplit="10440" ySplit="2100" topLeftCell="U107" activePane="bottomLeft" state="split"/>
      <selection pane="topLeft" activeCell="B127" sqref="B127"/>
      <selection pane="topRight" activeCell="B127" sqref="B127"/>
      <selection pane="bottomLeft" activeCell="B127" sqref="B127"/>
      <selection pane="bottomRight" activeCell="B127" sqref="B127"/>
    </sheetView>
  </sheetViews>
  <sheetFormatPr defaultColWidth="9.00390625" defaultRowHeight="12.75"/>
  <cols>
    <col min="1" max="1" width="6.125" style="4" customWidth="1"/>
    <col min="2" max="2" width="38.375" style="0" customWidth="1"/>
    <col min="3" max="3" width="9.00390625" style="0" customWidth="1"/>
    <col min="4" max="4" width="15.25390625" style="0" customWidth="1"/>
    <col min="5" max="5" width="13.00390625" style="0" customWidth="1"/>
    <col min="6" max="6" width="14.25390625" style="3" customWidth="1"/>
    <col min="7" max="7" width="13.125" style="3" customWidth="1"/>
    <col min="8" max="8" width="14.75390625" style="3" hidden="1" customWidth="1"/>
    <col min="9" max="9" width="31.625" style="20" customWidth="1"/>
    <col min="10" max="10" width="15.875" style="0" customWidth="1"/>
    <col min="11" max="11" width="12.00390625" style="0" customWidth="1"/>
    <col min="12" max="16384" width="11.375" style="0" customWidth="1"/>
  </cols>
  <sheetData>
    <row r="1" spans="1:9" ht="12.75">
      <c r="A1" s="8"/>
      <c r="B1" s="8"/>
      <c r="D1" s="14" t="s">
        <v>36</v>
      </c>
      <c r="F1"/>
      <c r="G1"/>
      <c r="H1"/>
      <c r="I1"/>
    </row>
    <row r="2" spans="1:9" ht="12.75">
      <c r="A2" s="8"/>
      <c r="B2" s="8"/>
      <c r="D2" s="14" t="s">
        <v>247</v>
      </c>
      <c r="F2"/>
      <c r="G2"/>
      <c r="H2"/>
      <c r="I2"/>
    </row>
    <row r="3" spans="1:9" ht="12.75">
      <c r="A3" s="10"/>
      <c r="B3" s="8"/>
      <c r="D3" s="14" t="s">
        <v>229</v>
      </c>
      <c r="F3"/>
      <c r="G3"/>
      <c r="H3"/>
      <c r="I3" s="76"/>
    </row>
    <row r="4" spans="1:22" ht="12.75" customHeight="1">
      <c r="A4" s="5"/>
      <c r="D4" s="11"/>
      <c r="E4" s="11"/>
      <c r="F4" s="11"/>
      <c r="G4" s="11"/>
      <c r="H4" s="11" t="s">
        <v>148</v>
      </c>
      <c r="I4" s="89"/>
      <c r="K4">
        <v>744</v>
      </c>
      <c r="L4">
        <v>672</v>
      </c>
      <c r="M4">
        <v>744</v>
      </c>
      <c r="N4">
        <v>719</v>
      </c>
      <c r="O4">
        <v>744</v>
      </c>
      <c r="P4">
        <v>720</v>
      </c>
      <c r="Q4">
        <v>744</v>
      </c>
      <c r="R4">
        <v>744</v>
      </c>
      <c r="S4">
        <v>720</v>
      </c>
      <c r="T4">
        <v>745</v>
      </c>
      <c r="U4">
        <v>720</v>
      </c>
      <c r="V4">
        <v>744</v>
      </c>
    </row>
    <row r="5" spans="1:9" ht="12.75">
      <c r="A5" s="5" t="s">
        <v>0</v>
      </c>
      <c r="D5" s="57" t="s">
        <v>209</v>
      </c>
      <c r="E5" s="11"/>
      <c r="F5" s="57" t="s">
        <v>228</v>
      </c>
      <c r="G5" s="57"/>
      <c r="H5" s="57" t="s">
        <v>146</v>
      </c>
      <c r="I5" s="90"/>
    </row>
    <row r="6" spans="1:22" ht="12.75">
      <c r="A6" s="49" t="s">
        <v>1</v>
      </c>
      <c r="D6" s="15" t="s">
        <v>2</v>
      </c>
      <c r="E6" s="1" t="s">
        <v>3</v>
      </c>
      <c r="F6" s="15" t="s">
        <v>205</v>
      </c>
      <c r="G6" s="15"/>
      <c r="H6" s="15" t="s">
        <v>147</v>
      </c>
      <c r="I6" s="93" t="s">
        <v>129</v>
      </c>
      <c r="J6" s="85" t="s">
        <v>37</v>
      </c>
      <c r="K6" s="51">
        <v>38717</v>
      </c>
      <c r="L6" s="51">
        <v>38748</v>
      </c>
      <c r="M6" s="51">
        <v>38776</v>
      </c>
      <c r="N6" s="51">
        <v>38807</v>
      </c>
      <c r="O6" s="51">
        <v>38837</v>
      </c>
      <c r="P6" s="51">
        <v>38868</v>
      </c>
      <c r="Q6" s="51">
        <v>38898</v>
      </c>
      <c r="R6" s="51">
        <v>38929</v>
      </c>
      <c r="S6" s="51">
        <v>38960</v>
      </c>
      <c r="T6" s="51">
        <v>38990</v>
      </c>
      <c r="U6" s="51">
        <v>39021</v>
      </c>
      <c r="V6" s="51">
        <v>39051</v>
      </c>
    </row>
    <row r="7" spans="1:9" ht="12.75">
      <c r="A7" s="5"/>
      <c r="B7" s="7" t="s">
        <v>4</v>
      </c>
      <c r="D7" s="9"/>
      <c r="E7" s="12"/>
      <c r="F7" s="9"/>
      <c r="G7" s="9"/>
      <c r="H7" s="9"/>
      <c r="I7" s="19"/>
    </row>
    <row r="8" spans="1:22" ht="12.75">
      <c r="A8" s="5">
        <f aca="true" t="shared" si="0" ref="A8:A15">A7+1</f>
        <v>1</v>
      </c>
      <c r="B8" t="s">
        <v>203</v>
      </c>
      <c r="D8" s="18">
        <v>0</v>
      </c>
      <c r="E8" s="18">
        <f aca="true" t="shared" si="1" ref="E8:E14">F8-D8</f>
        <v>20683.8104317981</v>
      </c>
      <c r="F8" s="18">
        <f>'WGJ-4'!C13/1000</f>
        <v>20683.8104317981</v>
      </c>
      <c r="G8" s="18"/>
      <c r="H8" s="18">
        <v>20917.01898142919</v>
      </c>
      <c r="I8" s="101" t="s">
        <v>141</v>
      </c>
      <c r="J8" s="3">
        <f>SUM(K8:V8)/1000</f>
        <v>20683.8104317981</v>
      </c>
      <c r="K8" s="60">
        <f>'WGJ-4'!D13</f>
        <v>3345940.7446289062</v>
      </c>
      <c r="L8" s="60">
        <f>'WGJ-4'!E13</f>
        <v>1630150.5529785156</v>
      </c>
      <c r="M8" s="60">
        <f>'WGJ-4'!F13</f>
        <v>1070314.5231056213</v>
      </c>
      <c r="N8" s="60">
        <f>'WGJ-4'!G13</f>
        <v>796541.2971264124</v>
      </c>
      <c r="O8" s="60">
        <f>'WGJ-4'!H13</f>
        <v>299126.9708251953</v>
      </c>
      <c r="P8" s="60">
        <f>'WGJ-4'!I13</f>
        <v>239304.63762283325</v>
      </c>
      <c r="Q8" s="60">
        <f>'WGJ-4'!J13</f>
        <v>745307.0453619957</v>
      </c>
      <c r="R8" s="60">
        <f>'WGJ-4'!K13</f>
        <v>3124945.866546631</v>
      </c>
      <c r="S8" s="60">
        <f>'WGJ-4'!L13</f>
        <v>1374033.2627868652</v>
      </c>
      <c r="T8" s="60">
        <f>'WGJ-4'!M13</f>
        <v>3094984.0838623047</v>
      </c>
      <c r="U8" s="60">
        <f>'WGJ-4'!N13</f>
        <v>2088678.7379455569</v>
      </c>
      <c r="V8" s="60">
        <f>'WGJ-4'!O13</f>
        <v>2874482.709007263</v>
      </c>
    </row>
    <row r="9" spans="1:22" ht="12.75">
      <c r="A9" s="5">
        <f t="shared" si="0"/>
        <v>2</v>
      </c>
      <c r="B9" t="s">
        <v>210</v>
      </c>
      <c r="D9" s="19">
        <v>148407</v>
      </c>
      <c r="E9" s="19">
        <f t="shared" si="1"/>
        <v>-148407</v>
      </c>
      <c r="F9" s="19">
        <v>0</v>
      </c>
      <c r="G9" s="18"/>
      <c r="H9" s="18"/>
      <c r="I9" s="101"/>
      <c r="J9" s="3">
        <f>SUM(K9:V9)/1000</f>
        <v>0</v>
      </c>
      <c r="K9" s="60">
        <v>0</v>
      </c>
      <c r="L9" s="60">
        <v>0</v>
      </c>
      <c r="M9" s="60">
        <v>0</v>
      </c>
      <c r="N9" s="60">
        <v>0</v>
      </c>
      <c r="O9" s="60"/>
      <c r="P9" s="60"/>
      <c r="Q9" s="60"/>
      <c r="R9" s="60"/>
      <c r="S9" s="60"/>
      <c r="T9" s="60"/>
      <c r="U9" s="60"/>
      <c r="V9" s="60"/>
    </row>
    <row r="10" spans="1:22" ht="12.75">
      <c r="A10" s="5">
        <f t="shared" si="0"/>
        <v>3</v>
      </c>
      <c r="B10" t="s">
        <v>220</v>
      </c>
      <c r="D10" s="19">
        <v>0</v>
      </c>
      <c r="E10" s="19">
        <f t="shared" si="1"/>
        <v>55</v>
      </c>
      <c r="F10" s="95">
        <v>55</v>
      </c>
      <c r="G10" s="18"/>
      <c r="H10" s="18"/>
      <c r="I10" s="101"/>
      <c r="J10" s="3">
        <f>SUM(K10:V10)/1000</f>
        <v>55.2522169189458</v>
      </c>
      <c r="K10" s="60">
        <v>18175.071354916385</v>
      </c>
      <c r="L10" s="60">
        <v>17448.068500719724</v>
      </c>
      <c r="M10" s="60">
        <v>19629.07706330969</v>
      </c>
      <c r="N10" s="60"/>
      <c r="O10" s="60"/>
      <c r="P10" s="60"/>
      <c r="Q10" s="60"/>
      <c r="R10" s="60"/>
      <c r="S10" s="60"/>
      <c r="T10" s="60"/>
      <c r="U10" s="60"/>
      <c r="V10" s="60"/>
    </row>
    <row r="11" spans="1:22" ht="12.75">
      <c r="A11" s="5">
        <f t="shared" si="0"/>
        <v>4</v>
      </c>
      <c r="B11" t="s">
        <v>5</v>
      </c>
      <c r="D11" s="19">
        <v>2068</v>
      </c>
      <c r="E11" s="19">
        <f t="shared" si="1"/>
        <v>120</v>
      </c>
      <c r="F11" s="97">
        <v>2188</v>
      </c>
      <c r="G11" s="22"/>
      <c r="H11" s="22">
        <v>1916</v>
      </c>
      <c r="I11" s="19"/>
      <c r="J11" s="3">
        <f>SUM(K11:V11)/1000</f>
        <v>2187.9999999999995</v>
      </c>
      <c r="K11" s="59">
        <f>$F11/12*1000</f>
        <v>182333.33333333334</v>
      </c>
      <c r="L11" s="59">
        <f aca="true" t="shared" si="2" ref="L11:V11">$F11/12*1000</f>
        <v>182333.33333333334</v>
      </c>
      <c r="M11" s="59">
        <f t="shared" si="2"/>
        <v>182333.33333333334</v>
      </c>
      <c r="N11" s="59">
        <f t="shared" si="2"/>
        <v>182333.33333333334</v>
      </c>
      <c r="O11" s="59">
        <f t="shared" si="2"/>
        <v>182333.33333333334</v>
      </c>
      <c r="P11" s="59">
        <f t="shared" si="2"/>
        <v>182333.33333333334</v>
      </c>
      <c r="Q11" s="59">
        <f t="shared" si="2"/>
        <v>182333.33333333334</v>
      </c>
      <c r="R11" s="59">
        <f t="shared" si="2"/>
        <v>182333.33333333334</v>
      </c>
      <c r="S11" s="59">
        <f t="shared" si="2"/>
        <v>182333.33333333334</v>
      </c>
      <c r="T11" s="59">
        <f t="shared" si="2"/>
        <v>182333.33333333334</v>
      </c>
      <c r="U11" s="59">
        <f t="shared" si="2"/>
        <v>182333.33333333334</v>
      </c>
      <c r="V11" s="59">
        <f t="shared" si="2"/>
        <v>182333.33333333334</v>
      </c>
    </row>
    <row r="12" spans="1:22" ht="12.75">
      <c r="A12" s="5">
        <f t="shared" si="0"/>
        <v>5</v>
      </c>
      <c r="B12" t="s">
        <v>6</v>
      </c>
      <c r="D12" s="19">
        <v>5406</v>
      </c>
      <c r="E12" s="19">
        <f t="shared" si="1"/>
        <v>-5406</v>
      </c>
      <c r="F12" s="19">
        <v>0</v>
      </c>
      <c r="G12" s="100"/>
      <c r="H12" s="19">
        <v>3534</v>
      </c>
      <c r="I12" s="19"/>
      <c r="J12" s="3">
        <f aca="true" t="shared" si="3" ref="J12:J39">SUM(K12:V12)/1000</f>
        <v>0</v>
      </c>
      <c r="K12" s="59">
        <f>$F12/12*1000</f>
        <v>0</v>
      </c>
      <c r="L12" s="59">
        <f aca="true" t="shared" si="4" ref="L12:V12">$F12/12*1000</f>
        <v>0</v>
      </c>
      <c r="M12" s="59">
        <f t="shared" si="4"/>
        <v>0</v>
      </c>
      <c r="N12" s="59">
        <f t="shared" si="4"/>
        <v>0</v>
      </c>
      <c r="O12" s="59">
        <f t="shared" si="4"/>
        <v>0</v>
      </c>
      <c r="P12" s="59">
        <f t="shared" si="4"/>
        <v>0</v>
      </c>
      <c r="Q12" s="59">
        <f t="shared" si="4"/>
        <v>0</v>
      </c>
      <c r="R12" s="59">
        <f t="shared" si="4"/>
        <v>0</v>
      </c>
      <c r="S12" s="59">
        <f t="shared" si="4"/>
        <v>0</v>
      </c>
      <c r="T12" s="59">
        <f t="shared" si="4"/>
        <v>0</v>
      </c>
      <c r="U12" s="59">
        <f t="shared" si="4"/>
        <v>0</v>
      </c>
      <c r="V12" s="59">
        <f t="shared" si="4"/>
        <v>0</v>
      </c>
    </row>
    <row r="13" spans="1:22" ht="12.75">
      <c r="A13" s="5">
        <f t="shared" si="0"/>
        <v>6</v>
      </c>
      <c r="B13" t="s">
        <v>230</v>
      </c>
      <c r="D13" s="19">
        <v>1311</v>
      </c>
      <c r="E13" s="19">
        <f t="shared" si="1"/>
        <v>8536</v>
      </c>
      <c r="F13" s="97">
        <v>9847</v>
      </c>
      <c r="G13" s="22"/>
      <c r="H13" s="22">
        <v>1177</v>
      </c>
      <c r="I13" s="19"/>
      <c r="J13" s="3">
        <f>SUM(K13:V13)/1000</f>
        <v>9847</v>
      </c>
      <c r="K13" s="59">
        <f aca="true" t="shared" si="5" ref="K13:V13">$F13/12*1000</f>
        <v>820583.3333333334</v>
      </c>
      <c r="L13" s="59">
        <f t="shared" si="5"/>
        <v>820583.3333333334</v>
      </c>
      <c r="M13" s="59">
        <f t="shared" si="5"/>
        <v>820583.3333333334</v>
      </c>
      <c r="N13" s="59">
        <f t="shared" si="5"/>
        <v>820583.3333333334</v>
      </c>
      <c r="O13" s="59">
        <f t="shared" si="5"/>
        <v>820583.3333333334</v>
      </c>
      <c r="P13" s="59">
        <f t="shared" si="5"/>
        <v>820583.3333333334</v>
      </c>
      <c r="Q13" s="59">
        <f t="shared" si="5"/>
        <v>820583.3333333334</v>
      </c>
      <c r="R13" s="59">
        <f t="shared" si="5"/>
        <v>820583.3333333334</v>
      </c>
      <c r="S13" s="59">
        <f t="shared" si="5"/>
        <v>820583.3333333334</v>
      </c>
      <c r="T13" s="59">
        <f t="shared" si="5"/>
        <v>820583.3333333334</v>
      </c>
      <c r="U13" s="59">
        <f t="shared" si="5"/>
        <v>820583.3333333334</v>
      </c>
      <c r="V13" s="59">
        <f t="shared" si="5"/>
        <v>820583.3333333334</v>
      </c>
    </row>
    <row r="14" spans="1:22" ht="12.75">
      <c r="A14" s="5">
        <f t="shared" si="0"/>
        <v>7</v>
      </c>
      <c r="B14" t="s">
        <v>195</v>
      </c>
      <c r="D14" s="95">
        <v>4858</v>
      </c>
      <c r="E14" s="19">
        <f t="shared" si="1"/>
        <v>2824.0999999999976</v>
      </c>
      <c r="F14" s="95">
        <f>Index!C52/1000</f>
        <v>7682.099999999998</v>
      </c>
      <c r="G14" s="100" t="s">
        <v>140</v>
      </c>
      <c r="H14" s="19">
        <v>0</v>
      </c>
      <c r="I14" s="100" t="s">
        <v>163</v>
      </c>
      <c r="J14" s="3">
        <f t="shared" si="3"/>
        <v>7682.0999999999985</v>
      </c>
      <c r="K14" s="59">
        <f>Index!D52</f>
        <v>923673.5842856764</v>
      </c>
      <c r="L14" s="59">
        <f>Index!E52</f>
        <v>679988.7340277331</v>
      </c>
      <c r="M14" s="59">
        <f>Index!F52</f>
        <v>571572.1925384479</v>
      </c>
      <c r="N14" s="59">
        <f>Index!G52</f>
        <v>563387.2214380074</v>
      </c>
      <c r="O14" s="59">
        <f>Index!H52</f>
        <v>532015.5425649304</v>
      </c>
      <c r="P14" s="59">
        <f>Index!I52</f>
        <v>612792.4851117467</v>
      </c>
      <c r="Q14" s="59">
        <f>Index!J52</f>
        <v>726479.4210764014</v>
      </c>
      <c r="R14" s="59">
        <f>Index!K52</f>
        <v>573614.3210988179</v>
      </c>
      <c r="S14" s="59">
        <f>Index!L52</f>
        <v>506170.08490408136</v>
      </c>
      <c r="T14" s="59">
        <f>Index!M52</f>
        <v>583566.0293412668</v>
      </c>
      <c r="U14" s="59">
        <f>Index!N52</f>
        <v>623085.300162018</v>
      </c>
      <c r="V14" s="59">
        <f>Index!O52</f>
        <v>785755.083450871</v>
      </c>
    </row>
    <row r="15" spans="1:22" ht="12.75">
      <c r="A15" s="5">
        <f t="shared" si="0"/>
        <v>8</v>
      </c>
      <c r="B15" t="s">
        <v>138</v>
      </c>
      <c r="D15" s="95">
        <v>5552</v>
      </c>
      <c r="E15" s="95">
        <f aca="true" t="shared" si="6" ref="E15:E25">F15-D15</f>
        <v>-219</v>
      </c>
      <c r="F15" s="97">
        <v>5333</v>
      </c>
      <c r="G15" s="97"/>
      <c r="H15" s="97">
        <v>13906</v>
      </c>
      <c r="I15" s="19"/>
      <c r="J15" s="3">
        <f t="shared" si="3"/>
        <v>5332.787</v>
      </c>
      <c r="K15" s="59">
        <v>391202</v>
      </c>
      <c r="L15" s="59">
        <v>369035</v>
      </c>
      <c r="M15" s="59">
        <v>378590</v>
      </c>
      <c r="N15" s="59">
        <v>497239</v>
      </c>
      <c r="O15" s="59">
        <v>514508</v>
      </c>
      <c r="P15" s="59">
        <v>432329</v>
      </c>
      <c r="Q15" s="59">
        <v>502993</v>
      </c>
      <c r="R15" s="59">
        <v>427580</v>
      </c>
      <c r="S15" s="59">
        <v>424069</v>
      </c>
      <c r="T15" s="59">
        <v>442781</v>
      </c>
      <c r="U15" s="59">
        <v>458672</v>
      </c>
      <c r="V15" s="59">
        <v>493789</v>
      </c>
    </row>
    <row r="16" spans="1:22" ht="12.75">
      <c r="A16" s="5">
        <f aca="true" t="shared" si="7" ref="A16:A39">A15+1</f>
        <v>9</v>
      </c>
      <c r="B16" t="s">
        <v>137</v>
      </c>
      <c r="D16" s="95">
        <v>497</v>
      </c>
      <c r="E16" s="95">
        <f t="shared" si="6"/>
        <v>155</v>
      </c>
      <c r="F16" s="97">
        <v>652</v>
      </c>
      <c r="G16" s="97"/>
      <c r="H16" s="97">
        <v>5512</v>
      </c>
      <c r="I16" s="19"/>
      <c r="J16" s="3">
        <f t="shared" si="3"/>
        <v>651.8732990575329</v>
      </c>
      <c r="K16" s="59">
        <v>37101.07977525548</v>
      </c>
      <c r="L16" s="59">
        <v>34151.64048621239</v>
      </c>
      <c r="M16" s="59">
        <v>50626.824752215165</v>
      </c>
      <c r="N16" s="59">
        <v>73717.53860966915</v>
      </c>
      <c r="O16" s="59">
        <v>95786.82235036192</v>
      </c>
      <c r="P16" s="59">
        <v>98947.723811504</v>
      </c>
      <c r="Q16" s="59">
        <v>75645.55015016063</v>
      </c>
      <c r="R16" s="59">
        <v>58529.37206306142</v>
      </c>
      <c r="S16" s="59">
        <v>30654.529043789258</v>
      </c>
      <c r="T16" s="59">
        <v>36397.42786441533</v>
      </c>
      <c r="U16" s="59">
        <v>30153.999654922147</v>
      </c>
      <c r="V16" s="59">
        <v>30160.79049596607</v>
      </c>
    </row>
    <row r="17" spans="1:22" ht="12.75">
      <c r="A17" s="5">
        <f t="shared" si="7"/>
        <v>10</v>
      </c>
      <c r="B17" t="s">
        <v>244</v>
      </c>
      <c r="D17" s="95">
        <v>0</v>
      </c>
      <c r="E17" s="95">
        <f t="shared" si="6"/>
        <v>21331</v>
      </c>
      <c r="F17" s="97">
        <v>21331</v>
      </c>
      <c r="G17" s="97"/>
      <c r="H17" s="97"/>
      <c r="I17" s="19"/>
      <c r="J17" s="3">
        <f t="shared" si="3"/>
        <v>21331.477</v>
      </c>
      <c r="K17" s="59">
        <v>1777623.0833333333</v>
      </c>
      <c r="L17" s="59">
        <v>1777623.0833333333</v>
      </c>
      <c r="M17" s="59">
        <v>1777623.0833333333</v>
      </c>
      <c r="N17" s="59">
        <v>1777623.0833333333</v>
      </c>
      <c r="O17" s="59">
        <v>1777623.0833333333</v>
      </c>
      <c r="P17" s="59">
        <v>1777623.0833333333</v>
      </c>
      <c r="Q17" s="59">
        <v>1777623.0833333333</v>
      </c>
      <c r="R17" s="59">
        <v>1777623.0833333333</v>
      </c>
      <c r="S17" s="59">
        <v>1777623.0833333333</v>
      </c>
      <c r="T17" s="59">
        <v>1777623.0833333333</v>
      </c>
      <c r="U17" s="59">
        <v>1777623.0833333333</v>
      </c>
      <c r="V17" s="59">
        <v>1777623.0833333333</v>
      </c>
    </row>
    <row r="18" spans="1:22" ht="12.75">
      <c r="A18" s="5">
        <f t="shared" si="7"/>
        <v>11</v>
      </c>
      <c r="B18" t="s">
        <v>243</v>
      </c>
      <c r="D18" s="95">
        <v>0</v>
      </c>
      <c r="E18" s="95">
        <f t="shared" si="6"/>
        <v>2995.3437262250736</v>
      </c>
      <c r="F18" s="97">
        <f>('WGJ-4'!C33*1.97)/1000</f>
        <v>2995.3437262250736</v>
      </c>
      <c r="G18" s="97"/>
      <c r="H18" s="97"/>
      <c r="I18" s="19"/>
      <c r="J18" s="3">
        <f t="shared" si="3"/>
        <v>2995.343726225073</v>
      </c>
      <c r="K18" s="59">
        <f>'WGJ-4'!D33*1.97</f>
        <v>275360.87135927734</v>
      </c>
      <c r="L18" s="59">
        <f>'WGJ-4'!E33*1.97</f>
        <v>256605.87491484376</v>
      </c>
      <c r="M18" s="59">
        <f>'WGJ-4'!F33*1.97</f>
        <v>267672.1940655273</v>
      </c>
      <c r="N18" s="59">
        <f>'WGJ-4'!G33*1.97</f>
        <v>163499.82556562498</v>
      </c>
      <c r="O18" s="59">
        <f>'WGJ-4'!H33*1.97</f>
        <v>54046.13046364746</v>
      </c>
      <c r="P18" s="59">
        <f>'WGJ-4'!I33*1.97</f>
        <v>91264.94242841795</v>
      </c>
      <c r="Q18" s="59">
        <f>'WGJ-4'!J33*1.97</f>
        <v>270413.0587785156</v>
      </c>
      <c r="R18" s="59">
        <f>'WGJ-4'!K33*1.97</f>
        <v>320522.90675625</v>
      </c>
      <c r="S18" s="59">
        <f>'WGJ-4'!L33*1.97</f>
        <v>305651.791071875</v>
      </c>
      <c r="T18" s="59">
        <f>'WGJ-4'!M33*1.97</f>
        <v>330565.94551718753</v>
      </c>
      <c r="U18" s="59">
        <f>'WGJ-4'!N33*1.97</f>
        <v>337928.79127499997</v>
      </c>
      <c r="V18" s="59">
        <f>'WGJ-4'!O33*1.97</f>
        <v>321811.39402890624</v>
      </c>
    </row>
    <row r="19" spans="1:22" ht="12.75">
      <c r="A19" s="5">
        <f t="shared" si="7"/>
        <v>12</v>
      </c>
      <c r="B19" t="s">
        <v>7</v>
      </c>
      <c r="D19" s="95">
        <v>12553</v>
      </c>
      <c r="E19" s="19">
        <f t="shared" si="6"/>
        <v>3110</v>
      </c>
      <c r="F19" s="95">
        <v>15663</v>
      </c>
      <c r="G19" s="19" t="s">
        <v>218</v>
      </c>
      <c r="H19" s="19">
        <v>-2690</v>
      </c>
      <c r="I19" s="102" t="s">
        <v>219</v>
      </c>
      <c r="J19" s="3">
        <f t="shared" si="3"/>
        <v>15663.019063331738</v>
      </c>
      <c r="K19" s="60">
        <v>3201813.8264844897</v>
      </c>
      <c r="L19" s="60">
        <v>2891960.9264066657</v>
      </c>
      <c r="M19" s="60">
        <v>1580569.3935101859</v>
      </c>
      <c r="N19" s="60">
        <v>1529583.345088861</v>
      </c>
      <c r="O19" s="60"/>
      <c r="P19" s="60"/>
      <c r="Q19" s="60"/>
      <c r="R19" s="60"/>
      <c r="S19" s="60"/>
      <c r="T19" s="60"/>
      <c r="U19" s="60">
        <v>3176602.475991991</v>
      </c>
      <c r="V19" s="60">
        <v>3282489.0958495466</v>
      </c>
    </row>
    <row r="20" spans="1:22" ht="12.75">
      <c r="A20" s="5">
        <f t="shared" si="7"/>
        <v>13</v>
      </c>
      <c r="B20" t="s">
        <v>8</v>
      </c>
      <c r="D20" s="19">
        <v>7</v>
      </c>
      <c r="E20" s="19">
        <f t="shared" si="6"/>
        <v>0</v>
      </c>
      <c r="F20" s="19">
        <v>7</v>
      </c>
      <c r="G20" s="19"/>
      <c r="H20" s="19">
        <v>6679.5</v>
      </c>
      <c r="I20" s="19"/>
      <c r="J20" s="3">
        <f t="shared" si="3"/>
        <v>6.999999999999999</v>
      </c>
      <c r="K20" s="59">
        <f aca="true" t="shared" si="8" ref="K20:V20">$F20/12*1000</f>
        <v>583.3333333333334</v>
      </c>
      <c r="L20" s="59">
        <f t="shared" si="8"/>
        <v>583.3333333333334</v>
      </c>
      <c r="M20" s="59">
        <f t="shared" si="8"/>
        <v>583.3333333333334</v>
      </c>
      <c r="N20" s="59">
        <f t="shared" si="8"/>
        <v>583.3333333333334</v>
      </c>
      <c r="O20" s="59">
        <f t="shared" si="8"/>
        <v>583.3333333333334</v>
      </c>
      <c r="P20" s="59">
        <f t="shared" si="8"/>
        <v>583.3333333333334</v>
      </c>
      <c r="Q20" s="59">
        <f t="shared" si="8"/>
        <v>583.3333333333334</v>
      </c>
      <c r="R20" s="59">
        <f t="shared" si="8"/>
        <v>583.3333333333334</v>
      </c>
      <c r="S20" s="59">
        <f t="shared" si="8"/>
        <v>583.3333333333334</v>
      </c>
      <c r="T20" s="59">
        <f t="shared" si="8"/>
        <v>583.3333333333334</v>
      </c>
      <c r="U20" s="59">
        <f t="shared" si="8"/>
        <v>583.3333333333334</v>
      </c>
      <c r="V20" s="59">
        <f t="shared" si="8"/>
        <v>583.3333333333334</v>
      </c>
    </row>
    <row r="21" spans="1:22" ht="12.75">
      <c r="A21" s="5">
        <f t="shared" si="7"/>
        <v>14</v>
      </c>
      <c r="B21" t="s">
        <v>154</v>
      </c>
      <c r="D21" s="19">
        <v>1125</v>
      </c>
      <c r="E21" s="19">
        <f t="shared" si="6"/>
        <v>32</v>
      </c>
      <c r="F21" s="97">
        <v>1157</v>
      </c>
      <c r="G21" s="97"/>
      <c r="H21" s="97">
        <v>6132</v>
      </c>
      <c r="I21" s="19"/>
      <c r="J21" s="3">
        <f t="shared" si="3"/>
        <v>1156.89</v>
      </c>
      <c r="K21" s="59">
        <v>121812</v>
      </c>
      <c r="L21" s="59">
        <v>130197</v>
      </c>
      <c r="M21" s="59">
        <v>129525</v>
      </c>
      <c r="N21" s="59">
        <v>133469</v>
      </c>
      <c r="O21" s="59">
        <v>117674</v>
      </c>
      <c r="P21" s="59">
        <v>118527</v>
      </c>
      <c r="Q21" s="59">
        <v>87674</v>
      </c>
      <c r="R21" s="59">
        <v>44859</v>
      </c>
      <c r="S21" s="59">
        <v>44308</v>
      </c>
      <c r="T21" s="59">
        <v>51569</v>
      </c>
      <c r="U21" s="59">
        <v>77829</v>
      </c>
      <c r="V21" s="59">
        <v>99447</v>
      </c>
    </row>
    <row r="22" spans="1:22" ht="12.75">
      <c r="A22" s="5">
        <f t="shared" si="7"/>
        <v>15</v>
      </c>
      <c r="B22" t="s">
        <v>184</v>
      </c>
      <c r="D22" s="19">
        <v>1964</v>
      </c>
      <c r="E22" s="19">
        <f t="shared" si="6"/>
        <v>181</v>
      </c>
      <c r="F22" s="95">
        <v>2145</v>
      </c>
      <c r="G22" s="95"/>
      <c r="H22" s="95">
        <v>6132</v>
      </c>
      <c r="I22" s="102" t="s">
        <v>144</v>
      </c>
      <c r="J22" s="3">
        <f t="shared" si="3"/>
        <v>2145</v>
      </c>
      <c r="K22" s="59">
        <f>$F22/12*1000</f>
        <v>178750</v>
      </c>
      <c r="L22" s="59">
        <f aca="true" t="shared" si="9" ref="L22:V22">$F22/12*1000</f>
        <v>178750</v>
      </c>
      <c r="M22" s="59">
        <f t="shared" si="9"/>
        <v>178750</v>
      </c>
      <c r="N22" s="59">
        <f t="shared" si="9"/>
        <v>178750</v>
      </c>
      <c r="O22" s="59">
        <f t="shared" si="9"/>
        <v>178750</v>
      </c>
      <c r="P22" s="59">
        <f t="shared" si="9"/>
        <v>178750</v>
      </c>
      <c r="Q22" s="59">
        <f t="shared" si="9"/>
        <v>178750</v>
      </c>
      <c r="R22" s="59">
        <f t="shared" si="9"/>
        <v>178750</v>
      </c>
      <c r="S22" s="59">
        <f t="shared" si="9"/>
        <v>178750</v>
      </c>
      <c r="T22" s="59">
        <f t="shared" si="9"/>
        <v>178750</v>
      </c>
      <c r="U22" s="59">
        <f t="shared" si="9"/>
        <v>178750</v>
      </c>
      <c r="V22" s="59">
        <f t="shared" si="9"/>
        <v>178750</v>
      </c>
    </row>
    <row r="23" spans="1:22" ht="12.75">
      <c r="A23" s="5">
        <f t="shared" si="7"/>
        <v>16</v>
      </c>
      <c r="B23" t="s">
        <v>9</v>
      </c>
      <c r="D23" s="19">
        <v>1790</v>
      </c>
      <c r="E23" s="19">
        <f t="shared" si="6"/>
        <v>300</v>
      </c>
      <c r="F23" s="95">
        <v>2090</v>
      </c>
      <c r="G23" s="19" t="s">
        <v>218</v>
      </c>
      <c r="H23" s="19">
        <v>6953.25</v>
      </c>
      <c r="I23" s="19"/>
      <c r="J23" s="3">
        <f t="shared" si="3"/>
        <v>2090</v>
      </c>
      <c r="K23" s="59">
        <f>$F23*0.11*1000</f>
        <v>229900</v>
      </c>
      <c r="L23" s="59">
        <f>$F23*0.1*1000</f>
        <v>209000</v>
      </c>
      <c r="M23" s="59">
        <f>$F23*0.1*1000</f>
        <v>209000</v>
      </c>
      <c r="N23" s="59">
        <f>$F23*0.12*1000</f>
        <v>250799.99999999997</v>
      </c>
      <c r="O23" s="59">
        <f>$F23*0.12*1000</f>
        <v>250799.99999999997</v>
      </c>
      <c r="P23" s="59">
        <f>$F23*0.12*1000</f>
        <v>250799.99999999997</v>
      </c>
      <c r="Q23" s="59">
        <f>$F23*0.07*1000</f>
        <v>146300</v>
      </c>
      <c r="R23" s="59">
        <f>$F23*0*1000</f>
        <v>0</v>
      </c>
      <c r="S23" s="59">
        <f>$F23*0.02*1000</f>
        <v>41800.00000000001</v>
      </c>
      <c r="T23" s="59">
        <f>$F23*0.04*1000</f>
        <v>83600.00000000001</v>
      </c>
      <c r="U23" s="59">
        <f>$F23*0.08*1000</f>
        <v>167200.00000000003</v>
      </c>
      <c r="V23" s="59">
        <f>$F23*0.12*1000</f>
        <v>250799.99999999997</v>
      </c>
    </row>
    <row r="24" spans="1:22" ht="12.75">
      <c r="A24" s="5">
        <f t="shared" si="7"/>
        <v>17</v>
      </c>
      <c r="B24" t="s">
        <v>170</v>
      </c>
      <c r="D24" s="19">
        <v>1648</v>
      </c>
      <c r="E24" s="19">
        <f t="shared" si="6"/>
        <v>-1648</v>
      </c>
      <c r="F24" s="19">
        <v>0</v>
      </c>
      <c r="G24" s="19"/>
      <c r="H24" s="19">
        <v>0</v>
      </c>
      <c r="I24" s="100" t="s">
        <v>143</v>
      </c>
      <c r="J24" s="3">
        <f t="shared" si="3"/>
        <v>0</v>
      </c>
      <c r="K24" s="59">
        <f>$F24/12*1000</f>
        <v>0</v>
      </c>
      <c r="L24" s="59">
        <f aca="true" t="shared" si="10" ref="L24:V25">$F24/12*1000</f>
        <v>0</v>
      </c>
      <c r="M24" s="59">
        <f t="shared" si="10"/>
        <v>0</v>
      </c>
      <c r="N24" s="59">
        <f t="shared" si="10"/>
        <v>0</v>
      </c>
      <c r="O24" s="59">
        <f t="shared" si="10"/>
        <v>0</v>
      </c>
      <c r="P24" s="59">
        <f t="shared" si="10"/>
        <v>0</v>
      </c>
      <c r="Q24" s="59">
        <f t="shared" si="10"/>
        <v>0</v>
      </c>
      <c r="R24" s="59">
        <f t="shared" si="10"/>
        <v>0</v>
      </c>
      <c r="S24" s="59">
        <f t="shared" si="10"/>
        <v>0</v>
      </c>
      <c r="T24" s="59">
        <f t="shared" si="10"/>
        <v>0</v>
      </c>
      <c r="U24" s="59">
        <f t="shared" si="10"/>
        <v>0</v>
      </c>
      <c r="V24" s="59">
        <f t="shared" si="10"/>
        <v>0</v>
      </c>
    </row>
    <row r="25" spans="1:22" ht="12.75">
      <c r="A25" s="5">
        <f t="shared" si="7"/>
        <v>18</v>
      </c>
      <c r="B25" t="s">
        <v>171</v>
      </c>
      <c r="D25" s="19">
        <v>1699</v>
      </c>
      <c r="E25" s="19">
        <f t="shared" si="6"/>
        <v>-1699</v>
      </c>
      <c r="F25" s="19">
        <v>0</v>
      </c>
      <c r="G25" s="19"/>
      <c r="H25" s="19"/>
      <c r="I25" s="100"/>
      <c r="J25" s="3">
        <f t="shared" si="3"/>
        <v>0</v>
      </c>
      <c r="K25" s="59">
        <f>$F25/12*1000</f>
        <v>0</v>
      </c>
      <c r="L25" s="59">
        <f t="shared" si="10"/>
        <v>0</v>
      </c>
      <c r="M25" s="59">
        <f t="shared" si="10"/>
        <v>0</v>
      </c>
      <c r="N25" s="59">
        <f t="shared" si="10"/>
        <v>0</v>
      </c>
      <c r="O25" s="59">
        <f t="shared" si="10"/>
        <v>0</v>
      </c>
      <c r="P25" s="59">
        <f t="shared" si="10"/>
        <v>0</v>
      </c>
      <c r="Q25" s="59">
        <f t="shared" si="10"/>
        <v>0</v>
      </c>
      <c r="R25" s="59">
        <f t="shared" si="10"/>
        <v>0</v>
      </c>
      <c r="S25" s="59">
        <f t="shared" si="10"/>
        <v>0</v>
      </c>
      <c r="T25" s="59">
        <f t="shared" si="10"/>
        <v>0</v>
      </c>
      <c r="U25" s="59">
        <f t="shared" si="10"/>
        <v>0</v>
      </c>
      <c r="V25" s="59">
        <f t="shared" si="10"/>
        <v>0</v>
      </c>
    </row>
    <row r="26" spans="1:22" ht="12.75">
      <c r="A26" s="5">
        <f t="shared" si="7"/>
        <v>19</v>
      </c>
      <c r="B26" t="s">
        <v>32</v>
      </c>
      <c r="D26" s="19">
        <v>144</v>
      </c>
      <c r="E26" s="19">
        <f aca="true" t="shared" si="11" ref="E26:E39">F26-D26</f>
        <v>40.353952015838644</v>
      </c>
      <c r="F26" s="95">
        <f>Index!C19/1000</f>
        <v>184.35395201583864</v>
      </c>
      <c r="G26" s="98" t="s">
        <v>140</v>
      </c>
      <c r="H26" s="95">
        <v>4</v>
      </c>
      <c r="I26" s="100" t="s">
        <v>140</v>
      </c>
      <c r="J26" s="3">
        <f t="shared" si="3"/>
        <v>184.35395201583864</v>
      </c>
      <c r="K26" s="59"/>
      <c r="L26" s="59"/>
      <c r="M26" s="59"/>
      <c r="N26" s="59"/>
      <c r="O26" s="59"/>
      <c r="P26" s="59"/>
      <c r="Q26" s="59"/>
      <c r="R26" s="59"/>
      <c r="S26" s="59"/>
      <c r="T26" s="59">
        <f>F26*1000</f>
        <v>184353.95201583864</v>
      </c>
      <c r="U26" s="59"/>
      <c r="V26" s="59"/>
    </row>
    <row r="27" spans="1:22" ht="12.75">
      <c r="A27" s="5">
        <f t="shared" si="7"/>
        <v>20</v>
      </c>
      <c r="B27" t="s">
        <v>57</v>
      </c>
      <c r="D27" s="19">
        <v>-242</v>
      </c>
      <c r="E27" s="19">
        <f t="shared" si="11"/>
        <v>242</v>
      </c>
      <c r="F27" s="19">
        <v>0</v>
      </c>
      <c r="G27" s="19"/>
      <c r="H27" s="19">
        <v>921</v>
      </c>
      <c r="I27" s="100" t="s">
        <v>128</v>
      </c>
      <c r="J27" s="3">
        <f t="shared" si="3"/>
        <v>0</v>
      </c>
      <c r="K27" s="59">
        <f aca="true" t="shared" si="12" ref="K27:V27">$F27/12</f>
        <v>0</v>
      </c>
      <c r="L27" s="59">
        <f t="shared" si="12"/>
        <v>0</v>
      </c>
      <c r="M27" s="59">
        <f t="shared" si="12"/>
        <v>0</v>
      </c>
      <c r="N27" s="59">
        <f t="shared" si="12"/>
        <v>0</v>
      </c>
      <c r="O27" s="59">
        <f t="shared" si="12"/>
        <v>0</v>
      </c>
      <c r="P27" s="59">
        <f t="shared" si="12"/>
        <v>0</v>
      </c>
      <c r="Q27" s="59">
        <f t="shared" si="12"/>
        <v>0</v>
      </c>
      <c r="R27" s="59">
        <f t="shared" si="12"/>
        <v>0</v>
      </c>
      <c r="S27" s="59">
        <f t="shared" si="12"/>
        <v>0</v>
      </c>
      <c r="T27" s="59">
        <f t="shared" si="12"/>
        <v>0</v>
      </c>
      <c r="U27" s="59">
        <f t="shared" si="12"/>
        <v>0</v>
      </c>
      <c r="V27" s="59">
        <f t="shared" si="12"/>
        <v>0</v>
      </c>
    </row>
    <row r="28" spans="1:22" ht="12.75">
      <c r="A28" s="5">
        <f t="shared" si="7"/>
        <v>21</v>
      </c>
      <c r="B28" t="s">
        <v>152</v>
      </c>
      <c r="D28" s="19">
        <v>6808</v>
      </c>
      <c r="E28" s="19">
        <f t="shared" si="11"/>
        <v>-19</v>
      </c>
      <c r="F28" s="19">
        <v>6789</v>
      </c>
      <c r="G28" s="23">
        <f aca="true" t="shared" si="13" ref="G28:G34">F28/25/8760*1000</f>
        <v>31</v>
      </c>
      <c r="H28" s="19">
        <v>1589</v>
      </c>
      <c r="I28" s="19"/>
      <c r="J28" s="3">
        <f t="shared" si="3"/>
        <v>6789</v>
      </c>
      <c r="K28" s="59">
        <f>25*K$4*31</f>
        <v>576600</v>
      </c>
      <c r="L28" s="59">
        <f aca="true" t="shared" si="14" ref="L28:V28">25*L$4*31</f>
        <v>520800</v>
      </c>
      <c r="M28" s="59">
        <f t="shared" si="14"/>
        <v>576600</v>
      </c>
      <c r="N28" s="59">
        <f t="shared" si="14"/>
        <v>557225</v>
      </c>
      <c r="O28" s="59">
        <f t="shared" si="14"/>
        <v>576600</v>
      </c>
      <c r="P28" s="59">
        <f t="shared" si="14"/>
        <v>558000</v>
      </c>
      <c r="Q28" s="59">
        <f t="shared" si="14"/>
        <v>576600</v>
      </c>
      <c r="R28" s="59">
        <f t="shared" si="14"/>
        <v>576600</v>
      </c>
      <c r="S28" s="59">
        <f t="shared" si="14"/>
        <v>558000</v>
      </c>
      <c r="T28" s="59">
        <f t="shared" si="14"/>
        <v>577375</v>
      </c>
      <c r="U28" s="59">
        <f t="shared" si="14"/>
        <v>558000</v>
      </c>
      <c r="V28" s="59">
        <f t="shared" si="14"/>
        <v>576600</v>
      </c>
    </row>
    <row r="29" spans="1:22" ht="12.75">
      <c r="A29" s="5">
        <f t="shared" si="7"/>
        <v>22</v>
      </c>
      <c r="B29" t="s">
        <v>153</v>
      </c>
      <c r="D29" s="95">
        <v>6764</v>
      </c>
      <c r="E29" s="19">
        <f t="shared" si="11"/>
        <v>-19</v>
      </c>
      <c r="F29" s="19">
        <v>6745</v>
      </c>
      <c r="G29" s="23">
        <f t="shared" si="13"/>
        <v>30.799086757990867</v>
      </c>
      <c r="H29" s="19"/>
      <c r="I29" s="19"/>
      <c r="J29" s="3">
        <f t="shared" si="3"/>
        <v>6745.2</v>
      </c>
      <c r="K29" s="59">
        <f>25*K$4*30.8</f>
        <v>572880</v>
      </c>
      <c r="L29" s="59">
        <f aca="true" t="shared" si="15" ref="L29:V29">25*L$4*30.8</f>
        <v>517440</v>
      </c>
      <c r="M29" s="59">
        <f t="shared" si="15"/>
        <v>572880</v>
      </c>
      <c r="N29" s="59">
        <f t="shared" si="15"/>
        <v>553630</v>
      </c>
      <c r="O29" s="59">
        <f t="shared" si="15"/>
        <v>572880</v>
      </c>
      <c r="P29" s="59">
        <f t="shared" si="15"/>
        <v>554400</v>
      </c>
      <c r="Q29" s="59">
        <f t="shared" si="15"/>
        <v>572880</v>
      </c>
      <c r="R29" s="59">
        <f t="shared" si="15"/>
        <v>572880</v>
      </c>
      <c r="S29" s="59">
        <f t="shared" si="15"/>
        <v>554400</v>
      </c>
      <c r="T29" s="59">
        <f t="shared" si="15"/>
        <v>573650</v>
      </c>
      <c r="U29" s="59">
        <f t="shared" si="15"/>
        <v>554400</v>
      </c>
      <c r="V29" s="59">
        <f t="shared" si="15"/>
        <v>572880</v>
      </c>
    </row>
    <row r="30" spans="1:22" ht="12.75">
      <c r="A30" s="5">
        <f t="shared" si="7"/>
        <v>23</v>
      </c>
      <c r="B30" t="s">
        <v>133</v>
      </c>
      <c r="D30" s="19">
        <v>6675</v>
      </c>
      <c r="E30" s="19">
        <f t="shared" si="11"/>
        <v>-17</v>
      </c>
      <c r="F30" s="19">
        <v>6658</v>
      </c>
      <c r="G30" s="23">
        <f t="shared" si="13"/>
        <v>30.40182648401826</v>
      </c>
      <c r="H30" s="19">
        <v>2003</v>
      </c>
      <c r="I30" s="19"/>
      <c r="J30" s="3">
        <f t="shared" si="3"/>
        <v>6657.6</v>
      </c>
      <c r="K30" s="59">
        <f>25*K$4*30.4</f>
        <v>565440</v>
      </c>
      <c r="L30" s="59">
        <f aca="true" t="shared" si="16" ref="L30:V30">25*L$4*30.4</f>
        <v>510720</v>
      </c>
      <c r="M30" s="59">
        <f t="shared" si="16"/>
        <v>565440</v>
      </c>
      <c r="N30" s="59">
        <f t="shared" si="16"/>
        <v>546440</v>
      </c>
      <c r="O30" s="59">
        <f t="shared" si="16"/>
        <v>565440</v>
      </c>
      <c r="P30" s="59">
        <f t="shared" si="16"/>
        <v>547200</v>
      </c>
      <c r="Q30" s="59">
        <f t="shared" si="16"/>
        <v>565440</v>
      </c>
      <c r="R30" s="59">
        <f t="shared" si="16"/>
        <v>565440</v>
      </c>
      <c r="S30" s="59">
        <f t="shared" si="16"/>
        <v>547200</v>
      </c>
      <c r="T30" s="59">
        <f t="shared" si="16"/>
        <v>566200</v>
      </c>
      <c r="U30" s="59">
        <f t="shared" si="16"/>
        <v>547200</v>
      </c>
      <c r="V30" s="59">
        <f t="shared" si="16"/>
        <v>565440</v>
      </c>
    </row>
    <row r="31" spans="1:22" ht="12.75">
      <c r="A31" s="5">
        <f t="shared" si="7"/>
        <v>24</v>
      </c>
      <c r="B31" t="s">
        <v>134</v>
      </c>
      <c r="D31" s="19">
        <v>7576</v>
      </c>
      <c r="E31" s="19">
        <f t="shared" si="11"/>
        <v>-20</v>
      </c>
      <c r="F31" s="19">
        <v>7556</v>
      </c>
      <c r="G31" s="23">
        <f t="shared" si="13"/>
        <v>34.50228310502283</v>
      </c>
      <c r="H31" s="19">
        <v>0</v>
      </c>
      <c r="I31" s="19"/>
      <c r="J31" s="3">
        <f t="shared" si="3"/>
        <v>7555.5</v>
      </c>
      <c r="K31" s="59">
        <f>25*K4*34.5</f>
        <v>641700</v>
      </c>
      <c r="L31" s="59">
        <f aca="true" t="shared" si="17" ref="L31:V31">25*L4*34.5</f>
        <v>579600</v>
      </c>
      <c r="M31" s="59">
        <f t="shared" si="17"/>
        <v>641700</v>
      </c>
      <c r="N31" s="59">
        <f t="shared" si="17"/>
        <v>620137.5</v>
      </c>
      <c r="O31" s="59">
        <f t="shared" si="17"/>
        <v>641700</v>
      </c>
      <c r="P31" s="59">
        <f t="shared" si="17"/>
        <v>621000</v>
      </c>
      <c r="Q31" s="59">
        <f t="shared" si="17"/>
        <v>641700</v>
      </c>
      <c r="R31" s="59">
        <f t="shared" si="17"/>
        <v>641700</v>
      </c>
      <c r="S31" s="59">
        <f t="shared" si="17"/>
        <v>621000</v>
      </c>
      <c r="T31" s="59">
        <f t="shared" si="17"/>
        <v>642562.5</v>
      </c>
      <c r="U31" s="59">
        <f t="shared" si="17"/>
        <v>621000</v>
      </c>
      <c r="V31" s="59">
        <f t="shared" si="17"/>
        <v>641700</v>
      </c>
    </row>
    <row r="32" spans="1:22" ht="12.75">
      <c r="A32" s="5">
        <f t="shared" si="7"/>
        <v>25</v>
      </c>
      <c r="B32" t="s">
        <v>162</v>
      </c>
      <c r="D32" s="19">
        <v>387</v>
      </c>
      <c r="E32" s="19">
        <f t="shared" si="11"/>
        <v>-387</v>
      </c>
      <c r="F32" s="19">
        <v>0</v>
      </c>
      <c r="G32" s="23">
        <f t="shared" si="13"/>
        <v>0</v>
      </c>
      <c r="H32" s="19"/>
      <c r="I32" s="19"/>
      <c r="J32" s="3">
        <f t="shared" si="3"/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</row>
    <row r="33" spans="1:22" ht="12.75">
      <c r="A33" s="5">
        <f t="shared" si="7"/>
        <v>26</v>
      </c>
      <c r="B33" t="s">
        <v>211</v>
      </c>
      <c r="D33" s="19">
        <v>1867</v>
      </c>
      <c r="E33" s="19">
        <f t="shared" si="11"/>
        <v>-1867</v>
      </c>
      <c r="F33" s="19">
        <v>0</v>
      </c>
      <c r="G33" s="19">
        <f t="shared" si="13"/>
        <v>0</v>
      </c>
      <c r="H33" s="19"/>
      <c r="I33" s="19"/>
      <c r="J33" s="3">
        <f t="shared" si="3"/>
        <v>0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ht="12.75">
      <c r="A34" s="5">
        <f t="shared" si="7"/>
        <v>27</v>
      </c>
      <c r="B34" t="s">
        <v>172</v>
      </c>
      <c r="D34" s="19">
        <v>3236</v>
      </c>
      <c r="E34" s="19">
        <f t="shared" si="11"/>
        <v>-3236</v>
      </c>
      <c r="F34" s="19">
        <v>0</v>
      </c>
      <c r="G34" s="19">
        <f t="shared" si="13"/>
        <v>0</v>
      </c>
      <c r="H34" s="19"/>
      <c r="I34" s="19"/>
      <c r="J34" s="3">
        <f t="shared" si="3"/>
        <v>0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ht="12.75">
      <c r="A35" s="5">
        <f t="shared" si="7"/>
        <v>28</v>
      </c>
      <c r="B35" t="s">
        <v>131</v>
      </c>
      <c r="D35" s="19">
        <v>18439</v>
      </c>
      <c r="E35" s="19">
        <f t="shared" si="11"/>
        <v>-18439</v>
      </c>
      <c r="F35" s="19">
        <v>0</v>
      </c>
      <c r="G35" s="19"/>
      <c r="H35" s="19">
        <v>441.6874758376757</v>
      </c>
      <c r="I35" s="19"/>
      <c r="J35" s="3">
        <f t="shared" si="3"/>
        <v>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ht="12.75">
      <c r="A36" s="5">
        <f t="shared" si="7"/>
        <v>29</v>
      </c>
      <c r="B36" t="s">
        <v>212</v>
      </c>
      <c r="D36" s="19">
        <v>1500</v>
      </c>
      <c r="E36" s="19">
        <f t="shared" si="11"/>
        <v>0</v>
      </c>
      <c r="F36" s="19">
        <v>1500</v>
      </c>
      <c r="G36" s="19"/>
      <c r="H36" s="19"/>
      <c r="I36" s="19"/>
      <c r="J36" s="3">
        <f t="shared" si="3"/>
        <v>1499.73757</v>
      </c>
      <c r="K36" s="59">
        <v>0</v>
      </c>
      <c r="L36" s="59">
        <v>0</v>
      </c>
      <c r="M36" s="59">
        <v>0</v>
      </c>
      <c r="N36" s="59">
        <v>0</v>
      </c>
      <c r="O36" s="59">
        <v>585409.69</v>
      </c>
      <c r="P36" s="59">
        <v>562854.6</v>
      </c>
      <c r="Q36" s="59">
        <v>351473.28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</row>
    <row r="37" spans="1:22" ht="12.75">
      <c r="A37" s="5">
        <f t="shared" si="7"/>
        <v>30</v>
      </c>
      <c r="B37" t="s">
        <v>176</v>
      </c>
      <c r="D37" s="19">
        <v>670</v>
      </c>
      <c r="E37" s="19">
        <f t="shared" si="11"/>
        <v>-670</v>
      </c>
      <c r="F37" s="19">
        <v>0</v>
      </c>
      <c r="G37" s="19"/>
      <c r="H37" s="19"/>
      <c r="I37" s="19"/>
      <c r="J37" s="3">
        <f t="shared" si="3"/>
        <v>0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ht="12.75">
      <c r="A38" s="5">
        <f t="shared" si="7"/>
        <v>31</v>
      </c>
      <c r="B38" s="17" t="s">
        <v>227</v>
      </c>
      <c r="C38" s="17"/>
      <c r="D38" s="42">
        <v>3424</v>
      </c>
      <c r="E38" s="42">
        <f t="shared" si="11"/>
        <v>-99</v>
      </c>
      <c r="F38" s="96">
        <v>3325</v>
      </c>
      <c r="G38" s="95" t="s">
        <v>213</v>
      </c>
      <c r="H38" s="95">
        <v>0</v>
      </c>
      <c r="I38" s="19" t="s">
        <v>139</v>
      </c>
      <c r="J38" s="91">
        <f t="shared" si="3"/>
        <v>3324.712361132813</v>
      </c>
      <c r="K38" s="82">
        <v>289642.91113281256</v>
      </c>
      <c r="L38" s="82">
        <v>225574.44443359377</v>
      </c>
      <c r="M38" s="82">
        <v>338901.91113281256</v>
      </c>
      <c r="N38" s="82">
        <v>297460.8</v>
      </c>
      <c r="O38" s="82">
        <v>287672.5555664063</v>
      </c>
      <c r="P38" s="82">
        <v>340840.5</v>
      </c>
      <c r="Q38" s="82">
        <v>281268.8944335938</v>
      </c>
      <c r="R38" s="82">
        <v>281761.4888671875</v>
      </c>
      <c r="S38" s="82">
        <v>236443.2</v>
      </c>
      <c r="T38" s="82">
        <v>263043.0555664063</v>
      </c>
      <c r="U38" s="82">
        <v>270288.9</v>
      </c>
      <c r="V38" s="82">
        <v>211813.7</v>
      </c>
    </row>
    <row r="39" spans="1:22" ht="12.75">
      <c r="A39" s="5">
        <f t="shared" si="7"/>
        <v>32</v>
      </c>
      <c r="B39" t="s">
        <v>10</v>
      </c>
      <c r="D39" s="95">
        <f>SUM(D8:D38)</f>
        <v>246133</v>
      </c>
      <c r="E39" s="19">
        <f t="shared" si="11"/>
        <v>-121546.39188996097</v>
      </c>
      <c r="F39" s="19">
        <f>SUM(F8:F38)</f>
        <v>124586.60811003903</v>
      </c>
      <c r="G39" s="19"/>
      <c r="H39" s="19">
        <v>0</v>
      </c>
      <c r="I39" s="19"/>
      <c r="J39" s="3">
        <f t="shared" si="3"/>
        <v>124585.65662048002</v>
      </c>
      <c r="K39" s="27">
        <f>SUM(K8:K38)</f>
        <v>14151115.172354668</v>
      </c>
      <c r="L39" s="27">
        <f aca="true" t="shared" si="18" ref="L39:V39">SUM(L8:L38)</f>
        <v>11532545.325081619</v>
      </c>
      <c r="M39" s="27">
        <f t="shared" si="18"/>
        <v>9932894.199501453</v>
      </c>
      <c r="N39" s="27">
        <f t="shared" si="18"/>
        <v>9543003.61116191</v>
      </c>
      <c r="O39" s="27">
        <f t="shared" si="18"/>
        <v>8053532.795103874</v>
      </c>
      <c r="P39" s="27">
        <f t="shared" si="18"/>
        <v>7988133.972307834</v>
      </c>
      <c r="Q39" s="27">
        <f t="shared" si="18"/>
        <v>8504047.333134001</v>
      </c>
      <c r="R39" s="27">
        <f t="shared" si="18"/>
        <v>10148306.038665282</v>
      </c>
      <c r="S39" s="27">
        <f t="shared" si="18"/>
        <v>8203602.951139944</v>
      </c>
      <c r="T39" s="27">
        <f t="shared" si="18"/>
        <v>10390521.077500751</v>
      </c>
      <c r="U39" s="27">
        <f t="shared" si="18"/>
        <v>12470912.288362822</v>
      </c>
      <c r="V39" s="27">
        <f t="shared" si="18"/>
        <v>13667041.856165888</v>
      </c>
    </row>
    <row r="40" spans="1:10" ht="12.75">
      <c r="A40" s="5"/>
      <c r="E40" s="19"/>
      <c r="F40" s="19"/>
      <c r="G40" s="19"/>
      <c r="H40" s="42">
        <v>3186</v>
      </c>
      <c r="I40" s="19"/>
      <c r="J40" s="3"/>
    </row>
    <row r="41" spans="1:10" ht="12.75">
      <c r="A41" s="5"/>
      <c r="B41" s="7" t="s">
        <v>30</v>
      </c>
      <c r="D41" s="19"/>
      <c r="E41" s="19"/>
      <c r="F41" s="19"/>
      <c r="G41" s="19"/>
      <c r="H41" s="19">
        <v>0</v>
      </c>
      <c r="I41" s="19"/>
      <c r="J41" s="3"/>
    </row>
    <row r="42" spans="1:22" ht="12.75">
      <c r="A42" s="5">
        <f>A39+1</f>
        <v>33</v>
      </c>
      <c r="B42" t="s">
        <v>15</v>
      </c>
      <c r="D42" s="95">
        <v>104</v>
      </c>
      <c r="E42" s="95">
        <f>F42-D42</f>
        <v>0</v>
      </c>
      <c r="F42" s="95">
        <v>104</v>
      </c>
      <c r="G42" s="95"/>
      <c r="H42" s="96">
        <v>150</v>
      </c>
      <c r="I42" s="19"/>
      <c r="J42" s="3">
        <f>SUM(K42:V42)/1000</f>
        <v>104.00000000000001</v>
      </c>
      <c r="K42" s="59">
        <f>$F42/12*1000</f>
        <v>8666.666666666666</v>
      </c>
      <c r="L42" s="59">
        <f aca="true" t="shared" si="19" ref="L42:V42">$F42/12*1000</f>
        <v>8666.666666666666</v>
      </c>
      <c r="M42" s="59">
        <f t="shared" si="19"/>
        <v>8666.666666666666</v>
      </c>
      <c r="N42" s="59">
        <f t="shared" si="19"/>
        <v>8666.666666666666</v>
      </c>
      <c r="O42" s="59">
        <f t="shared" si="19"/>
        <v>8666.666666666666</v>
      </c>
      <c r="P42" s="59">
        <f t="shared" si="19"/>
        <v>8666.666666666666</v>
      </c>
      <c r="Q42" s="59">
        <f t="shared" si="19"/>
        <v>8666.666666666666</v>
      </c>
      <c r="R42" s="59">
        <f t="shared" si="19"/>
        <v>8666.666666666666</v>
      </c>
      <c r="S42" s="59">
        <f t="shared" si="19"/>
        <v>8666.666666666666</v>
      </c>
      <c r="T42" s="59">
        <f t="shared" si="19"/>
        <v>8666.666666666666</v>
      </c>
      <c r="U42" s="59">
        <f t="shared" si="19"/>
        <v>8666.666666666666</v>
      </c>
      <c r="V42" s="59">
        <f t="shared" si="19"/>
        <v>8666.666666666666</v>
      </c>
    </row>
    <row r="43" spans="1:22" ht="12.75">
      <c r="A43" s="5">
        <f>A42+1</f>
        <v>34</v>
      </c>
      <c r="B43" t="s">
        <v>177</v>
      </c>
      <c r="D43" s="95">
        <v>364</v>
      </c>
      <c r="E43" s="95">
        <f>F43-D43</f>
        <v>-14</v>
      </c>
      <c r="F43" s="95">
        <v>350</v>
      </c>
      <c r="G43" s="95"/>
      <c r="H43" s="95"/>
      <c r="I43" s="19"/>
      <c r="J43" s="3">
        <f>SUM(K43:V43)/1000</f>
        <v>350.4</v>
      </c>
      <c r="K43" s="59">
        <f>40*K4</f>
        <v>29760</v>
      </c>
      <c r="L43" s="59">
        <f aca="true" t="shared" si="20" ref="L43:V43">40*L4</f>
        <v>26880</v>
      </c>
      <c r="M43" s="59">
        <f t="shared" si="20"/>
        <v>29760</v>
      </c>
      <c r="N43" s="59">
        <f t="shared" si="20"/>
        <v>28760</v>
      </c>
      <c r="O43" s="59">
        <f t="shared" si="20"/>
        <v>29760</v>
      </c>
      <c r="P43" s="59">
        <f t="shared" si="20"/>
        <v>28800</v>
      </c>
      <c r="Q43" s="59">
        <f t="shared" si="20"/>
        <v>29760</v>
      </c>
      <c r="R43" s="59">
        <f t="shared" si="20"/>
        <v>29760</v>
      </c>
      <c r="S43" s="59">
        <f t="shared" si="20"/>
        <v>28800</v>
      </c>
      <c r="T43" s="59">
        <f t="shared" si="20"/>
        <v>29800</v>
      </c>
      <c r="U43" s="59">
        <f t="shared" si="20"/>
        <v>28800</v>
      </c>
      <c r="V43" s="59">
        <f t="shared" si="20"/>
        <v>29760</v>
      </c>
    </row>
    <row r="44" spans="1:22" ht="12.75">
      <c r="A44" s="5">
        <f>A43+1</f>
        <v>35</v>
      </c>
      <c r="B44" t="s">
        <v>214</v>
      </c>
      <c r="D44" s="95">
        <v>2728</v>
      </c>
      <c r="E44" s="95">
        <f>F44-D44</f>
        <v>-2728</v>
      </c>
      <c r="F44" s="95">
        <v>0</v>
      </c>
      <c r="G44" s="95"/>
      <c r="H44" s="95"/>
      <c r="I44" s="19"/>
      <c r="J44" s="3">
        <f>SUM(K44:V44)/1000</f>
        <v>0</v>
      </c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  <row r="45" spans="1:10" ht="12.75">
      <c r="A45" s="5">
        <f>A44+1</f>
        <v>36</v>
      </c>
      <c r="B45" s="17" t="s">
        <v>206</v>
      </c>
      <c r="C45" s="17"/>
      <c r="D45" s="19">
        <v>39075</v>
      </c>
      <c r="E45" s="42">
        <f>F45-D45</f>
        <v>-39075</v>
      </c>
      <c r="F45" s="19">
        <v>0</v>
      </c>
      <c r="G45" s="19"/>
      <c r="H45" s="19">
        <v>152</v>
      </c>
      <c r="I45" s="100" t="s">
        <v>142</v>
      </c>
      <c r="J45" s="3">
        <f>SUM(K45:V45)/1000</f>
        <v>0</v>
      </c>
    </row>
    <row r="46" spans="1:10" ht="12.75">
      <c r="A46" s="5">
        <f>A45+1</f>
        <v>37</v>
      </c>
      <c r="B46" t="s">
        <v>16</v>
      </c>
      <c r="D46" s="113">
        <f>SUM(D42:D45)</f>
        <v>42271</v>
      </c>
      <c r="E46" s="19">
        <f>F46-D46</f>
        <v>-41817</v>
      </c>
      <c r="F46" s="21">
        <f>SUM(F42:F45)</f>
        <v>454</v>
      </c>
      <c r="G46" s="19"/>
      <c r="H46" s="19"/>
      <c r="I46" s="19"/>
      <c r="J46" s="3"/>
    </row>
    <row r="47" spans="1:10" ht="12.75">
      <c r="A47" s="5"/>
      <c r="D47" s="19"/>
      <c r="E47" s="19"/>
      <c r="F47" s="19"/>
      <c r="G47" s="19"/>
      <c r="H47" s="19"/>
      <c r="I47" s="19"/>
      <c r="J47" s="3"/>
    </row>
    <row r="48" spans="1:10" ht="12.75">
      <c r="A48" s="5"/>
      <c r="B48" s="7" t="s">
        <v>54</v>
      </c>
      <c r="D48" s="19"/>
      <c r="E48" s="19"/>
      <c r="F48" s="19"/>
      <c r="G48" s="19"/>
      <c r="H48" s="19">
        <v>78</v>
      </c>
      <c r="I48" s="19"/>
      <c r="J48" s="3"/>
    </row>
    <row r="49" spans="1:22" ht="12.75">
      <c r="A49" s="5">
        <f>A46+1</f>
        <v>38</v>
      </c>
      <c r="B49" t="s">
        <v>51</v>
      </c>
      <c r="C49" s="13"/>
      <c r="D49" s="19">
        <v>7227</v>
      </c>
      <c r="E49" s="19">
        <f>F49-D49</f>
        <v>4878.315017089844</v>
      </c>
      <c r="F49" s="95">
        <f>'WGJ-4'!C27/1000</f>
        <v>12105.315017089844</v>
      </c>
      <c r="G49" s="95"/>
      <c r="H49" s="96">
        <v>0</v>
      </c>
      <c r="I49" s="100" t="s">
        <v>141</v>
      </c>
      <c r="J49" s="3">
        <f>SUM(K49:V49)/1000</f>
        <v>12105.315017089844</v>
      </c>
      <c r="K49" s="27">
        <f>'WGJ-4'!D27</f>
        <v>1283304.4372558594</v>
      </c>
      <c r="L49" s="27">
        <f>'WGJ-4'!E27</f>
        <v>1204534.6325683594</v>
      </c>
      <c r="M49" s="27">
        <f>'WGJ-4'!F27</f>
        <v>1318729.0539550781</v>
      </c>
      <c r="N49" s="27">
        <f>'WGJ-4'!G27</f>
        <v>304714.599609375</v>
      </c>
      <c r="O49" s="27">
        <f>'WGJ-4'!H27</f>
        <v>0</v>
      </c>
      <c r="P49" s="27">
        <f>'WGJ-4'!I27</f>
        <v>0</v>
      </c>
      <c r="Q49" s="27">
        <f>'WGJ-4'!J27</f>
        <v>1277898.6315917969</v>
      </c>
      <c r="R49" s="27">
        <f>'WGJ-4'!K27</f>
        <v>1367931.1596679688</v>
      </c>
      <c r="S49" s="27">
        <f>'WGJ-4'!L27</f>
        <v>1310093.2836914062</v>
      </c>
      <c r="T49" s="27">
        <f>'WGJ-4'!M27</f>
        <v>1374137.8198242188</v>
      </c>
      <c r="U49" s="27">
        <f>'WGJ-4'!N27</f>
        <v>1327531.005859375</v>
      </c>
      <c r="V49" s="27">
        <f>'WGJ-4'!O27</f>
        <v>1336440.3930664062</v>
      </c>
    </row>
    <row r="50" spans="1:22" ht="12.75">
      <c r="A50" s="5">
        <f>A49+1</f>
        <v>39</v>
      </c>
      <c r="B50" t="s">
        <v>246</v>
      </c>
      <c r="C50" s="13"/>
      <c r="D50" s="22">
        <v>23</v>
      </c>
      <c r="E50" s="19">
        <f>F50-D50</f>
        <v>0</v>
      </c>
      <c r="F50" s="19">
        <v>23</v>
      </c>
      <c r="G50" s="19"/>
      <c r="H50" s="19">
        <v>78</v>
      </c>
      <c r="I50" s="19"/>
      <c r="J50" s="3">
        <f>SUM(K50:V50)/1000</f>
        <v>22.979510000000005</v>
      </c>
      <c r="K50">
        <v>1914.9591666666665</v>
      </c>
      <c r="L50">
        <v>1914.9591666666665</v>
      </c>
      <c r="M50">
        <v>1914.9591666666665</v>
      </c>
      <c r="N50">
        <v>1914.9591666666665</v>
      </c>
      <c r="O50">
        <v>1914.9591666666665</v>
      </c>
      <c r="P50">
        <v>1914.9591666666665</v>
      </c>
      <c r="Q50">
        <v>1914.9591666666665</v>
      </c>
      <c r="R50">
        <v>1914.9591666666665</v>
      </c>
      <c r="S50">
        <v>1914.9591666666665</v>
      </c>
      <c r="T50">
        <v>1914.9591666666665</v>
      </c>
      <c r="U50">
        <v>1914.9591666666665</v>
      </c>
      <c r="V50">
        <v>1914.9591666666665</v>
      </c>
    </row>
    <row r="51" spans="1:22" ht="12.75">
      <c r="A51" s="5">
        <f>A50+1</f>
        <v>40</v>
      </c>
      <c r="B51" s="12" t="s">
        <v>52</v>
      </c>
      <c r="C51" s="11"/>
      <c r="D51" s="19">
        <v>17688</v>
      </c>
      <c r="E51" s="19">
        <f>F51-D51</f>
        <v>1397.4530404663092</v>
      </c>
      <c r="F51" s="95">
        <f>'WGJ-4'!C23/1000</f>
        <v>19085.45304046631</v>
      </c>
      <c r="G51" s="95"/>
      <c r="H51" s="95"/>
      <c r="I51" s="100" t="s">
        <v>141</v>
      </c>
      <c r="J51" s="3">
        <f>SUM(K51:V51)/1000</f>
        <v>19085.45304046631</v>
      </c>
      <c r="K51" s="87">
        <f>'WGJ-4'!D23</f>
        <v>1732740.6530761719</v>
      </c>
      <c r="L51" s="87">
        <f>'WGJ-4'!E23</f>
        <v>1585721.9580078125</v>
      </c>
      <c r="M51" s="87">
        <f>'WGJ-4'!F23</f>
        <v>1739533.2336425781</v>
      </c>
      <c r="N51" s="87">
        <f>'WGJ-4'!G23</f>
        <v>1564305.3955078125</v>
      </c>
      <c r="O51" s="87">
        <f>'WGJ-4'!H23</f>
        <v>1040924.3582153319</v>
      </c>
      <c r="P51" s="87">
        <f>'WGJ-4'!I23</f>
        <v>1078157.5787353516</v>
      </c>
      <c r="Q51" s="87">
        <f>'WGJ-4'!J23</f>
        <v>1727881.4978027344</v>
      </c>
      <c r="R51" s="87">
        <f>'WGJ-4'!K23</f>
        <v>1753996.8103027344</v>
      </c>
      <c r="S51" s="87">
        <f>'WGJ-4'!L23</f>
        <v>1698170.41015625</v>
      </c>
      <c r="T51" s="87">
        <f>'WGJ-4'!M23</f>
        <v>1739544.990234375</v>
      </c>
      <c r="U51" s="87">
        <f>'WGJ-4'!N23</f>
        <v>1698170.41015625</v>
      </c>
      <c r="V51" s="87">
        <f>'WGJ-4'!O23</f>
        <v>1726305.7446289062</v>
      </c>
    </row>
    <row r="52" spans="1:22" ht="12.75">
      <c r="A52" s="5">
        <f>A51+1</f>
        <v>41</v>
      </c>
      <c r="B52" s="17" t="s">
        <v>53</v>
      </c>
      <c r="C52" s="43"/>
      <c r="D52" s="44">
        <v>91</v>
      </c>
      <c r="E52" s="42">
        <f>F52-D52</f>
        <v>111</v>
      </c>
      <c r="F52" s="96">
        <v>202</v>
      </c>
      <c r="G52" s="19" t="s">
        <v>215</v>
      </c>
      <c r="H52" s="19"/>
      <c r="I52" s="19"/>
      <c r="J52" s="3">
        <f>SUM(K52:V52)/1000</f>
        <v>202.00000000000003</v>
      </c>
      <c r="K52" s="116">
        <f>$F52/12*1000</f>
        <v>16833.333333333332</v>
      </c>
      <c r="L52" s="116">
        <f aca="true" t="shared" si="21" ref="L52:V52">$F52/12*1000</f>
        <v>16833.333333333332</v>
      </c>
      <c r="M52" s="116">
        <f t="shared" si="21"/>
        <v>16833.333333333332</v>
      </c>
      <c r="N52" s="116">
        <f t="shared" si="21"/>
        <v>16833.333333333332</v>
      </c>
      <c r="O52" s="116">
        <f t="shared" si="21"/>
        <v>16833.333333333332</v>
      </c>
      <c r="P52" s="116">
        <f t="shared" si="21"/>
        <v>16833.333333333332</v>
      </c>
      <c r="Q52" s="116">
        <f t="shared" si="21"/>
        <v>16833.333333333332</v>
      </c>
      <c r="R52" s="116">
        <f t="shared" si="21"/>
        <v>16833.333333333332</v>
      </c>
      <c r="S52" s="116">
        <f t="shared" si="21"/>
        <v>16833.333333333332</v>
      </c>
      <c r="T52" s="116">
        <f t="shared" si="21"/>
        <v>16833.333333333332</v>
      </c>
      <c r="U52" s="116">
        <f t="shared" si="21"/>
        <v>16833.333333333332</v>
      </c>
      <c r="V52" s="116">
        <f t="shared" si="21"/>
        <v>16833.333333333332</v>
      </c>
    </row>
    <row r="53" spans="1:22" ht="12.75">
      <c r="A53" s="11">
        <f>A52+1</f>
        <v>42</v>
      </c>
      <c r="B53" t="s">
        <v>25</v>
      </c>
      <c r="D53" s="95">
        <f>SUM(D49:D52)</f>
        <v>25029</v>
      </c>
      <c r="E53" s="19">
        <f>F53-D53</f>
        <v>6386.7680575561535</v>
      </c>
      <c r="F53" s="19">
        <f>SUM(F49:F52)</f>
        <v>31415.768057556154</v>
      </c>
      <c r="G53" s="19"/>
      <c r="H53" s="19">
        <v>8095.468897496661</v>
      </c>
      <c r="I53" s="19"/>
      <c r="J53" s="3">
        <f>SUM(K53:V53)/1000</f>
        <v>31415.747567556155</v>
      </c>
      <c r="K53" s="27">
        <f>SUM(K49:K52)</f>
        <v>3034793.382832031</v>
      </c>
      <c r="L53" s="27">
        <f aca="true" t="shared" si="22" ref="L53:V53">SUM(L49:L52)</f>
        <v>2809004.883076172</v>
      </c>
      <c r="M53" s="27">
        <f t="shared" si="22"/>
        <v>3077010.580097656</v>
      </c>
      <c r="N53" s="27">
        <f t="shared" si="22"/>
        <v>1887768.2876171875</v>
      </c>
      <c r="O53" s="27">
        <f t="shared" si="22"/>
        <v>1059672.6507153318</v>
      </c>
      <c r="P53" s="27">
        <f t="shared" si="22"/>
        <v>1096905.8712353515</v>
      </c>
      <c r="Q53" s="27">
        <f t="shared" si="22"/>
        <v>3024528.421894531</v>
      </c>
      <c r="R53" s="27">
        <f t="shared" si="22"/>
        <v>3140676.262470703</v>
      </c>
      <c r="S53" s="27">
        <f t="shared" si="22"/>
        <v>3027011.986347656</v>
      </c>
      <c r="T53" s="27">
        <f t="shared" si="22"/>
        <v>3132431.1025585937</v>
      </c>
      <c r="U53" s="27">
        <f t="shared" si="22"/>
        <v>3044449.708515625</v>
      </c>
      <c r="V53" s="27">
        <f t="shared" si="22"/>
        <v>3081494.4301953125</v>
      </c>
    </row>
    <row r="54" spans="1:10" ht="12.75">
      <c r="A54" s="5"/>
      <c r="D54" s="19"/>
      <c r="E54" s="19"/>
      <c r="F54" s="19"/>
      <c r="G54" s="19"/>
      <c r="H54" s="19">
        <v>0</v>
      </c>
      <c r="I54" s="19"/>
      <c r="J54" s="3"/>
    </row>
    <row r="55" spans="1:10" ht="12.75">
      <c r="A55" s="5"/>
      <c r="B55" s="7" t="s">
        <v>55</v>
      </c>
      <c r="D55" s="19"/>
      <c r="E55" s="19"/>
      <c r="F55" s="19"/>
      <c r="G55" s="19"/>
      <c r="H55" s="19">
        <v>10682.990036010742</v>
      </c>
      <c r="I55" s="19"/>
      <c r="J55" s="3"/>
    </row>
    <row r="56" spans="1:22" ht="12.75">
      <c r="A56" s="5">
        <f>A53+1</f>
        <v>43</v>
      </c>
      <c r="B56" s="16" t="s">
        <v>67</v>
      </c>
      <c r="D56" s="95">
        <v>99105</v>
      </c>
      <c r="E56" s="19">
        <f aca="true" t="shared" si="23" ref="E56:E63">F56-D56</f>
        <v>-27854.093818828725</v>
      </c>
      <c r="F56" s="95">
        <f>'WGJ-4'!C31/1000</f>
        <v>71250.90618117127</v>
      </c>
      <c r="G56" s="95"/>
      <c r="H56" s="96">
        <v>188</v>
      </c>
      <c r="I56" s="100" t="s">
        <v>141</v>
      </c>
      <c r="J56" s="3">
        <f aca="true" t="shared" si="24" ref="J56:J63">SUM(K56:V56)/1000</f>
        <v>71250.90618117127</v>
      </c>
      <c r="K56" s="27">
        <f>'WGJ-4'!D31</f>
        <v>7077026.66349513</v>
      </c>
      <c r="L56" s="27">
        <f>'WGJ-4'!E31</f>
        <v>6515467.341446901</v>
      </c>
      <c r="M56" s="27">
        <f>'WGJ-4'!F31</f>
        <v>6707023.08387088</v>
      </c>
      <c r="N56" s="27">
        <f>'WGJ-4'!G31</f>
        <v>3660471.3196110325</v>
      </c>
      <c r="O56" s="27">
        <f>'WGJ-4'!H31</f>
        <v>1601782.5879935909</v>
      </c>
      <c r="P56" s="27">
        <f>'WGJ-4'!I31</f>
        <v>2164373.927233974</v>
      </c>
      <c r="Q56" s="27">
        <f>'WGJ-4'!J31</f>
        <v>6291005.47588767</v>
      </c>
      <c r="R56" s="27">
        <f>'WGJ-4'!K31</f>
        <v>7295317.850903572</v>
      </c>
      <c r="S56" s="27">
        <f>'WGJ-4'!L31</f>
        <v>6927250.197423209</v>
      </c>
      <c r="T56" s="27">
        <f>'WGJ-4'!M31</f>
        <v>7380953.819151063</v>
      </c>
      <c r="U56" s="27">
        <f>'WGJ-4'!N31</f>
        <v>7752987.735642609</v>
      </c>
      <c r="V56" s="27">
        <f>'WGJ-4'!O31</f>
        <v>7877246.178511631</v>
      </c>
    </row>
    <row r="57" spans="1:22" ht="12.75">
      <c r="A57" s="5">
        <f>A56+1</f>
        <v>44</v>
      </c>
      <c r="B57" s="16" t="s">
        <v>235</v>
      </c>
      <c r="D57" s="95">
        <v>5961</v>
      </c>
      <c r="E57" s="19">
        <f t="shared" si="23"/>
        <v>911</v>
      </c>
      <c r="F57" s="95">
        <v>6872</v>
      </c>
      <c r="G57" s="19"/>
      <c r="H57" s="19">
        <v>18966.458933507405</v>
      </c>
      <c r="I57" s="19"/>
      <c r="J57" s="3">
        <f t="shared" si="24"/>
        <v>6872.000000000001</v>
      </c>
      <c r="K57" s="88">
        <f>$F57/12*1000</f>
        <v>572666.6666666666</v>
      </c>
      <c r="L57" s="88">
        <f aca="true" t="shared" si="25" ref="L57:V57">$F57/12*1000</f>
        <v>572666.6666666666</v>
      </c>
      <c r="M57" s="88">
        <f t="shared" si="25"/>
        <v>572666.6666666666</v>
      </c>
      <c r="N57" s="88">
        <f t="shared" si="25"/>
        <v>572666.6666666666</v>
      </c>
      <c r="O57" s="88">
        <f t="shared" si="25"/>
        <v>572666.6666666666</v>
      </c>
      <c r="P57" s="88">
        <f t="shared" si="25"/>
        <v>572666.6666666666</v>
      </c>
      <c r="Q57" s="88">
        <f t="shared" si="25"/>
        <v>572666.6666666666</v>
      </c>
      <c r="R57" s="88">
        <f t="shared" si="25"/>
        <v>572666.6666666666</v>
      </c>
      <c r="S57" s="88">
        <f t="shared" si="25"/>
        <v>572666.6666666666</v>
      </c>
      <c r="T57" s="88">
        <f t="shared" si="25"/>
        <v>572666.6666666666</v>
      </c>
      <c r="U57" s="88">
        <f t="shared" si="25"/>
        <v>572666.6666666666</v>
      </c>
      <c r="V57" s="88">
        <f t="shared" si="25"/>
        <v>572666.6666666666</v>
      </c>
    </row>
    <row r="58" spans="1:22" ht="12.75">
      <c r="A58" s="5">
        <f aca="true" t="shared" si="26" ref="A58:A64">A57+1</f>
        <v>45</v>
      </c>
      <c r="B58" s="16" t="s">
        <v>234</v>
      </c>
      <c r="D58" s="95">
        <v>0</v>
      </c>
      <c r="E58" s="19">
        <f t="shared" si="23"/>
        <v>85522.75094853272</v>
      </c>
      <c r="F58" s="95">
        <f>'WGJ-4'!C35/1000</f>
        <v>85522.75094853272</v>
      </c>
      <c r="G58" s="19"/>
      <c r="H58" s="19"/>
      <c r="I58" s="19"/>
      <c r="J58" s="3">
        <f t="shared" si="24"/>
        <v>85522.75094853272</v>
      </c>
      <c r="K58" s="88">
        <f>'WGJ-4'!D35</f>
        <v>8506550.006192917</v>
      </c>
      <c r="L58" s="88">
        <f>'WGJ-4'!E35</f>
        <v>7818252.828053356</v>
      </c>
      <c r="M58" s="88">
        <f>'WGJ-4'!F35</f>
        <v>7888541.663315071</v>
      </c>
      <c r="N58" s="88">
        <f>'WGJ-4'!G35</f>
        <v>4354970.00865944</v>
      </c>
      <c r="O58" s="88">
        <f>'WGJ-4'!H35</f>
        <v>1449629.4962397285</v>
      </c>
      <c r="P58" s="88">
        <f>'WGJ-4'!I35</f>
        <v>2523596.8757889397</v>
      </c>
      <c r="Q58" s="88">
        <f>'WGJ-4'!J35</f>
        <v>7426694.910406788</v>
      </c>
      <c r="R58" s="88">
        <f>'WGJ-4'!K35</f>
        <v>8769383.544660913</v>
      </c>
      <c r="S58" s="88">
        <f>'WGJ-4'!L35</f>
        <v>8354342.713398435</v>
      </c>
      <c r="T58" s="88">
        <f>'WGJ-4'!M35</f>
        <v>9105106.067753214</v>
      </c>
      <c r="U58" s="88">
        <f>'WGJ-4'!N35</f>
        <v>9669941.518346535</v>
      </c>
      <c r="V58" s="88">
        <f>'WGJ-4'!O35</f>
        <v>9655741.315717382</v>
      </c>
    </row>
    <row r="59" spans="1:22" ht="12.75">
      <c r="A59" s="5">
        <f t="shared" si="26"/>
        <v>46</v>
      </c>
      <c r="B59" s="16" t="s">
        <v>236</v>
      </c>
      <c r="D59" s="95">
        <v>0</v>
      </c>
      <c r="E59" s="19">
        <f t="shared" si="23"/>
        <v>5897</v>
      </c>
      <c r="F59" s="95">
        <v>5897</v>
      </c>
      <c r="G59" s="19"/>
      <c r="H59" s="19"/>
      <c r="I59" s="19"/>
      <c r="J59" s="3">
        <f t="shared" si="24"/>
        <v>5897.027000000001</v>
      </c>
      <c r="K59" s="88">
        <v>491418.9166666667</v>
      </c>
      <c r="L59" s="88">
        <v>491418.9166666667</v>
      </c>
      <c r="M59" s="88">
        <v>491418.9166666667</v>
      </c>
      <c r="N59" s="88">
        <v>491418.9166666667</v>
      </c>
      <c r="O59" s="88">
        <v>491418.9166666667</v>
      </c>
      <c r="P59" s="88">
        <v>491418.9166666667</v>
      </c>
      <c r="Q59" s="88">
        <v>491418.9166666667</v>
      </c>
      <c r="R59" s="88">
        <v>491418.9166666667</v>
      </c>
      <c r="S59" s="88">
        <v>491418.9166666667</v>
      </c>
      <c r="T59" s="88">
        <v>491418.9166666667</v>
      </c>
      <c r="U59" s="88">
        <v>491418.9166666667</v>
      </c>
      <c r="V59" s="88">
        <v>491418.9166666667</v>
      </c>
    </row>
    <row r="60" spans="1:22" ht="12.75">
      <c r="A60" s="5">
        <f t="shared" si="26"/>
        <v>47</v>
      </c>
      <c r="B60" s="12" t="s">
        <v>71</v>
      </c>
      <c r="C60" s="12"/>
      <c r="D60" s="19">
        <v>616</v>
      </c>
      <c r="E60" s="19">
        <f t="shared" si="23"/>
        <v>-119.33638967048643</v>
      </c>
      <c r="F60" s="95">
        <f>'WGJ-4'!C47/1000</f>
        <v>496.6636103295136</v>
      </c>
      <c r="G60" s="95"/>
      <c r="H60" s="95"/>
      <c r="I60" s="100" t="s">
        <v>141</v>
      </c>
      <c r="J60" s="3">
        <f t="shared" si="24"/>
        <v>496.6636103295136</v>
      </c>
      <c r="K60" s="27">
        <f>'WGJ-4'!D47</f>
        <v>0</v>
      </c>
      <c r="L60" s="27">
        <f>'WGJ-4'!E47</f>
        <v>0</v>
      </c>
      <c r="M60" s="27">
        <f>'WGJ-4'!F47</f>
        <v>0</v>
      </c>
      <c r="N60" s="27">
        <f>'WGJ-4'!G47</f>
        <v>0</v>
      </c>
      <c r="O60" s="27">
        <f>'WGJ-4'!H47</f>
        <v>22190.152348327636</v>
      </c>
      <c r="P60" s="27">
        <f>'WGJ-4'!I47</f>
        <v>2721.9877784729006</v>
      </c>
      <c r="Q60" s="27">
        <f>'WGJ-4'!J47</f>
        <v>213451.00885635376</v>
      </c>
      <c r="R60" s="27">
        <f>'WGJ-4'!K47</f>
        <v>251392.8617072296</v>
      </c>
      <c r="S60" s="27">
        <f>'WGJ-4'!L47</f>
        <v>1695.6620483398438</v>
      </c>
      <c r="T60" s="27">
        <f>'WGJ-4'!M47</f>
        <v>0</v>
      </c>
      <c r="U60" s="27">
        <f>'WGJ-4'!N47</f>
        <v>5211.937590789795</v>
      </c>
      <c r="V60" s="27">
        <f>'WGJ-4'!O47</f>
        <v>0</v>
      </c>
    </row>
    <row r="61" spans="1:22" ht="12.75">
      <c r="A61" s="5">
        <f t="shared" si="26"/>
        <v>48</v>
      </c>
      <c r="B61" t="s">
        <v>70</v>
      </c>
      <c r="D61" s="19">
        <v>277</v>
      </c>
      <c r="E61" s="19">
        <f t="shared" si="23"/>
        <v>-156.24207881950514</v>
      </c>
      <c r="F61" s="95">
        <f>'WGJ-4'!C51/1000</f>
        <v>120.75792118049488</v>
      </c>
      <c r="G61" s="95" t="s">
        <v>216</v>
      </c>
      <c r="H61" s="95"/>
      <c r="I61" s="100" t="s">
        <v>141</v>
      </c>
      <c r="J61" s="3">
        <f t="shared" si="24"/>
        <v>120.75792118049488</v>
      </c>
      <c r="K61" s="27">
        <f>'WGJ-4'!D51</f>
        <v>524.1572366622927</v>
      </c>
      <c r="L61" s="27">
        <f>'WGJ-4'!E51</f>
        <v>5741.443900297167</v>
      </c>
      <c r="M61" s="27">
        <f>'WGJ-4'!F51</f>
        <v>0</v>
      </c>
      <c r="N61" s="27">
        <f>'WGJ-4'!G51</f>
        <v>1348.2578337829589</v>
      </c>
      <c r="O61" s="27">
        <f>'WGJ-4'!H51</f>
        <v>5992.432668685913</v>
      </c>
      <c r="P61" s="27">
        <f>'WGJ-4'!I51</f>
        <v>1315.0788479194641</v>
      </c>
      <c r="Q61" s="27">
        <f>'WGJ-4'!J51</f>
        <v>44160.70738360748</v>
      </c>
      <c r="R61" s="27">
        <f>'WGJ-4'!K51</f>
        <v>59570.91842497483</v>
      </c>
      <c r="S61" s="27">
        <f>'WGJ-4'!L51</f>
        <v>105.33592414855957</v>
      </c>
      <c r="T61" s="27">
        <f>'WGJ-4'!M51</f>
        <v>544.0390165065766</v>
      </c>
      <c r="U61" s="27">
        <f>'WGJ-4'!N51</f>
        <v>1114.6310295944215</v>
      </c>
      <c r="V61" s="27">
        <f>'WGJ-4'!O51</f>
        <v>340.9189143152237</v>
      </c>
    </row>
    <row r="62" spans="1:22" ht="12.75">
      <c r="A62" s="5">
        <f t="shared" si="26"/>
        <v>49</v>
      </c>
      <c r="B62" t="s">
        <v>68</v>
      </c>
      <c r="D62" s="19">
        <v>2127</v>
      </c>
      <c r="E62" s="19">
        <f t="shared" si="23"/>
        <v>-2060.081927062571</v>
      </c>
      <c r="F62" s="95">
        <f>'WGJ-4'!C39/1000</f>
        <v>66.91807293742895</v>
      </c>
      <c r="G62" s="95"/>
      <c r="H62" s="95">
        <v>59394.36670457919</v>
      </c>
      <c r="I62" s="100" t="s">
        <v>141</v>
      </c>
      <c r="J62" s="3">
        <f t="shared" si="24"/>
        <v>66.91807293742895</v>
      </c>
      <c r="K62" s="27">
        <f>'WGJ-4'!D39</f>
        <v>63.496904373168945</v>
      </c>
      <c r="L62" s="27">
        <f>'WGJ-4'!E39</f>
        <v>549.0737190842628</v>
      </c>
      <c r="M62" s="27">
        <f>'WGJ-4'!F39</f>
        <v>25.294532775878906</v>
      </c>
      <c r="N62" s="27">
        <f>'WGJ-4'!G39</f>
        <v>95.54389297962189</v>
      </c>
      <c r="O62" s="27">
        <f>'WGJ-4'!H39</f>
        <v>4907.335634231567</v>
      </c>
      <c r="P62" s="27">
        <f>'WGJ-4'!I39</f>
        <v>388.7723422050476</v>
      </c>
      <c r="Q62" s="27">
        <f>'WGJ-4'!J39</f>
        <v>25843.799488544464</v>
      </c>
      <c r="R62" s="27">
        <f>'WGJ-4'!K39</f>
        <v>30470.379011631012</v>
      </c>
      <c r="S62" s="27">
        <f>'WGJ-4'!L39</f>
        <v>178.76408219337463</v>
      </c>
      <c r="T62" s="27">
        <f>'WGJ-4'!M39</f>
        <v>0</v>
      </c>
      <c r="U62" s="27">
        <f>'WGJ-4'!N39</f>
        <v>4395.613329410553</v>
      </c>
      <c r="V62" s="27">
        <f>'WGJ-4'!O39</f>
        <v>0</v>
      </c>
    </row>
    <row r="63" spans="1:22" ht="12.75">
      <c r="A63" s="5">
        <f t="shared" si="26"/>
        <v>50</v>
      </c>
      <c r="B63" s="112" t="s">
        <v>69</v>
      </c>
      <c r="C63" s="17"/>
      <c r="D63" s="42">
        <v>312</v>
      </c>
      <c r="E63" s="42">
        <f t="shared" si="23"/>
        <v>-220.21420526109637</v>
      </c>
      <c r="F63" s="96">
        <f>'WGJ-4'!C43/1000</f>
        <v>91.78579473890365</v>
      </c>
      <c r="G63" s="95"/>
      <c r="H63" s="95">
        <v>6240</v>
      </c>
      <c r="I63" s="100" t="s">
        <v>141</v>
      </c>
      <c r="J63" s="3">
        <f t="shared" si="24"/>
        <v>91.78579473890365</v>
      </c>
      <c r="K63" s="27">
        <f>'WGJ-4'!D43</f>
        <v>1960.8508533239365</v>
      </c>
      <c r="L63" s="27">
        <f>'WGJ-4'!E43</f>
        <v>5421.47540204227</v>
      </c>
      <c r="M63" s="27">
        <f>'WGJ-4'!F43</f>
        <v>577.1870861202478</v>
      </c>
      <c r="N63" s="27">
        <f>'WGJ-4'!G43</f>
        <v>3744.066469371319</v>
      </c>
      <c r="O63" s="27">
        <f>'WGJ-4'!H43</f>
        <v>12993.270325660706</v>
      </c>
      <c r="P63" s="27">
        <f>'WGJ-4'!I43</f>
        <v>3883.6002016067505</v>
      </c>
      <c r="Q63" s="27">
        <f>'WGJ-4'!J43</f>
        <v>24311.368157863617</v>
      </c>
      <c r="R63" s="27">
        <f>'WGJ-4'!K43</f>
        <v>29359.57948923111</v>
      </c>
      <c r="S63" s="27">
        <f>'WGJ-4'!L43</f>
        <v>851.8045473843813</v>
      </c>
      <c r="T63" s="27">
        <f>'WGJ-4'!M43</f>
        <v>206.34796380996704</v>
      </c>
      <c r="U63" s="27">
        <f>'WGJ-4'!N43</f>
        <v>8069.265491068362</v>
      </c>
      <c r="V63" s="27">
        <f>'WGJ-4'!O43</f>
        <v>406.97875142097473</v>
      </c>
    </row>
    <row r="64" spans="1:22" ht="12.75">
      <c r="A64" s="5">
        <f t="shared" si="26"/>
        <v>51</v>
      </c>
      <c r="B64" t="s">
        <v>49</v>
      </c>
      <c r="D64" s="95">
        <f>SUM(D56:D63)</f>
        <v>108398</v>
      </c>
      <c r="E64" s="19">
        <f>F64-D64</f>
        <v>61920.782528890326</v>
      </c>
      <c r="F64" s="19">
        <f>SUM(F56:F63)</f>
        <v>170318.78252889033</v>
      </c>
      <c r="G64" s="19"/>
      <c r="H64" s="19">
        <v>0.11360950271288535</v>
      </c>
      <c r="I64" s="19"/>
      <c r="J64" s="3">
        <f aca="true" t="shared" si="27" ref="J64:V64">SUM(J56:J63)</f>
        <v>170318.80952889033</v>
      </c>
      <c r="K64" s="27">
        <f t="shared" si="27"/>
        <v>16650210.758015739</v>
      </c>
      <c r="L64" s="27">
        <f t="shared" si="27"/>
        <v>15409517.745855013</v>
      </c>
      <c r="M64" s="27">
        <f t="shared" si="27"/>
        <v>15660252.81213818</v>
      </c>
      <c r="N64" s="27">
        <f t="shared" si="27"/>
        <v>9084714.77979994</v>
      </c>
      <c r="O64" s="27">
        <f t="shared" si="27"/>
        <v>4161580.8585435585</v>
      </c>
      <c r="P64" s="27">
        <f t="shared" si="27"/>
        <v>5760365.825526451</v>
      </c>
      <c r="Q64" s="27">
        <f t="shared" si="27"/>
        <v>15089552.853514161</v>
      </c>
      <c r="R64" s="27">
        <f t="shared" si="27"/>
        <v>17499580.717530884</v>
      </c>
      <c r="S64" s="27">
        <f t="shared" si="27"/>
        <v>16348510.060757043</v>
      </c>
      <c r="T64" s="27">
        <f t="shared" si="27"/>
        <v>17550895.85721793</v>
      </c>
      <c r="U64" s="27">
        <f t="shared" si="27"/>
        <v>18505806.28476334</v>
      </c>
      <c r="V64" s="27">
        <f t="shared" si="27"/>
        <v>18597820.975228082</v>
      </c>
    </row>
    <row r="65" spans="1:22" ht="12.75">
      <c r="A65" s="5"/>
      <c r="D65" s="19"/>
      <c r="E65" s="19"/>
      <c r="F65" s="19"/>
      <c r="G65" s="19"/>
      <c r="H65" s="19">
        <v>3237.801052308828</v>
      </c>
      <c r="I65" s="19"/>
      <c r="J65" s="3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10" ht="12.75">
      <c r="A66" s="5"/>
      <c r="D66" s="19"/>
      <c r="E66" s="19"/>
      <c r="F66" s="19"/>
      <c r="G66" s="19"/>
      <c r="H66" s="19">
        <v>592.635823396283</v>
      </c>
      <c r="I66" s="19"/>
      <c r="J66" s="3"/>
    </row>
    <row r="67" spans="1:10" ht="12.75">
      <c r="A67" s="5"/>
      <c r="B67" s="7" t="s">
        <v>12</v>
      </c>
      <c r="D67" s="19"/>
      <c r="E67" s="19" t="s">
        <v>11</v>
      </c>
      <c r="F67" s="19"/>
      <c r="G67" s="19"/>
      <c r="H67" s="42">
        <v>480</v>
      </c>
      <c r="I67" s="19"/>
      <c r="J67" s="3"/>
    </row>
    <row r="68" spans="1:22" ht="12.75">
      <c r="A68" s="5">
        <f>A64+1</f>
        <v>52</v>
      </c>
      <c r="B68" t="s">
        <v>7</v>
      </c>
      <c r="C68" s="12"/>
      <c r="D68" s="19">
        <v>789</v>
      </c>
      <c r="E68" s="19">
        <f aca="true" t="shared" si="28" ref="E68:E79">F68-D68</f>
        <v>0</v>
      </c>
      <c r="F68" s="95">
        <v>789</v>
      </c>
      <c r="G68" s="19"/>
      <c r="H68" s="19">
        <v>70026.23275827609</v>
      </c>
      <c r="I68" s="19"/>
      <c r="J68" s="3">
        <f aca="true" t="shared" si="29" ref="J68:J80">SUM(K68:V68)/1000</f>
        <v>789</v>
      </c>
      <c r="K68" s="60">
        <f>$F68/12*1000</f>
        <v>65750</v>
      </c>
      <c r="L68" s="60">
        <f aca="true" t="shared" si="30" ref="L68:V68">$F68/12*1000</f>
        <v>65750</v>
      </c>
      <c r="M68" s="60">
        <f t="shared" si="30"/>
        <v>65750</v>
      </c>
      <c r="N68" s="60">
        <f t="shared" si="30"/>
        <v>65750</v>
      </c>
      <c r="O68" s="60">
        <f t="shared" si="30"/>
        <v>65750</v>
      </c>
      <c r="P68" s="60">
        <f t="shared" si="30"/>
        <v>65750</v>
      </c>
      <c r="Q68" s="60">
        <f t="shared" si="30"/>
        <v>65750</v>
      </c>
      <c r="R68" s="60">
        <f t="shared" si="30"/>
        <v>65750</v>
      </c>
      <c r="S68" s="60">
        <f t="shared" si="30"/>
        <v>65750</v>
      </c>
      <c r="T68" s="60">
        <f t="shared" si="30"/>
        <v>65750</v>
      </c>
      <c r="U68" s="60">
        <f t="shared" si="30"/>
        <v>65750</v>
      </c>
      <c r="V68" s="60">
        <f t="shared" si="30"/>
        <v>65750</v>
      </c>
    </row>
    <row r="69" spans="1:22" ht="12.75">
      <c r="A69" s="5">
        <f>A68+1</f>
        <v>53</v>
      </c>
      <c r="B69" t="s">
        <v>201</v>
      </c>
      <c r="D69" s="19">
        <v>20</v>
      </c>
      <c r="E69" s="19">
        <f t="shared" si="28"/>
        <v>0</v>
      </c>
      <c r="F69" s="97">
        <v>20</v>
      </c>
      <c r="G69" s="126"/>
      <c r="H69" s="22"/>
      <c r="I69" s="19"/>
      <c r="J69" s="3">
        <f t="shared" si="29"/>
        <v>20.257</v>
      </c>
      <c r="K69" s="60"/>
      <c r="L69" s="60"/>
      <c r="M69" s="60"/>
      <c r="N69" s="60"/>
      <c r="O69" s="60"/>
      <c r="P69" s="60"/>
      <c r="Q69" s="60"/>
      <c r="R69" s="60">
        <v>20257</v>
      </c>
      <c r="S69" s="60"/>
      <c r="T69" s="60"/>
      <c r="U69" s="60"/>
      <c r="V69" s="60"/>
    </row>
    <row r="70" spans="1:22" ht="12.75">
      <c r="A70" s="5">
        <f>A69+1</f>
        <v>54</v>
      </c>
      <c r="B70" t="s">
        <v>29</v>
      </c>
      <c r="D70" s="19">
        <v>18</v>
      </c>
      <c r="E70" s="19">
        <f>F70-D70</f>
        <v>2</v>
      </c>
      <c r="F70" s="97">
        <v>20</v>
      </c>
      <c r="G70" s="22" t="s">
        <v>218</v>
      </c>
      <c r="H70" s="22"/>
      <c r="I70" s="22"/>
      <c r="J70" s="3">
        <f t="shared" si="29"/>
        <v>20</v>
      </c>
      <c r="K70" s="60">
        <f aca="true" t="shared" si="31" ref="K70:V79">$F70/12*1000</f>
        <v>1666.6666666666667</v>
      </c>
      <c r="L70" s="60">
        <f t="shared" si="31"/>
        <v>1666.6666666666667</v>
      </c>
      <c r="M70" s="60">
        <f t="shared" si="31"/>
        <v>1666.6666666666667</v>
      </c>
      <c r="N70" s="60">
        <f t="shared" si="31"/>
        <v>1666.6666666666667</v>
      </c>
      <c r="O70" s="60">
        <f t="shared" si="31"/>
        <v>1666.6666666666667</v>
      </c>
      <c r="P70" s="60">
        <f t="shared" si="31"/>
        <v>1666.6666666666667</v>
      </c>
      <c r="Q70" s="60">
        <f t="shared" si="31"/>
        <v>1666.6666666666667</v>
      </c>
      <c r="R70" s="60">
        <f t="shared" si="31"/>
        <v>1666.6666666666667</v>
      </c>
      <c r="S70" s="60">
        <f t="shared" si="31"/>
        <v>1666.6666666666667</v>
      </c>
      <c r="T70" s="60">
        <f t="shared" si="31"/>
        <v>1666.6666666666667</v>
      </c>
      <c r="U70" s="60">
        <f t="shared" si="31"/>
        <v>1666.6666666666667</v>
      </c>
      <c r="V70" s="60">
        <f t="shared" si="31"/>
        <v>1666.6666666666667</v>
      </c>
    </row>
    <row r="71" spans="1:22" ht="12.75">
      <c r="A71" s="5">
        <f>A70+1</f>
        <v>55</v>
      </c>
      <c r="B71" t="s">
        <v>127</v>
      </c>
      <c r="D71" s="19">
        <v>845</v>
      </c>
      <c r="E71" s="19">
        <f t="shared" si="28"/>
        <v>0</v>
      </c>
      <c r="F71" s="95">
        <v>845</v>
      </c>
      <c r="G71" s="19"/>
      <c r="H71" s="19"/>
      <c r="I71" s="19"/>
      <c r="J71" s="3">
        <f t="shared" si="29"/>
        <v>844.9999999999999</v>
      </c>
      <c r="K71" s="60">
        <f t="shared" si="31"/>
        <v>70416.66666666667</v>
      </c>
      <c r="L71" s="60">
        <f t="shared" si="31"/>
        <v>70416.66666666667</v>
      </c>
      <c r="M71" s="60">
        <f t="shared" si="31"/>
        <v>70416.66666666667</v>
      </c>
      <c r="N71" s="60">
        <f t="shared" si="31"/>
        <v>70416.66666666667</v>
      </c>
      <c r="O71" s="60">
        <f t="shared" si="31"/>
        <v>70416.66666666667</v>
      </c>
      <c r="P71" s="60">
        <f t="shared" si="31"/>
        <v>70416.66666666667</v>
      </c>
      <c r="Q71" s="60">
        <f t="shared" si="31"/>
        <v>70416.66666666667</v>
      </c>
      <c r="R71" s="60">
        <f t="shared" si="31"/>
        <v>70416.66666666667</v>
      </c>
      <c r="S71" s="60">
        <f t="shared" si="31"/>
        <v>70416.66666666667</v>
      </c>
      <c r="T71" s="60">
        <f t="shared" si="31"/>
        <v>70416.66666666667</v>
      </c>
      <c r="U71" s="60">
        <f t="shared" si="31"/>
        <v>70416.66666666667</v>
      </c>
      <c r="V71" s="60">
        <f t="shared" si="31"/>
        <v>70416.66666666667</v>
      </c>
    </row>
    <row r="72" spans="1:22" ht="12.75">
      <c r="A72" s="5">
        <f aca="true" t="shared" si="32" ref="A72:A80">A71+1</f>
        <v>56</v>
      </c>
      <c r="B72" t="s">
        <v>242</v>
      </c>
      <c r="D72" s="19">
        <v>8427</v>
      </c>
      <c r="E72" s="19">
        <f t="shared" si="28"/>
        <v>3</v>
      </c>
      <c r="F72" s="95">
        <v>8430</v>
      </c>
      <c r="G72" s="95"/>
      <c r="H72" s="95">
        <v>772</v>
      </c>
      <c r="I72" s="98"/>
      <c r="J72" s="3">
        <f t="shared" si="29"/>
        <v>8430</v>
      </c>
      <c r="K72" s="60">
        <f t="shared" si="31"/>
        <v>702500</v>
      </c>
      <c r="L72" s="60">
        <f t="shared" si="31"/>
        <v>702500</v>
      </c>
      <c r="M72" s="60">
        <f t="shared" si="31"/>
        <v>702500</v>
      </c>
      <c r="N72" s="60">
        <f t="shared" si="31"/>
        <v>702500</v>
      </c>
      <c r="O72" s="60">
        <f t="shared" si="31"/>
        <v>702500</v>
      </c>
      <c r="P72" s="60">
        <f t="shared" si="31"/>
        <v>702500</v>
      </c>
      <c r="Q72" s="60">
        <f t="shared" si="31"/>
        <v>702500</v>
      </c>
      <c r="R72" s="60">
        <f t="shared" si="31"/>
        <v>702500</v>
      </c>
      <c r="S72" s="60">
        <f t="shared" si="31"/>
        <v>702500</v>
      </c>
      <c r="T72" s="60">
        <f t="shared" si="31"/>
        <v>702500</v>
      </c>
      <c r="U72" s="60">
        <f t="shared" si="31"/>
        <v>702500</v>
      </c>
      <c r="V72" s="60">
        <f t="shared" si="31"/>
        <v>702500</v>
      </c>
    </row>
    <row r="73" spans="1:22" ht="12.75">
      <c r="A73" s="5">
        <f t="shared" si="32"/>
        <v>57</v>
      </c>
      <c r="B73" t="s">
        <v>241</v>
      </c>
      <c r="D73" s="19">
        <v>0</v>
      </c>
      <c r="E73" s="19">
        <f t="shared" si="28"/>
        <v>4503</v>
      </c>
      <c r="F73" s="95">
        <v>4503</v>
      </c>
      <c r="G73" s="95"/>
      <c r="H73" s="95"/>
      <c r="I73" s="98"/>
      <c r="J73" s="3">
        <f t="shared" si="29"/>
        <v>4503</v>
      </c>
      <c r="K73" s="60">
        <f t="shared" si="31"/>
        <v>375250</v>
      </c>
      <c r="L73" s="60">
        <f t="shared" si="31"/>
        <v>375250</v>
      </c>
      <c r="M73" s="60">
        <f t="shared" si="31"/>
        <v>375250</v>
      </c>
      <c r="N73" s="60">
        <f t="shared" si="31"/>
        <v>375250</v>
      </c>
      <c r="O73" s="60">
        <f t="shared" si="31"/>
        <v>375250</v>
      </c>
      <c r="P73" s="60">
        <f t="shared" si="31"/>
        <v>375250</v>
      </c>
      <c r="Q73" s="60">
        <f t="shared" si="31"/>
        <v>375250</v>
      </c>
      <c r="R73" s="60">
        <f t="shared" si="31"/>
        <v>375250</v>
      </c>
      <c r="S73" s="60">
        <f t="shared" si="31"/>
        <v>375250</v>
      </c>
      <c r="T73" s="60">
        <f t="shared" si="31"/>
        <v>375250</v>
      </c>
      <c r="U73" s="60">
        <f t="shared" si="31"/>
        <v>375250</v>
      </c>
      <c r="V73" s="60">
        <f t="shared" si="31"/>
        <v>375250</v>
      </c>
    </row>
    <row r="74" spans="1:22" ht="12.75">
      <c r="A74" s="5">
        <f t="shared" si="32"/>
        <v>58</v>
      </c>
      <c r="B74" t="s">
        <v>27</v>
      </c>
      <c r="D74" s="19">
        <v>1173</v>
      </c>
      <c r="E74" s="19">
        <f t="shared" si="28"/>
        <v>0</v>
      </c>
      <c r="F74" s="95">
        <v>1173</v>
      </c>
      <c r="G74" s="19" t="s">
        <v>217</v>
      </c>
      <c r="H74" s="19">
        <v>49</v>
      </c>
      <c r="I74" s="19"/>
      <c r="J74" s="3">
        <f t="shared" si="29"/>
        <v>1173</v>
      </c>
      <c r="K74" s="60">
        <f t="shared" si="31"/>
        <v>97750</v>
      </c>
      <c r="L74" s="60">
        <f t="shared" si="31"/>
        <v>97750</v>
      </c>
      <c r="M74" s="60">
        <f t="shared" si="31"/>
        <v>97750</v>
      </c>
      <c r="N74" s="60">
        <f t="shared" si="31"/>
        <v>97750</v>
      </c>
      <c r="O74" s="60">
        <f t="shared" si="31"/>
        <v>97750</v>
      </c>
      <c r="P74" s="60">
        <f t="shared" si="31"/>
        <v>97750</v>
      </c>
      <c r="Q74" s="60">
        <f t="shared" si="31"/>
        <v>97750</v>
      </c>
      <c r="R74" s="60">
        <f t="shared" si="31"/>
        <v>97750</v>
      </c>
      <c r="S74" s="60">
        <f t="shared" si="31"/>
        <v>97750</v>
      </c>
      <c r="T74" s="60">
        <f t="shared" si="31"/>
        <v>97750</v>
      </c>
      <c r="U74" s="60">
        <f t="shared" si="31"/>
        <v>97750</v>
      </c>
      <c r="V74" s="60">
        <f t="shared" si="31"/>
        <v>97750</v>
      </c>
    </row>
    <row r="75" spans="1:22" ht="12.75">
      <c r="A75" s="5">
        <f t="shared" si="32"/>
        <v>59</v>
      </c>
      <c r="B75" t="s">
        <v>105</v>
      </c>
      <c r="D75" s="19">
        <v>1483</v>
      </c>
      <c r="E75" s="19">
        <f t="shared" si="28"/>
        <v>-153</v>
      </c>
      <c r="F75" s="95">
        <v>1330</v>
      </c>
      <c r="G75" s="100" t="s">
        <v>200</v>
      </c>
      <c r="H75" s="19">
        <v>348</v>
      </c>
      <c r="I75" s="19"/>
      <c r="J75" s="3">
        <f t="shared" si="29"/>
        <v>1330</v>
      </c>
      <c r="K75" s="60">
        <f t="shared" si="31"/>
        <v>110833.33333333333</v>
      </c>
      <c r="L75" s="60">
        <f t="shared" si="31"/>
        <v>110833.33333333333</v>
      </c>
      <c r="M75" s="60">
        <f t="shared" si="31"/>
        <v>110833.33333333333</v>
      </c>
      <c r="N75" s="60">
        <f t="shared" si="31"/>
        <v>110833.33333333333</v>
      </c>
      <c r="O75" s="60">
        <f t="shared" si="31"/>
        <v>110833.33333333333</v>
      </c>
      <c r="P75" s="60">
        <f t="shared" si="31"/>
        <v>110833.33333333333</v>
      </c>
      <c r="Q75" s="60">
        <f t="shared" si="31"/>
        <v>110833.33333333333</v>
      </c>
      <c r="R75" s="60">
        <f t="shared" si="31"/>
        <v>110833.33333333333</v>
      </c>
      <c r="S75" s="60">
        <f t="shared" si="31"/>
        <v>110833.33333333333</v>
      </c>
      <c r="T75" s="60">
        <f t="shared" si="31"/>
        <v>110833.33333333333</v>
      </c>
      <c r="U75" s="60">
        <f t="shared" si="31"/>
        <v>110833.33333333333</v>
      </c>
      <c r="V75" s="60">
        <f t="shared" si="31"/>
        <v>110833.33333333333</v>
      </c>
    </row>
    <row r="76" spans="1:22" ht="12.75">
      <c r="A76" s="5">
        <f t="shared" si="32"/>
        <v>60</v>
      </c>
      <c r="B76" t="s">
        <v>104</v>
      </c>
      <c r="D76" s="19">
        <v>39</v>
      </c>
      <c r="E76" s="19">
        <f t="shared" si="28"/>
        <v>6</v>
      </c>
      <c r="F76" s="19">
        <v>45</v>
      </c>
      <c r="G76" s="19"/>
      <c r="H76" s="19">
        <v>8315</v>
      </c>
      <c r="I76" s="19"/>
      <c r="J76" s="3">
        <f t="shared" si="29"/>
        <v>45</v>
      </c>
      <c r="K76" s="60">
        <f t="shared" si="31"/>
        <v>3750</v>
      </c>
      <c r="L76" s="60">
        <f t="shared" si="31"/>
        <v>3750</v>
      </c>
      <c r="M76" s="60">
        <f t="shared" si="31"/>
        <v>3750</v>
      </c>
      <c r="N76" s="60">
        <f t="shared" si="31"/>
        <v>3750</v>
      </c>
      <c r="O76" s="60">
        <f t="shared" si="31"/>
        <v>3750</v>
      </c>
      <c r="P76" s="60">
        <f t="shared" si="31"/>
        <v>3750</v>
      </c>
      <c r="Q76" s="60">
        <f t="shared" si="31"/>
        <v>3750</v>
      </c>
      <c r="R76" s="60">
        <f t="shared" si="31"/>
        <v>3750</v>
      </c>
      <c r="S76" s="60">
        <f t="shared" si="31"/>
        <v>3750</v>
      </c>
      <c r="T76" s="60">
        <f t="shared" si="31"/>
        <v>3750</v>
      </c>
      <c r="U76" s="60">
        <f t="shared" si="31"/>
        <v>3750</v>
      </c>
      <c r="V76" s="60">
        <f t="shared" si="31"/>
        <v>3750</v>
      </c>
    </row>
    <row r="77" spans="1:22" ht="12.75">
      <c r="A77" s="5">
        <f t="shared" si="32"/>
        <v>61</v>
      </c>
      <c r="B77" t="s">
        <v>145</v>
      </c>
      <c r="D77" s="19">
        <v>136</v>
      </c>
      <c r="E77" s="19">
        <f t="shared" si="28"/>
        <v>-2</v>
      </c>
      <c r="F77" s="19">
        <v>134</v>
      </c>
      <c r="G77" s="19"/>
      <c r="H77" s="19">
        <v>1245</v>
      </c>
      <c r="I77" s="19"/>
      <c r="J77" s="3">
        <f t="shared" si="29"/>
        <v>134.00000000000003</v>
      </c>
      <c r="K77" s="60">
        <f t="shared" si="31"/>
        <v>11166.666666666666</v>
      </c>
      <c r="L77" s="60">
        <f t="shared" si="31"/>
        <v>11166.666666666666</v>
      </c>
      <c r="M77" s="60">
        <f t="shared" si="31"/>
        <v>11166.666666666666</v>
      </c>
      <c r="N77" s="60">
        <f t="shared" si="31"/>
        <v>11166.666666666666</v>
      </c>
      <c r="O77" s="60">
        <f t="shared" si="31"/>
        <v>11166.666666666666</v>
      </c>
      <c r="P77" s="60">
        <f t="shared" si="31"/>
        <v>11166.666666666666</v>
      </c>
      <c r="Q77" s="60">
        <f t="shared" si="31"/>
        <v>11166.666666666666</v>
      </c>
      <c r="R77" s="60">
        <f t="shared" si="31"/>
        <v>11166.666666666666</v>
      </c>
      <c r="S77" s="60">
        <f t="shared" si="31"/>
        <v>11166.666666666666</v>
      </c>
      <c r="T77" s="60">
        <f t="shared" si="31"/>
        <v>11166.666666666666</v>
      </c>
      <c r="U77" s="60">
        <f t="shared" si="31"/>
        <v>11166.666666666666</v>
      </c>
      <c r="V77" s="60">
        <f t="shared" si="31"/>
        <v>11166.666666666666</v>
      </c>
    </row>
    <row r="78" spans="1:22" ht="12.75">
      <c r="A78" s="5">
        <f t="shared" si="32"/>
        <v>62</v>
      </c>
      <c r="B78" t="s">
        <v>13</v>
      </c>
      <c r="C78" s="12"/>
      <c r="D78" s="19">
        <v>592</v>
      </c>
      <c r="E78" s="19">
        <f t="shared" si="28"/>
        <v>0</v>
      </c>
      <c r="F78" s="95">
        <v>592</v>
      </c>
      <c r="G78" s="19"/>
      <c r="H78" s="19">
        <v>1689</v>
      </c>
      <c r="I78" s="19"/>
      <c r="J78" s="3">
        <f t="shared" si="29"/>
        <v>592</v>
      </c>
      <c r="K78" s="60">
        <f t="shared" si="31"/>
        <v>49333.333333333336</v>
      </c>
      <c r="L78" s="60">
        <f t="shared" si="31"/>
        <v>49333.333333333336</v>
      </c>
      <c r="M78" s="60">
        <f t="shared" si="31"/>
        <v>49333.333333333336</v>
      </c>
      <c r="N78" s="60">
        <f t="shared" si="31"/>
        <v>49333.333333333336</v>
      </c>
      <c r="O78" s="60">
        <f t="shared" si="31"/>
        <v>49333.333333333336</v>
      </c>
      <c r="P78" s="60">
        <f t="shared" si="31"/>
        <v>49333.333333333336</v>
      </c>
      <c r="Q78" s="60">
        <f t="shared" si="31"/>
        <v>49333.333333333336</v>
      </c>
      <c r="R78" s="60">
        <f t="shared" si="31"/>
        <v>49333.333333333336</v>
      </c>
      <c r="S78" s="60">
        <f t="shared" si="31"/>
        <v>49333.333333333336</v>
      </c>
      <c r="T78" s="60">
        <f t="shared" si="31"/>
        <v>49333.333333333336</v>
      </c>
      <c r="U78" s="60">
        <f t="shared" si="31"/>
        <v>49333.333333333336</v>
      </c>
      <c r="V78" s="60">
        <f t="shared" si="31"/>
        <v>49333.333333333336</v>
      </c>
    </row>
    <row r="79" spans="1:22" ht="12.75">
      <c r="A79" s="5">
        <f t="shared" si="32"/>
        <v>63</v>
      </c>
      <c r="B79" s="17" t="s">
        <v>33</v>
      </c>
      <c r="C79" s="17"/>
      <c r="D79" s="42">
        <v>643</v>
      </c>
      <c r="E79" s="42">
        <f t="shared" si="28"/>
        <v>0</v>
      </c>
      <c r="F79" s="96">
        <v>643</v>
      </c>
      <c r="G79" s="19"/>
      <c r="H79" s="19">
        <v>32.112</v>
      </c>
      <c r="I79" s="19"/>
      <c r="J79" s="91">
        <f t="shared" si="29"/>
        <v>643</v>
      </c>
      <c r="K79" s="111">
        <f t="shared" si="31"/>
        <v>53583.333333333336</v>
      </c>
      <c r="L79" s="111">
        <f t="shared" si="31"/>
        <v>53583.333333333336</v>
      </c>
      <c r="M79" s="111">
        <f t="shared" si="31"/>
        <v>53583.333333333336</v>
      </c>
      <c r="N79" s="111">
        <f t="shared" si="31"/>
        <v>53583.333333333336</v>
      </c>
      <c r="O79" s="111">
        <f t="shared" si="31"/>
        <v>53583.333333333336</v>
      </c>
      <c r="P79" s="111">
        <f t="shared" si="31"/>
        <v>53583.333333333336</v>
      </c>
      <c r="Q79" s="111">
        <f t="shared" si="31"/>
        <v>53583.333333333336</v>
      </c>
      <c r="R79" s="111">
        <f t="shared" si="31"/>
        <v>53583.333333333336</v>
      </c>
      <c r="S79" s="111">
        <f t="shared" si="31"/>
        <v>53583.333333333336</v>
      </c>
      <c r="T79" s="111">
        <f t="shared" si="31"/>
        <v>53583.333333333336</v>
      </c>
      <c r="U79" s="111">
        <f t="shared" si="31"/>
        <v>53583.333333333336</v>
      </c>
      <c r="V79" s="111">
        <f t="shared" si="31"/>
        <v>53583.333333333336</v>
      </c>
    </row>
    <row r="80" spans="1:22" ht="12.75">
      <c r="A80" s="5">
        <f t="shared" si="32"/>
        <v>64</v>
      </c>
      <c r="B80" t="s">
        <v>14</v>
      </c>
      <c r="D80" s="95">
        <f>SUM(D68:D79)</f>
        <v>14165</v>
      </c>
      <c r="E80" s="19">
        <f>F80-D80</f>
        <v>4359</v>
      </c>
      <c r="F80" s="19">
        <f>SUM(F68:F79)</f>
        <v>18524</v>
      </c>
      <c r="G80" s="19"/>
      <c r="H80" s="19">
        <v>214</v>
      </c>
      <c r="I80" s="19"/>
      <c r="J80" s="3">
        <f t="shared" si="29"/>
        <v>18524.257</v>
      </c>
      <c r="K80" s="27">
        <f aca="true" t="shared" si="33" ref="K80:V80">SUM(K68:K79)</f>
        <v>1542000</v>
      </c>
      <c r="L80" s="27">
        <f t="shared" si="33"/>
        <v>1542000</v>
      </c>
      <c r="M80" s="27">
        <f t="shared" si="33"/>
        <v>1542000</v>
      </c>
      <c r="N80" s="27">
        <f t="shared" si="33"/>
        <v>1542000</v>
      </c>
      <c r="O80" s="27">
        <f t="shared" si="33"/>
        <v>1542000</v>
      </c>
      <c r="P80" s="27">
        <f t="shared" si="33"/>
        <v>1542000</v>
      </c>
      <c r="Q80" s="27">
        <f t="shared" si="33"/>
        <v>1542000</v>
      </c>
      <c r="R80" s="27">
        <f t="shared" si="33"/>
        <v>1562257</v>
      </c>
      <c r="S80" s="27">
        <f t="shared" si="33"/>
        <v>1542000</v>
      </c>
      <c r="T80" s="27">
        <f t="shared" si="33"/>
        <v>1542000</v>
      </c>
      <c r="U80" s="27">
        <f t="shared" si="33"/>
        <v>1542000</v>
      </c>
      <c r="V80" s="27">
        <f t="shared" si="33"/>
        <v>1542000</v>
      </c>
    </row>
    <row r="81" spans="1:10" ht="12.75" customHeight="1">
      <c r="A81" s="5"/>
      <c r="D81" s="19"/>
      <c r="E81" s="19"/>
      <c r="F81" s="19"/>
      <c r="G81" s="19"/>
      <c r="H81" s="42">
        <v>643</v>
      </c>
      <c r="I81" s="19"/>
      <c r="J81" s="3"/>
    </row>
    <row r="82" spans="1:10" ht="12" customHeight="1">
      <c r="A82" s="5"/>
      <c r="B82" s="7" t="s">
        <v>17</v>
      </c>
      <c r="D82" s="19"/>
      <c r="E82" s="19"/>
      <c r="F82" s="19"/>
      <c r="G82" s="19"/>
      <c r="H82" s="19">
        <v>13307.112</v>
      </c>
      <c r="I82" s="19"/>
      <c r="J82" s="3"/>
    </row>
    <row r="83" spans="1:10" ht="12" customHeight="1">
      <c r="A83" s="5">
        <f>A80+1</f>
        <v>65</v>
      </c>
      <c r="B83" t="s">
        <v>114</v>
      </c>
      <c r="D83" s="95">
        <v>654</v>
      </c>
      <c r="E83" s="95">
        <f>F83-D83</f>
        <v>1</v>
      </c>
      <c r="F83" s="95">
        <v>655</v>
      </c>
      <c r="G83" s="95"/>
      <c r="H83" s="95"/>
      <c r="I83" s="19"/>
      <c r="J83" s="3"/>
    </row>
    <row r="84" spans="1:10" ht="12" customHeight="1">
      <c r="A84" s="5"/>
      <c r="D84" s="19"/>
      <c r="E84" s="19"/>
      <c r="F84" s="19"/>
      <c r="G84" s="19"/>
      <c r="H84" s="19"/>
      <c r="I84" s="19"/>
      <c r="J84" s="3"/>
    </row>
    <row r="85" spans="1:10" ht="12" customHeight="1">
      <c r="A85" s="5"/>
      <c r="B85" s="7" t="s">
        <v>56</v>
      </c>
      <c r="D85" s="19"/>
      <c r="E85" s="19"/>
      <c r="F85" s="19"/>
      <c r="G85" s="19"/>
      <c r="H85" s="19">
        <v>6729</v>
      </c>
      <c r="I85" s="19"/>
      <c r="J85" s="3"/>
    </row>
    <row r="86" spans="1:10" ht="12" customHeight="1">
      <c r="A86" s="5">
        <f>A83+1</f>
        <v>66</v>
      </c>
      <c r="B86" t="s">
        <v>50</v>
      </c>
      <c r="D86" s="95">
        <v>175</v>
      </c>
      <c r="E86" s="95">
        <f>F86-D86</f>
        <v>-15</v>
      </c>
      <c r="F86" s="95">
        <v>160</v>
      </c>
      <c r="G86" s="95"/>
      <c r="H86" s="95"/>
      <c r="I86" s="19"/>
      <c r="J86" s="3"/>
    </row>
    <row r="87" spans="1:10" ht="12" customHeight="1">
      <c r="A87" s="5"/>
      <c r="D87" s="19"/>
      <c r="E87" s="19"/>
      <c r="F87" s="19"/>
      <c r="G87" s="19"/>
      <c r="H87" s="19"/>
      <c r="I87" s="19"/>
      <c r="J87" s="3"/>
    </row>
    <row r="88" spans="1:10" ht="12" customHeight="1">
      <c r="A88" s="5">
        <f>A86+1</f>
        <v>67</v>
      </c>
      <c r="B88" s="45" t="s">
        <v>18</v>
      </c>
      <c r="C88" s="38"/>
      <c r="D88" s="46">
        <f>D39+D46+D53+D64+D80+D83+D86</f>
        <v>436825</v>
      </c>
      <c r="E88" s="46">
        <f>F88-D88</f>
        <v>-90710.84130351449</v>
      </c>
      <c r="F88" s="47">
        <f>F39+F46+F53+F64+F80+F83+F86</f>
        <v>346114.1586964855</v>
      </c>
      <c r="G88" s="19"/>
      <c r="H88" s="19">
        <v>133</v>
      </c>
      <c r="I88" s="19"/>
      <c r="J88" s="3"/>
    </row>
    <row r="89" spans="1:10" ht="12" customHeight="1">
      <c r="A89" s="5"/>
      <c r="B89" s="2"/>
      <c r="D89" s="19"/>
      <c r="E89" s="19"/>
      <c r="F89" s="19"/>
      <c r="G89" s="19"/>
      <c r="H89" s="42"/>
      <c r="I89" s="19"/>
      <c r="J89" s="3"/>
    </row>
    <row r="90" spans="1:22" ht="12" customHeight="1">
      <c r="A90" s="5"/>
      <c r="B90" s="7" t="s">
        <v>19</v>
      </c>
      <c r="D90" s="19"/>
      <c r="E90" s="19"/>
      <c r="F90" s="19"/>
      <c r="G90" s="19"/>
      <c r="H90" s="46">
        <v>188457.26014905036</v>
      </c>
      <c r="I90" s="19"/>
      <c r="J90" s="3"/>
      <c r="K90" s="51">
        <v>36525</v>
      </c>
      <c r="L90" s="51">
        <v>36556</v>
      </c>
      <c r="M90" s="51">
        <v>36585</v>
      </c>
      <c r="N90" s="51">
        <v>36616</v>
      </c>
      <c r="O90" s="51">
        <v>36646</v>
      </c>
      <c r="P90" s="51">
        <v>36677</v>
      </c>
      <c r="Q90" s="51">
        <v>36707</v>
      </c>
      <c r="R90" s="51">
        <v>36738</v>
      </c>
      <c r="S90" s="51">
        <v>36769</v>
      </c>
      <c r="T90" s="51">
        <v>36799</v>
      </c>
      <c r="U90" s="51">
        <v>36830</v>
      </c>
      <c r="V90" s="51">
        <v>36860</v>
      </c>
    </row>
    <row r="91" spans="1:22" ht="12.75" customHeight="1">
      <c r="A91" s="5">
        <f>A88+1</f>
        <v>68</v>
      </c>
      <c r="B91" t="s">
        <v>204</v>
      </c>
      <c r="D91" s="19">
        <v>0</v>
      </c>
      <c r="E91" s="19">
        <f aca="true" t="shared" si="34" ref="E91:E101">F91-D91</f>
        <v>93179.2925341797</v>
      </c>
      <c r="F91" s="19">
        <f>-'WGJ-4'!C9/1000</f>
        <v>93179.2925341797</v>
      </c>
      <c r="G91" s="19"/>
      <c r="H91" s="19"/>
      <c r="I91" s="18"/>
      <c r="J91" s="3">
        <f>SUM(K91:V91)/1000</f>
        <v>93179.2925341797</v>
      </c>
      <c r="K91" s="27">
        <f>-'WGJ-4'!D9</f>
        <v>6979053.908691406</v>
      </c>
      <c r="L91" s="27">
        <f>-'WGJ-4'!E9</f>
        <v>6658938.548583984</v>
      </c>
      <c r="M91" s="27">
        <f>-'WGJ-4'!F9</f>
        <v>9215201.733398438</v>
      </c>
      <c r="N91" s="27">
        <f>-'WGJ-4'!G9</f>
        <v>7902679.00390625</v>
      </c>
      <c r="O91" s="27">
        <f>-'WGJ-4'!H9</f>
        <v>6855417.907714844</v>
      </c>
      <c r="P91" s="27">
        <f>-'WGJ-4'!I9</f>
        <v>9108080.684814453</v>
      </c>
      <c r="Q91" s="27">
        <f>-'WGJ-4'!J9</f>
        <v>13580319.375</v>
      </c>
      <c r="R91" s="27">
        <f>-'WGJ-4'!K9</f>
        <v>5663847.080078125</v>
      </c>
      <c r="S91" s="27">
        <f>-'WGJ-4'!L9</f>
        <v>5671728.251953125</v>
      </c>
      <c r="T91" s="27">
        <f>-'WGJ-4'!M9</f>
        <v>5506051.494140625</v>
      </c>
      <c r="U91" s="27">
        <f>-'WGJ-4'!N9</f>
        <v>8326038.603515624</v>
      </c>
      <c r="V91" s="27">
        <f>-'WGJ-4'!O9</f>
        <v>7711935.9423828125</v>
      </c>
    </row>
    <row r="92" spans="1:22" ht="12.75" customHeight="1">
      <c r="A92" s="5">
        <f aca="true" t="shared" si="35" ref="A92:A97">A91+1</f>
        <v>69</v>
      </c>
      <c r="B92" t="s">
        <v>221</v>
      </c>
      <c r="D92" s="19">
        <v>132119</v>
      </c>
      <c r="E92" s="19">
        <f t="shared" si="34"/>
        <v>-132119</v>
      </c>
      <c r="F92" s="95">
        <v>0</v>
      </c>
      <c r="G92" s="19"/>
      <c r="H92" s="19"/>
      <c r="I92" s="18"/>
      <c r="J92" s="3">
        <f>SUM(K92:V92)/1000</f>
        <v>0</v>
      </c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1:22" ht="12.75">
      <c r="A93" s="5">
        <f t="shared" si="35"/>
        <v>70</v>
      </c>
      <c r="B93" s="6" t="s">
        <v>126</v>
      </c>
      <c r="D93" s="19">
        <v>1800</v>
      </c>
      <c r="E93" s="19">
        <f t="shared" si="34"/>
        <v>0</v>
      </c>
      <c r="F93" s="19">
        <v>1800</v>
      </c>
      <c r="G93" s="19"/>
      <c r="H93" s="19"/>
      <c r="I93" s="19"/>
      <c r="J93" s="3">
        <f aca="true" t="shared" si="36" ref="J93:J102">SUM(K93:V93)/1000</f>
        <v>1800</v>
      </c>
      <c r="K93" s="27">
        <f aca="true" t="shared" si="37" ref="K93:K101">$F93/12*1000</f>
        <v>150000</v>
      </c>
      <c r="L93" s="27">
        <f aca="true" t="shared" si="38" ref="L93:V93">$F93/12*1000</f>
        <v>150000</v>
      </c>
      <c r="M93" s="27">
        <f t="shared" si="38"/>
        <v>150000</v>
      </c>
      <c r="N93" s="27">
        <f t="shared" si="38"/>
        <v>150000</v>
      </c>
      <c r="O93" s="27">
        <f t="shared" si="38"/>
        <v>150000</v>
      </c>
      <c r="P93" s="27">
        <f t="shared" si="38"/>
        <v>150000</v>
      </c>
      <c r="Q93" s="27">
        <f t="shared" si="38"/>
        <v>150000</v>
      </c>
      <c r="R93" s="27">
        <f t="shared" si="38"/>
        <v>150000</v>
      </c>
      <c r="S93" s="27">
        <f t="shared" si="38"/>
        <v>150000</v>
      </c>
      <c r="T93" s="27">
        <f t="shared" si="38"/>
        <v>150000</v>
      </c>
      <c r="U93" s="27">
        <f t="shared" si="38"/>
        <v>150000</v>
      </c>
      <c r="V93" s="27">
        <f t="shared" si="38"/>
        <v>150000</v>
      </c>
    </row>
    <row r="94" spans="1:22" ht="12.75">
      <c r="A94" s="5">
        <f t="shared" si="35"/>
        <v>71</v>
      </c>
      <c r="B94" t="s">
        <v>34</v>
      </c>
      <c r="D94" s="20">
        <v>3440</v>
      </c>
      <c r="E94" s="19">
        <f t="shared" si="34"/>
        <v>501.09923140832916</v>
      </c>
      <c r="F94" s="95">
        <f>Index!C14/1000</f>
        <v>3941.099231408329</v>
      </c>
      <c r="G94" s="134" t="s">
        <v>140</v>
      </c>
      <c r="H94" s="103">
        <v>1800</v>
      </c>
      <c r="I94" s="99" t="s">
        <v>140</v>
      </c>
      <c r="J94" s="3">
        <f t="shared" si="36"/>
        <v>3941.099231408329</v>
      </c>
      <c r="K94" s="27">
        <f>Index!D14</f>
        <v>377867.44413208007</v>
      </c>
      <c r="L94" s="27">
        <f>Index!E14</f>
        <v>314243.9719940186</v>
      </c>
      <c r="M94" s="27">
        <f>Index!F14</f>
        <v>320800.7972584534</v>
      </c>
      <c r="N94" s="27">
        <f>Index!G14</f>
        <v>266305.74649200443</v>
      </c>
      <c r="O94" s="27">
        <f>Index!H14</f>
        <v>214954.87734964374</v>
      </c>
      <c r="P94" s="27">
        <f>Index!I14</f>
        <v>182746.27896995546</v>
      </c>
      <c r="Q94" s="27">
        <f>Index!J14</f>
        <v>346577.5502048493</v>
      </c>
      <c r="R94" s="27">
        <f>Index!K14</f>
        <v>393815.2691926575</v>
      </c>
      <c r="S94" s="27">
        <f>Index!L14</f>
        <v>363111.58843231207</v>
      </c>
      <c r="T94" s="27">
        <f>Index!M14</f>
        <v>358982.37541946414</v>
      </c>
      <c r="U94" s="27">
        <f>Index!N14</f>
        <v>370353.5729049683</v>
      </c>
      <c r="V94" s="27">
        <f>Index!O14</f>
        <v>431339.7590579224</v>
      </c>
    </row>
    <row r="95" spans="1:22" ht="12.75">
      <c r="A95" s="5">
        <f t="shared" si="35"/>
        <v>72</v>
      </c>
      <c r="B95" t="s">
        <v>135</v>
      </c>
      <c r="D95" s="20">
        <v>816</v>
      </c>
      <c r="E95" s="19">
        <f t="shared" si="34"/>
        <v>-755</v>
      </c>
      <c r="F95" s="95">
        <v>61</v>
      </c>
      <c r="G95" s="20"/>
      <c r="H95" s="20">
        <v>-63</v>
      </c>
      <c r="J95" s="3">
        <f t="shared" si="36"/>
        <v>61.00000000000001</v>
      </c>
      <c r="K95" s="27">
        <f t="shared" si="37"/>
        <v>5083.333333333333</v>
      </c>
      <c r="L95" s="27">
        <f aca="true" t="shared" si="39" ref="L95:V101">$F95/12*1000</f>
        <v>5083.333333333333</v>
      </c>
      <c r="M95" s="27">
        <f t="shared" si="39"/>
        <v>5083.333333333333</v>
      </c>
      <c r="N95" s="27">
        <f t="shared" si="39"/>
        <v>5083.333333333333</v>
      </c>
      <c r="O95" s="27">
        <f t="shared" si="39"/>
        <v>5083.333333333333</v>
      </c>
      <c r="P95" s="27">
        <f t="shared" si="39"/>
        <v>5083.333333333333</v>
      </c>
      <c r="Q95" s="27">
        <f t="shared" si="39"/>
        <v>5083.333333333333</v>
      </c>
      <c r="R95" s="27">
        <f t="shared" si="39"/>
        <v>5083.333333333333</v>
      </c>
      <c r="S95" s="27">
        <f t="shared" si="39"/>
        <v>5083.333333333333</v>
      </c>
      <c r="T95" s="27">
        <f t="shared" si="39"/>
        <v>5083.333333333333</v>
      </c>
      <c r="U95" s="27">
        <f t="shared" si="39"/>
        <v>5083.333333333333</v>
      </c>
      <c r="V95" s="27">
        <f t="shared" si="39"/>
        <v>5083.333333333333</v>
      </c>
    </row>
    <row r="96" spans="1:22" ht="12.75">
      <c r="A96" s="5">
        <f t="shared" si="35"/>
        <v>73</v>
      </c>
      <c r="B96" t="s">
        <v>35</v>
      </c>
      <c r="D96" s="20">
        <v>555</v>
      </c>
      <c r="E96" s="19">
        <f t="shared" si="34"/>
        <v>-165</v>
      </c>
      <c r="F96" s="95">
        <v>390</v>
      </c>
      <c r="G96" s="83"/>
      <c r="H96" s="83">
        <v>272</v>
      </c>
      <c r="J96" s="3">
        <f t="shared" si="36"/>
        <v>390</v>
      </c>
      <c r="K96" s="27">
        <f t="shared" si="37"/>
        <v>32500</v>
      </c>
      <c r="L96" s="27">
        <f t="shared" si="39"/>
        <v>32500</v>
      </c>
      <c r="M96" s="27">
        <f t="shared" si="39"/>
        <v>32500</v>
      </c>
      <c r="N96" s="27">
        <f t="shared" si="39"/>
        <v>32500</v>
      </c>
      <c r="O96" s="27">
        <f t="shared" si="39"/>
        <v>32500</v>
      </c>
      <c r="P96" s="27">
        <f t="shared" si="39"/>
        <v>32500</v>
      </c>
      <c r="Q96" s="27">
        <f t="shared" si="39"/>
        <v>32500</v>
      </c>
      <c r="R96" s="27">
        <f t="shared" si="39"/>
        <v>32500</v>
      </c>
      <c r="S96" s="27">
        <f t="shared" si="39"/>
        <v>32500</v>
      </c>
      <c r="T96" s="27">
        <f t="shared" si="39"/>
        <v>32500</v>
      </c>
      <c r="U96" s="27">
        <f t="shared" si="39"/>
        <v>32500</v>
      </c>
      <c r="V96" s="27">
        <f t="shared" si="39"/>
        <v>32500</v>
      </c>
    </row>
    <row r="97" spans="1:22" ht="12.75">
      <c r="A97" s="5">
        <f t="shared" si="35"/>
        <v>74</v>
      </c>
      <c r="B97" t="s">
        <v>136</v>
      </c>
      <c r="D97" s="20">
        <v>5225</v>
      </c>
      <c r="E97" s="19">
        <f t="shared" si="34"/>
        <v>-1968</v>
      </c>
      <c r="F97" s="95">
        <v>3257</v>
      </c>
      <c r="G97" s="99" t="s">
        <v>222</v>
      </c>
      <c r="H97" s="20">
        <v>69</v>
      </c>
      <c r="J97" s="3">
        <f t="shared" si="36"/>
        <v>3256.9999999999995</v>
      </c>
      <c r="K97" s="27">
        <f t="shared" si="37"/>
        <v>271416.6666666667</v>
      </c>
      <c r="L97" s="27">
        <f t="shared" si="39"/>
        <v>271416.6666666667</v>
      </c>
      <c r="M97" s="27">
        <f t="shared" si="39"/>
        <v>271416.6666666667</v>
      </c>
      <c r="N97" s="27">
        <f t="shared" si="39"/>
        <v>271416.6666666667</v>
      </c>
      <c r="O97" s="27">
        <f t="shared" si="39"/>
        <v>271416.6666666667</v>
      </c>
      <c r="P97" s="27">
        <f t="shared" si="39"/>
        <v>271416.6666666667</v>
      </c>
      <c r="Q97" s="27">
        <f t="shared" si="39"/>
        <v>271416.6666666667</v>
      </c>
      <c r="R97" s="27">
        <f t="shared" si="39"/>
        <v>271416.6666666667</v>
      </c>
      <c r="S97" s="27">
        <f t="shared" si="39"/>
        <v>271416.6666666667</v>
      </c>
      <c r="T97" s="27">
        <f t="shared" si="39"/>
        <v>271416.6666666667</v>
      </c>
      <c r="U97" s="27">
        <f t="shared" si="39"/>
        <v>271416.6666666667</v>
      </c>
      <c r="V97" s="27">
        <f t="shared" si="39"/>
        <v>271416.6666666667</v>
      </c>
    </row>
    <row r="98" spans="1:22" ht="12.75">
      <c r="A98" s="5">
        <f>A97+1</f>
        <v>75</v>
      </c>
      <c r="B98" t="s">
        <v>175</v>
      </c>
      <c r="D98" s="20">
        <v>49173</v>
      </c>
      <c r="E98" s="19">
        <f t="shared" si="34"/>
        <v>-43596</v>
      </c>
      <c r="F98" s="19">
        <v>5577</v>
      </c>
      <c r="G98" s="20"/>
      <c r="H98" s="20"/>
      <c r="J98" s="3">
        <f t="shared" si="36"/>
        <v>5577</v>
      </c>
      <c r="K98" s="27">
        <f t="shared" si="37"/>
        <v>464750</v>
      </c>
      <c r="L98" s="27">
        <f t="shared" si="39"/>
        <v>464750</v>
      </c>
      <c r="M98" s="27">
        <f t="shared" si="39"/>
        <v>464750</v>
      </c>
      <c r="N98" s="27">
        <f t="shared" si="39"/>
        <v>464750</v>
      </c>
      <c r="O98" s="27">
        <f t="shared" si="39"/>
        <v>464750</v>
      </c>
      <c r="P98" s="27">
        <f t="shared" si="39"/>
        <v>464750</v>
      </c>
      <c r="Q98" s="27">
        <f t="shared" si="39"/>
        <v>464750</v>
      </c>
      <c r="R98" s="27">
        <f t="shared" si="39"/>
        <v>464750</v>
      </c>
      <c r="S98" s="27">
        <f t="shared" si="39"/>
        <v>464750</v>
      </c>
      <c r="T98" s="27">
        <f t="shared" si="39"/>
        <v>464750</v>
      </c>
      <c r="U98" s="27">
        <f t="shared" si="39"/>
        <v>464750</v>
      </c>
      <c r="V98" s="27">
        <f t="shared" si="39"/>
        <v>464750</v>
      </c>
    </row>
    <row r="99" spans="1:22" ht="12.75">
      <c r="A99" s="5">
        <f>A98+1</f>
        <v>76</v>
      </c>
      <c r="B99" t="s">
        <v>176</v>
      </c>
      <c r="D99" s="20">
        <v>670</v>
      </c>
      <c r="E99" s="19">
        <f t="shared" si="34"/>
        <v>-670</v>
      </c>
      <c r="F99" s="19">
        <v>0</v>
      </c>
      <c r="G99" s="20"/>
      <c r="H99" s="20"/>
      <c r="J99" s="3">
        <f t="shared" si="36"/>
        <v>0</v>
      </c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ht="12.75">
      <c r="A100" s="5">
        <f>A99+1</f>
        <v>77</v>
      </c>
      <c r="B100" t="s">
        <v>125</v>
      </c>
      <c r="D100" s="20">
        <v>-52</v>
      </c>
      <c r="E100" s="19">
        <f t="shared" si="34"/>
        <v>0</v>
      </c>
      <c r="F100" s="19">
        <v>-52</v>
      </c>
      <c r="G100" s="20"/>
      <c r="H100" s="20"/>
      <c r="J100" s="3">
        <f t="shared" si="36"/>
        <v>-52.00000000000001</v>
      </c>
      <c r="K100" s="27">
        <f t="shared" si="37"/>
        <v>-4333.333333333333</v>
      </c>
      <c r="L100" s="27">
        <f t="shared" si="39"/>
        <v>-4333.333333333333</v>
      </c>
      <c r="M100" s="27">
        <f t="shared" si="39"/>
        <v>-4333.333333333333</v>
      </c>
      <c r="N100" s="27">
        <f t="shared" si="39"/>
        <v>-4333.333333333333</v>
      </c>
      <c r="O100" s="27">
        <f t="shared" si="39"/>
        <v>-4333.333333333333</v>
      </c>
      <c r="P100" s="27">
        <f t="shared" si="39"/>
        <v>-4333.333333333333</v>
      </c>
      <c r="Q100" s="27">
        <f t="shared" si="39"/>
        <v>-4333.333333333333</v>
      </c>
      <c r="R100" s="27">
        <f t="shared" si="39"/>
        <v>-4333.333333333333</v>
      </c>
      <c r="S100" s="27">
        <f t="shared" si="39"/>
        <v>-4333.333333333333</v>
      </c>
      <c r="T100" s="27">
        <f t="shared" si="39"/>
        <v>-4333.333333333333</v>
      </c>
      <c r="U100" s="27">
        <f t="shared" si="39"/>
        <v>-4333.333333333333</v>
      </c>
      <c r="V100" s="27">
        <f t="shared" si="39"/>
        <v>-4333.333333333333</v>
      </c>
    </row>
    <row r="101" spans="1:22" ht="12.75">
      <c r="A101" s="5">
        <f>A100+1</f>
        <v>78</v>
      </c>
      <c r="B101" s="17" t="s">
        <v>172</v>
      </c>
      <c r="C101" s="17"/>
      <c r="D101" s="42">
        <v>2073</v>
      </c>
      <c r="E101" s="42">
        <f t="shared" si="34"/>
        <v>-2073</v>
      </c>
      <c r="F101" s="42">
        <v>0</v>
      </c>
      <c r="G101" s="20" t="s">
        <v>150</v>
      </c>
      <c r="H101" s="20">
        <v>324</v>
      </c>
      <c r="J101" s="3">
        <f t="shared" si="36"/>
        <v>0</v>
      </c>
      <c r="K101" s="27">
        <f t="shared" si="37"/>
        <v>0</v>
      </c>
      <c r="L101" s="27">
        <f t="shared" si="39"/>
        <v>0</v>
      </c>
      <c r="M101" s="27">
        <f t="shared" si="39"/>
        <v>0</v>
      </c>
      <c r="N101" s="27">
        <f t="shared" si="39"/>
        <v>0</v>
      </c>
      <c r="O101" s="27">
        <f t="shared" si="39"/>
        <v>0</v>
      </c>
      <c r="P101" s="27">
        <f t="shared" si="39"/>
        <v>0</v>
      </c>
      <c r="Q101" s="27">
        <f t="shared" si="39"/>
        <v>0</v>
      </c>
      <c r="R101" s="27">
        <f t="shared" si="39"/>
        <v>0</v>
      </c>
      <c r="S101" s="27">
        <f t="shared" si="39"/>
        <v>0</v>
      </c>
      <c r="T101" s="27">
        <f t="shared" si="39"/>
        <v>0</v>
      </c>
      <c r="U101" s="27">
        <f t="shared" si="39"/>
        <v>0</v>
      </c>
      <c r="V101" s="27">
        <f t="shared" si="39"/>
        <v>0</v>
      </c>
    </row>
    <row r="102" spans="1:22" ht="12.75">
      <c r="A102" s="5">
        <f>A101+1</f>
        <v>79</v>
      </c>
      <c r="B102" t="s">
        <v>20</v>
      </c>
      <c r="D102" s="19">
        <f>SUM(D91:D101)</f>
        <v>195819</v>
      </c>
      <c r="E102" s="19">
        <f>F102-D102</f>
        <v>-87665.60823441198</v>
      </c>
      <c r="F102" s="19">
        <f>SUM(F91:F101)</f>
        <v>108153.39176558802</v>
      </c>
      <c r="G102" s="19"/>
      <c r="H102" s="42">
        <v>0</v>
      </c>
      <c r="I102" s="19"/>
      <c r="J102" s="3">
        <f t="shared" si="36"/>
        <v>108153.39176558802</v>
      </c>
      <c r="K102" s="27">
        <f aca="true" t="shared" si="40" ref="K102:V102">SUM(K91:K101)</f>
        <v>8276338.0194901535</v>
      </c>
      <c r="L102" s="27">
        <f t="shared" si="40"/>
        <v>7892599.1872446695</v>
      </c>
      <c r="M102" s="27">
        <f t="shared" si="40"/>
        <v>10455419.197323557</v>
      </c>
      <c r="N102" s="27">
        <f t="shared" si="40"/>
        <v>9088401.41706492</v>
      </c>
      <c r="O102" s="27">
        <f t="shared" si="40"/>
        <v>7989789.451731155</v>
      </c>
      <c r="P102" s="27">
        <f t="shared" si="40"/>
        <v>10210243.630451074</v>
      </c>
      <c r="Q102" s="27">
        <f t="shared" si="40"/>
        <v>14846313.591871515</v>
      </c>
      <c r="R102" s="27">
        <f t="shared" si="40"/>
        <v>6977079.015937449</v>
      </c>
      <c r="S102" s="27">
        <f t="shared" si="40"/>
        <v>6954256.507052104</v>
      </c>
      <c r="T102" s="27">
        <f t="shared" si="40"/>
        <v>6784450.536226756</v>
      </c>
      <c r="U102" s="27">
        <f t="shared" si="40"/>
        <v>9615808.84308726</v>
      </c>
      <c r="V102" s="27">
        <f t="shared" si="40"/>
        <v>9062692.3681074</v>
      </c>
    </row>
    <row r="103" spans="1:22" ht="12.75">
      <c r="A103" s="5"/>
      <c r="D103" s="19"/>
      <c r="E103" s="19"/>
      <c r="F103" s="19"/>
      <c r="G103" s="19"/>
      <c r="H103" s="19">
        <v>62060.890920372694</v>
      </c>
      <c r="I103" s="1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10" ht="12.75">
      <c r="A104" s="5"/>
      <c r="B104" s="7" t="s">
        <v>21</v>
      </c>
      <c r="D104" s="19"/>
      <c r="E104" s="19" t="s">
        <v>11</v>
      </c>
      <c r="F104" s="19"/>
      <c r="G104" s="19"/>
      <c r="H104" s="19"/>
      <c r="I104" s="19"/>
      <c r="J104" s="3"/>
    </row>
    <row r="105" spans="1:10" ht="12.75">
      <c r="A105" s="5">
        <f>A102+1</f>
        <v>80</v>
      </c>
      <c r="B105" t="s">
        <v>173</v>
      </c>
      <c r="D105" s="95">
        <v>13</v>
      </c>
      <c r="E105" s="95">
        <f>F105-D105</f>
        <v>-13</v>
      </c>
      <c r="F105" s="95">
        <v>0</v>
      </c>
      <c r="G105" s="95"/>
      <c r="H105" s="95"/>
      <c r="I105" s="19"/>
      <c r="J105" s="3"/>
    </row>
    <row r="106" spans="1:10" ht="12.75">
      <c r="A106" s="5">
        <f>A105+1</f>
        <v>81</v>
      </c>
      <c r="B106" s="17" t="s">
        <v>106</v>
      </c>
      <c r="C106" s="17"/>
      <c r="D106" s="19">
        <v>41799</v>
      </c>
      <c r="E106" s="42">
        <f>F106-D106</f>
        <v>-41799</v>
      </c>
      <c r="F106" s="19">
        <v>0</v>
      </c>
      <c r="G106" s="19"/>
      <c r="H106" s="19">
        <v>48</v>
      </c>
      <c r="I106" s="19"/>
      <c r="J106" s="3"/>
    </row>
    <row r="107" spans="1:10" ht="12.75">
      <c r="A107" s="5">
        <f>A106+1</f>
        <v>82</v>
      </c>
      <c r="B107" t="s">
        <v>22</v>
      </c>
      <c r="D107" s="113">
        <f>SUM(D105:D106)</f>
        <v>41812</v>
      </c>
      <c r="E107" s="19">
        <f>F107-D107</f>
        <v>-41812</v>
      </c>
      <c r="F107" s="21">
        <f>SUM(F105:F106)</f>
        <v>0</v>
      </c>
      <c r="G107" s="19"/>
      <c r="H107" s="19">
        <v>0</v>
      </c>
      <c r="I107" s="19"/>
      <c r="J107" s="3"/>
    </row>
    <row r="108" spans="1:10" ht="7.5" customHeight="1">
      <c r="A108" s="5" t="s">
        <v>11</v>
      </c>
      <c r="D108" s="19"/>
      <c r="E108" s="19"/>
      <c r="F108" s="19"/>
      <c r="G108" s="19"/>
      <c r="H108" s="42">
        <v>0</v>
      </c>
      <c r="I108" s="19"/>
      <c r="J108" s="3"/>
    </row>
    <row r="109" spans="1:10" ht="12.75">
      <c r="A109" s="5"/>
      <c r="B109" s="48" t="s">
        <v>31</v>
      </c>
      <c r="D109" s="19"/>
      <c r="E109" s="19"/>
      <c r="F109" s="19" t="s">
        <v>11</v>
      </c>
      <c r="G109" s="19"/>
      <c r="H109" s="19">
        <v>48</v>
      </c>
      <c r="I109" s="19"/>
      <c r="J109" s="3"/>
    </row>
    <row r="110" spans="1:10" ht="12.75">
      <c r="A110" s="5">
        <f>A107+1</f>
        <v>83</v>
      </c>
      <c r="B110" t="s">
        <v>28</v>
      </c>
      <c r="D110" s="95">
        <v>303</v>
      </c>
      <c r="E110" s="95">
        <f>F110-D110</f>
        <v>-1</v>
      </c>
      <c r="F110" s="95">
        <v>302</v>
      </c>
      <c r="G110" s="95"/>
      <c r="H110" s="95"/>
      <c r="I110" s="19"/>
      <c r="J110" s="3"/>
    </row>
    <row r="111" spans="1:10" ht="6.75" customHeight="1">
      <c r="A111" s="5"/>
      <c r="D111" s="95"/>
      <c r="E111" s="19"/>
      <c r="F111" s="95"/>
      <c r="G111" s="19"/>
      <c r="H111" s="19" t="s">
        <v>11</v>
      </c>
      <c r="I111" s="19"/>
      <c r="J111" s="3"/>
    </row>
    <row r="112" spans="1:10" ht="12.75">
      <c r="A112" s="5"/>
      <c r="B112" s="48" t="s">
        <v>58</v>
      </c>
      <c r="D112" s="95"/>
      <c r="E112" s="19"/>
      <c r="F112" s="95"/>
      <c r="G112" s="19"/>
      <c r="H112" s="19">
        <v>365</v>
      </c>
      <c r="I112" s="19"/>
      <c r="J112" s="3"/>
    </row>
    <row r="113" spans="1:10" ht="12.75">
      <c r="A113" s="5">
        <f>A110+1</f>
        <v>84</v>
      </c>
      <c r="B113" t="s">
        <v>59</v>
      </c>
      <c r="D113" s="95">
        <v>57</v>
      </c>
      <c r="E113" s="95">
        <f>F113-D113</f>
        <v>-33</v>
      </c>
      <c r="F113" s="95">
        <v>24</v>
      </c>
      <c r="G113" s="95"/>
      <c r="H113" s="95"/>
      <c r="I113" s="19"/>
      <c r="J113" s="3"/>
    </row>
    <row r="114" spans="1:10" ht="6" customHeight="1">
      <c r="A114" s="5"/>
      <c r="D114" s="19"/>
      <c r="E114" s="19"/>
      <c r="F114" s="19"/>
      <c r="G114" s="19"/>
      <c r="H114" s="19"/>
      <c r="I114" s="19"/>
      <c r="J114" s="3"/>
    </row>
    <row r="115" spans="1:10" ht="12.75">
      <c r="A115" s="5">
        <f>A113+1</f>
        <v>85</v>
      </c>
      <c r="B115" s="45" t="s">
        <v>23</v>
      </c>
      <c r="C115" s="38"/>
      <c r="D115" s="46">
        <f>D102+D107+D110+D113</f>
        <v>237991</v>
      </c>
      <c r="E115" s="46">
        <f>F115-D115</f>
        <v>-129511.60823441198</v>
      </c>
      <c r="F115" s="47">
        <f>F102+F107+F110+F113</f>
        <v>108479.39176558802</v>
      </c>
      <c r="G115" s="19"/>
      <c r="H115" s="19">
        <v>24</v>
      </c>
      <c r="I115" s="19"/>
      <c r="J115" s="3"/>
    </row>
    <row r="116" spans="1:10" ht="7.5" customHeight="1">
      <c r="A116" s="5"/>
      <c r="D116" s="19"/>
      <c r="E116" s="19"/>
      <c r="F116" s="19"/>
      <c r="G116" s="19"/>
      <c r="H116" s="19"/>
      <c r="I116" s="19"/>
      <c r="J116" s="3"/>
    </row>
    <row r="117" spans="1:10" ht="12.75">
      <c r="A117" s="5">
        <f>A115+1</f>
        <v>86</v>
      </c>
      <c r="B117" s="45" t="s">
        <v>174</v>
      </c>
      <c r="C117" s="38"/>
      <c r="D117" s="46">
        <f>D88-D115</f>
        <v>198834</v>
      </c>
      <c r="E117" s="46">
        <f>F117-D117</f>
        <v>38800.76693089749</v>
      </c>
      <c r="F117" s="47">
        <f>F88-F115</f>
        <v>237634.7669308975</v>
      </c>
      <c r="G117" s="19"/>
      <c r="H117" s="46">
        <v>62497.890920372694</v>
      </c>
      <c r="I117" s="19"/>
      <c r="J117" s="3"/>
    </row>
    <row r="118" spans="1:10" ht="12.75" customHeight="1">
      <c r="A118" s="5"/>
      <c r="D118" s="19"/>
      <c r="E118" s="19"/>
      <c r="F118" s="19"/>
      <c r="G118" s="19"/>
      <c r="H118" s="19"/>
      <c r="I118" s="19"/>
      <c r="J118" s="3"/>
    </row>
    <row r="119" spans="1:10" ht="12.75" customHeight="1">
      <c r="A119" s="5">
        <f>A117+1</f>
        <v>87</v>
      </c>
      <c r="B119" s="2" t="s">
        <v>179</v>
      </c>
      <c r="D119" s="19"/>
      <c r="E119" s="3">
        <f>-E35</f>
        <v>18439</v>
      </c>
      <c r="F119" s="19"/>
      <c r="G119" s="19"/>
      <c r="H119" s="19"/>
      <c r="I119" s="19"/>
      <c r="J119" s="3"/>
    </row>
    <row r="120" spans="1:10" ht="12.75" customHeight="1">
      <c r="A120" s="5"/>
      <c r="B120" s="117"/>
      <c r="D120" s="19"/>
      <c r="E120" s="19"/>
      <c r="F120" s="19"/>
      <c r="G120" s="19"/>
      <c r="H120" s="19"/>
      <c r="I120" s="19"/>
      <c r="J120" s="3"/>
    </row>
    <row r="121" spans="1:10" ht="12.75" customHeight="1">
      <c r="A121" s="5">
        <f>A119+1</f>
        <v>88</v>
      </c>
      <c r="B121" s="2" t="s">
        <v>178</v>
      </c>
      <c r="E121" s="3">
        <f>E117+E119</f>
        <v>57239.76693089749</v>
      </c>
      <c r="J121" s="3"/>
    </row>
    <row r="122" ht="12.75">
      <c r="J122" s="3"/>
    </row>
    <row r="123" spans="2:22" ht="12.75">
      <c r="B123" t="s">
        <v>149</v>
      </c>
      <c r="J123" s="3">
        <f>SUM(K123:V123)</f>
        <v>218166821.95133856</v>
      </c>
      <c r="K123" s="27">
        <f aca="true" t="shared" si="41" ref="K123:V123">K39+K53+K64-K102</f>
        <v>25559781.29371229</v>
      </c>
      <c r="L123" s="27">
        <f t="shared" si="41"/>
        <v>21858468.766768135</v>
      </c>
      <c r="M123" s="27">
        <f t="shared" si="41"/>
        <v>18214738.394413732</v>
      </c>
      <c r="N123" s="27">
        <f t="shared" si="41"/>
        <v>11427085.26151412</v>
      </c>
      <c r="O123" s="27">
        <f t="shared" si="41"/>
        <v>5284996.85263161</v>
      </c>
      <c r="P123" s="27">
        <f t="shared" si="41"/>
        <v>4635162.038618563</v>
      </c>
      <c r="Q123" s="27">
        <f t="shared" si="41"/>
        <v>11771815.01667118</v>
      </c>
      <c r="R123" s="27">
        <f t="shared" si="41"/>
        <v>23811484.002729423</v>
      </c>
      <c r="S123" s="27">
        <f t="shared" si="41"/>
        <v>20624868.49119254</v>
      </c>
      <c r="T123" s="27">
        <f t="shared" si="41"/>
        <v>24289397.501050517</v>
      </c>
      <c r="U123" s="27">
        <f t="shared" si="41"/>
        <v>24405359.43855453</v>
      </c>
      <c r="V123" s="27">
        <f t="shared" si="41"/>
        <v>26283664.89348188</v>
      </c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  <row r="403" ht="12.75">
      <c r="J403" s="3"/>
    </row>
    <row r="404" ht="12.75">
      <c r="J404" s="3"/>
    </row>
    <row r="405" ht="12.75">
      <c r="J405" s="3"/>
    </row>
    <row r="406" ht="12.75">
      <c r="J406" s="3"/>
    </row>
    <row r="407" ht="12.75">
      <c r="J407" s="3"/>
    </row>
    <row r="408" ht="12.75">
      <c r="J408" s="3"/>
    </row>
    <row r="409" ht="12.75">
      <c r="J409" s="3"/>
    </row>
    <row r="410" ht="12.75">
      <c r="J410" s="3"/>
    </row>
    <row r="411" ht="12.75">
      <c r="J411" s="3"/>
    </row>
    <row r="412" ht="12.75">
      <c r="J412" s="3"/>
    </row>
    <row r="413" ht="12.75">
      <c r="J413" s="3"/>
    </row>
    <row r="414" ht="12.75">
      <c r="J414" s="3"/>
    </row>
    <row r="415" ht="12.75">
      <c r="J415" s="3"/>
    </row>
    <row r="416" ht="12.75">
      <c r="J416" s="3"/>
    </row>
    <row r="417" ht="12.75">
      <c r="J417" s="3"/>
    </row>
    <row r="418" ht="12.75">
      <c r="J418" s="3"/>
    </row>
    <row r="419" ht="12.75">
      <c r="J419" s="3"/>
    </row>
    <row r="420" ht="12.75">
      <c r="J420" s="3"/>
    </row>
    <row r="421" ht="12.75">
      <c r="J421" s="3"/>
    </row>
    <row r="422" ht="12.75">
      <c r="J422" s="3"/>
    </row>
    <row r="423" ht="12.75">
      <c r="J423" s="3"/>
    </row>
    <row r="424" ht="12.75">
      <c r="J424" s="3"/>
    </row>
    <row r="425" ht="12.75">
      <c r="J425" s="3"/>
    </row>
    <row r="426" ht="12.75">
      <c r="J426" s="3"/>
    </row>
    <row r="427" ht="12.75">
      <c r="J427" s="3"/>
    </row>
    <row r="428" ht="12.75">
      <c r="J428" s="3"/>
    </row>
    <row r="429" ht="12.75">
      <c r="J429" s="3"/>
    </row>
    <row r="430" ht="12.75">
      <c r="J430" s="3"/>
    </row>
    <row r="431" ht="12.75">
      <c r="J431" s="3"/>
    </row>
    <row r="432" ht="12.75">
      <c r="J432" s="3"/>
    </row>
    <row r="433" ht="12.75">
      <c r="J433" s="3"/>
    </row>
    <row r="434" ht="12.75">
      <c r="J434" s="3"/>
    </row>
    <row r="435" ht="12.75">
      <c r="J435" s="3"/>
    </row>
    <row r="436" ht="12.75">
      <c r="J436" s="3"/>
    </row>
    <row r="437" ht="12.75">
      <c r="J437" s="3"/>
    </row>
    <row r="438" ht="12.75">
      <c r="J438" s="3"/>
    </row>
    <row r="439" ht="12.75">
      <c r="J439" s="3"/>
    </row>
    <row r="440" ht="12.75">
      <c r="J440" s="3"/>
    </row>
    <row r="441" ht="12.75">
      <c r="J441" s="3"/>
    </row>
    <row r="442" ht="12.75">
      <c r="J442" s="3"/>
    </row>
    <row r="443" ht="12.75">
      <c r="J443" s="3"/>
    </row>
    <row r="444" ht="12.75">
      <c r="J444" s="3"/>
    </row>
    <row r="445" ht="12.75">
      <c r="J445" s="3"/>
    </row>
    <row r="446" ht="12.75">
      <c r="J446" s="3"/>
    </row>
    <row r="447" ht="12.75">
      <c r="J447" s="3"/>
    </row>
    <row r="448" ht="12.75">
      <c r="J448" s="3"/>
    </row>
    <row r="449" ht="12.75">
      <c r="J449" s="3"/>
    </row>
    <row r="450" ht="12.75">
      <c r="J450" s="3"/>
    </row>
    <row r="451" ht="12.75">
      <c r="J451" s="3"/>
    </row>
    <row r="452" ht="12.75">
      <c r="J452" s="3"/>
    </row>
    <row r="453" ht="12.75">
      <c r="J453" s="3"/>
    </row>
    <row r="454" ht="12.75">
      <c r="J454" s="3"/>
    </row>
    <row r="455" ht="12.75">
      <c r="J455" s="3"/>
    </row>
    <row r="456" ht="12.75">
      <c r="J456" s="3"/>
    </row>
    <row r="457" ht="12.75">
      <c r="J457" s="3"/>
    </row>
    <row r="458" ht="12.75">
      <c r="J458" s="3"/>
    </row>
    <row r="459" ht="12.75">
      <c r="J459" s="3"/>
    </row>
    <row r="460" ht="12.75">
      <c r="J460" s="3"/>
    </row>
    <row r="461" ht="12.75">
      <c r="J461" s="3"/>
    </row>
    <row r="462" ht="12.75">
      <c r="J462" s="3"/>
    </row>
    <row r="463" ht="12.75">
      <c r="J463" s="3"/>
    </row>
    <row r="464" ht="12.75">
      <c r="J464" s="3"/>
    </row>
    <row r="465" ht="12.75">
      <c r="J465" s="3"/>
    </row>
    <row r="466" ht="12.75">
      <c r="J466" s="3"/>
    </row>
    <row r="467" ht="12.75">
      <c r="J467" s="3"/>
    </row>
    <row r="468" ht="12.75">
      <c r="J468" s="3"/>
    </row>
    <row r="469" ht="12.75">
      <c r="J469" s="3"/>
    </row>
    <row r="470" ht="12.75">
      <c r="J470" s="3"/>
    </row>
    <row r="471" ht="12.75">
      <c r="J471" s="3"/>
    </row>
    <row r="472" ht="12.75">
      <c r="J472" s="3"/>
    </row>
    <row r="473" ht="12.75">
      <c r="J473" s="3"/>
    </row>
    <row r="474" ht="12.75">
      <c r="J474" s="3"/>
    </row>
    <row r="475" ht="12.75">
      <c r="J475" s="3"/>
    </row>
    <row r="476" ht="12.75">
      <c r="J476" s="3"/>
    </row>
    <row r="477" ht="12.75">
      <c r="J477" s="3"/>
    </row>
    <row r="478" ht="12.75">
      <c r="J478" s="3"/>
    </row>
    <row r="479" ht="12.75">
      <c r="J479" s="3"/>
    </row>
    <row r="480" ht="12.75">
      <c r="J480" s="3"/>
    </row>
    <row r="481" ht="12.75">
      <c r="J481" s="3"/>
    </row>
    <row r="482" ht="12.75">
      <c r="J482" s="3"/>
    </row>
    <row r="483" ht="12.75">
      <c r="J483" s="3"/>
    </row>
    <row r="484" ht="12.75">
      <c r="J484" s="3"/>
    </row>
    <row r="485" ht="12.75">
      <c r="J485" s="3"/>
    </row>
    <row r="486" ht="12.75">
      <c r="J486" s="3"/>
    </row>
    <row r="487" ht="12.75">
      <c r="J487" s="3"/>
    </row>
    <row r="488" ht="12.75">
      <c r="J488" s="3"/>
    </row>
    <row r="489" ht="12.75">
      <c r="J489" s="3"/>
    </row>
    <row r="490" ht="12.75">
      <c r="J490" s="3"/>
    </row>
    <row r="491" ht="12.75">
      <c r="J491" s="3"/>
    </row>
    <row r="492" ht="12.75">
      <c r="J492" s="3"/>
    </row>
    <row r="493" ht="12.75">
      <c r="J493" s="3"/>
    </row>
    <row r="494" ht="12.75">
      <c r="J494" s="3"/>
    </row>
    <row r="495" ht="12.75">
      <c r="J495" s="3"/>
    </row>
    <row r="496" ht="12.75">
      <c r="J496" s="3"/>
    </row>
    <row r="497" ht="12.75">
      <c r="J497" s="3"/>
    </row>
    <row r="498" ht="12.75">
      <c r="J498" s="3"/>
    </row>
    <row r="499" ht="12.75">
      <c r="J499" s="3"/>
    </row>
    <row r="500" ht="12.75">
      <c r="J500" s="3"/>
    </row>
    <row r="501" ht="12.75">
      <c r="J501" s="3"/>
    </row>
    <row r="502" ht="12.75">
      <c r="J502" s="3"/>
    </row>
    <row r="503" ht="12.75">
      <c r="J503" s="3"/>
    </row>
    <row r="504" ht="12.75">
      <c r="J504" s="3"/>
    </row>
    <row r="505" ht="12.75">
      <c r="J505" s="3"/>
    </row>
    <row r="506" ht="12.75">
      <c r="J506" s="3"/>
    </row>
    <row r="507" ht="12.75">
      <c r="J507" s="3"/>
    </row>
    <row r="508" ht="12.75">
      <c r="J508" s="3"/>
    </row>
    <row r="509" ht="12.75">
      <c r="J509" s="3"/>
    </row>
    <row r="510" ht="12.75">
      <c r="J510" s="3"/>
    </row>
    <row r="511" ht="12.75">
      <c r="J511" s="3"/>
    </row>
    <row r="512" ht="12.75">
      <c r="J512" s="3"/>
    </row>
    <row r="513" ht="12.75">
      <c r="J513" s="3"/>
    </row>
    <row r="514" ht="12.75">
      <c r="J514" s="3"/>
    </row>
    <row r="515" ht="12.75">
      <c r="J515" s="3"/>
    </row>
    <row r="516" ht="12.75">
      <c r="J516" s="3"/>
    </row>
    <row r="517" ht="12.75">
      <c r="J517" s="3"/>
    </row>
    <row r="518" ht="12.75">
      <c r="J518" s="3"/>
    </row>
    <row r="519" ht="12.75">
      <c r="J519" s="3"/>
    </row>
    <row r="520" ht="12.75">
      <c r="J520" s="3"/>
    </row>
    <row r="521" ht="12.75">
      <c r="J521" s="3"/>
    </row>
    <row r="522" ht="12.75">
      <c r="J522" s="3"/>
    </row>
    <row r="523" ht="12.75">
      <c r="J523" s="3"/>
    </row>
    <row r="524" ht="12.75">
      <c r="J524" s="3"/>
    </row>
    <row r="525" ht="12.75">
      <c r="J525" s="3"/>
    </row>
    <row r="526" ht="12.75">
      <c r="J526" s="3"/>
    </row>
    <row r="527" ht="12.75">
      <c r="J527" s="3"/>
    </row>
    <row r="528" ht="12.75">
      <c r="J528" s="3"/>
    </row>
    <row r="529" ht="12.75">
      <c r="J529" s="3"/>
    </row>
    <row r="530" ht="12.75">
      <c r="J530" s="3"/>
    </row>
    <row r="531" ht="12.75">
      <c r="J531" s="3"/>
    </row>
    <row r="532" ht="12.75">
      <c r="J532" s="3"/>
    </row>
    <row r="533" ht="12.75">
      <c r="J533" s="3"/>
    </row>
    <row r="534" ht="12.75">
      <c r="J534" s="3"/>
    </row>
    <row r="535" ht="12.75">
      <c r="J535" s="3"/>
    </row>
    <row r="536" ht="12.75">
      <c r="J536" s="3"/>
    </row>
    <row r="537" ht="12.75">
      <c r="J537" s="3"/>
    </row>
    <row r="538" ht="12.75">
      <c r="J538" s="3"/>
    </row>
    <row r="539" ht="12.75">
      <c r="J539" s="3"/>
    </row>
    <row r="540" ht="12.75">
      <c r="J540" s="3"/>
    </row>
    <row r="541" ht="12.75">
      <c r="J541" s="3"/>
    </row>
    <row r="542" ht="12.75">
      <c r="J542" s="3"/>
    </row>
    <row r="543" ht="12.75">
      <c r="J543" s="3"/>
    </row>
    <row r="544" ht="12.75">
      <c r="J544" s="3"/>
    </row>
    <row r="545" ht="12.75">
      <c r="J545" s="3"/>
    </row>
    <row r="546" ht="12.75">
      <c r="J546" s="3"/>
    </row>
    <row r="547" ht="12.75">
      <c r="J547" s="3"/>
    </row>
    <row r="548" ht="12.75">
      <c r="J548" s="3"/>
    </row>
    <row r="549" ht="12.75">
      <c r="J549" s="3"/>
    </row>
    <row r="550" ht="12.75">
      <c r="J550" s="3"/>
    </row>
    <row r="551" ht="12.75">
      <c r="J551" s="3"/>
    </row>
    <row r="552" ht="12.75">
      <c r="J552" s="3"/>
    </row>
    <row r="553" ht="12.75">
      <c r="J553" s="3"/>
    </row>
    <row r="554" ht="12.75">
      <c r="J554" s="3"/>
    </row>
    <row r="555" ht="12.75">
      <c r="J555" s="3"/>
    </row>
    <row r="556" ht="12.75">
      <c r="J556" s="3"/>
    </row>
    <row r="557" ht="12.75">
      <c r="J557" s="3"/>
    </row>
    <row r="558" ht="12.75">
      <c r="J558" s="3"/>
    </row>
    <row r="559" ht="12.75">
      <c r="J559" s="3"/>
    </row>
    <row r="560" ht="12.75">
      <c r="J560" s="3"/>
    </row>
    <row r="561" ht="12.75">
      <c r="J561" s="3"/>
    </row>
    <row r="562" ht="12.75">
      <c r="J562" s="3"/>
    </row>
    <row r="563" ht="12.75">
      <c r="J563" s="3"/>
    </row>
    <row r="564" ht="12.75">
      <c r="J564" s="3"/>
    </row>
    <row r="565" ht="12.75">
      <c r="J565" s="3"/>
    </row>
    <row r="566" ht="12.75">
      <c r="J566" s="3"/>
    </row>
    <row r="567" ht="12.75">
      <c r="J567" s="3"/>
    </row>
    <row r="568" ht="12.75">
      <c r="J568" s="3"/>
    </row>
    <row r="569" ht="12.75">
      <c r="J569" s="3"/>
    </row>
    <row r="570" ht="12.75">
      <c r="J570" s="3"/>
    </row>
    <row r="571" ht="12.75">
      <c r="J571" s="3"/>
    </row>
    <row r="572" ht="12.75">
      <c r="J572" s="3"/>
    </row>
    <row r="573" ht="12.75">
      <c r="J573" s="3"/>
    </row>
    <row r="574" ht="12.75">
      <c r="J574" s="3"/>
    </row>
    <row r="575" ht="12.75">
      <c r="J575" s="3"/>
    </row>
    <row r="576" ht="12.75">
      <c r="J576" s="3"/>
    </row>
    <row r="577" ht="12.75">
      <c r="J577" s="3"/>
    </row>
    <row r="578" ht="12.75">
      <c r="J578" s="3"/>
    </row>
    <row r="579" ht="12.75">
      <c r="J579" s="3"/>
    </row>
    <row r="580" ht="12.75">
      <c r="J580" s="3"/>
    </row>
    <row r="581" ht="12.75">
      <c r="J581" s="3"/>
    </row>
    <row r="582" ht="12.75">
      <c r="J582" s="3"/>
    </row>
    <row r="583" ht="12.75">
      <c r="J583" s="3"/>
    </row>
    <row r="584" ht="12.75">
      <c r="J584" s="3"/>
    </row>
    <row r="585" ht="12.75">
      <c r="J585" s="3"/>
    </row>
    <row r="586" ht="12.75">
      <c r="J586" s="3"/>
    </row>
    <row r="587" ht="12.75">
      <c r="J587" s="3"/>
    </row>
    <row r="588" ht="12.75">
      <c r="J588" s="3"/>
    </row>
    <row r="589" ht="12.75">
      <c r="J589" s="3"/>
    </row>
    <row r="590" ht="12.75">
      <c r="J590" s="3"/>
    </row>
    <row r="591" ht="12.75">
      <c r="J591" s="3"/>
    </row>
    <row r="592" ht="12.75">
      <c r="J592" s="3"/>
    </row>
    <row r="593" ht="12.75">
      <c r="J593" s="3"/>
    </row>
    <row r="594" ht="12.75">
      <c r="J594" s="3"/>
    </row>
    <row r="595" ht="12.75">
      <c r="J595" s="3"/>
    </row>
    <row r="596" ht="12.75">
      <c r="J596" s="3"/>
    </row>
    <row r="597" ht="12.75">
      <c r="J597" s="3"/>
    </row>
    <row r="598" ht="12.75">
      <c r="J598" s="3"/>
    </row>
    <row r="599" ht="12.75">
      <c r="J599" s="3"/>
    </row>
    <row r="600" ht="12.75">
      <c r="J600" s="3"/>
    </row>
    <row r="601" ht="12.75">
      <c r="J601" s="3"/>
    </row>
    <row r="602" ht="12.75">
      <c r="J602" s="3"/>
    </row>
    <row r="603" ht="12.75">
      <c r="J603" s="3"/>
    </row>
    <row r="604" ht="12.75">
      <c r="J604" s="3"/>
    </row>
    <row r="605" ht="12.75">
      <c r="J605" s="3"/>
    </row>
    <row r="606" ht="12.75">
      <c r="J606" s="3"/>
    </row>
    <row r="607" ht="12.75">
      <c r="J607" s="3"/>
    </row>
    <row r="608" ht="12.75">
      <c r="J608" s="3"/>
    </row>
    <row r="609" ht="12.75">
      <c r="J609" s="3"/>
    </row>
    <row r="610" ht="12.75">
      <c r="J610" s="3"/>
    </row>
    <row r="611" ht="12.75">
      <c r="J611" s="3"/>
    </row>
    <row r="612" ht="12.75">
      <c r="J612" s="3"/>
    </row>
    <row r="613" ht="12.75">
      <c r="J613" s="3"/>
    </row>
    <row r="614" ht="12.75">
      <c r="J614" s="3"/>
    </row>
    <row r="615" ht="12.75">
      <c r="J615" s="3"/>
    </row>
    <row r="616" ht="12.75">
      <c r="J616" s="3"/>
    </row>
    <row r="617" ht="12.75">
      <c r="J617" s="3"/>
    </row>
    <row r="618" ht="12.75">
      <c r="J618" s="3"/>
    </row>
    <row r="619" ht="12.75">
      <c r="J619" s="3"/>
    </row>
    <row r="620" ht="12.75">
      <c r="J620" s="3"/>
    </row>
    <row r="621" ht="12.75">
      <c r="J621" s="3"/>
    </row>
    <row r="622" ht="12.75">
      <c r="J622" s="3"/>
    </row>
    <row r="623" ht="12.75">
      <c r="J623" s="3"/>
    </row>
    <row r="624" ht="12.75">
      <c r="J624" s="3"/>
    </row>
    <row r="625" ht="12.75">
      <c r="J625" s="3"/>
    </row>
    <row r="626" ht="12.75">
      <c r="J626" s="3"/>
    </row>
    <row r="627" ht="12.75">
      <c r="J627" s="3"/>
    </row>
    <row r="628" ht="12.75">
      <c r="J628" s="3"/>
    </row>
    <row r="629" ht="12.75">
      <c r="J629" s="3"/>
    </row>
    <row r="630" ht="12.75">
      <c r="J630" s="3"/>
    </row>
    <row r="631" ht="12.75">
      <c r="J631" s="3"/>
    </row>
    <row r="632" ht="12.75">
      <c r="J632" s="3"/>
    </row>
    <row r="633" ht="12.75">
      <c r="J633" s="3"/>
    </row>
    <row r="634" ht="12.75">
      <c r="J634" s="3"/>
    </row>
    <row r="635" ht="12.75">
      <c r="J635" s="3"/>
    </row>
    <row r="636" ht="12.75">
      <c r="J636" s="3"/>
    </row>
    <row r="637" ht="12.75">
      <c r="J637" s="3"/>
    </row>
    <row r="638" ht="12.75">
      <c r="J638" s="3"/>
    </row>
    <row r="639" ht="12.75">
      <c r="J639" s="3"/>
    </row>
    <row r="640" ht="12.75">
      <c r="J640" s="3"/>
    </row>
    <row r="641" ht="12.75">
      <c r="J641" s="3"/>
    </row>
    <row r="642" ht="12.75">
      <c r="J642" s="3"/>
    </row>
    <row r="643" ht="12.75">
      <c r="J643" s="3"/>
    </row>
    <row r="644" ht="12.75">
      <c r="J644" s="3"/>
    </row>
    <row r="645" ht="12.75">
      <c r="J645" s="3"/>
    </row>
    <row r="646" ht="12.75">
      <c r="J646" s="3"/>
    </row>
    <row r="647" ht="12.75">
      <c r="J647" s="3"/>
    </row>
    <row r="648" ht="12.75">
      <c r="J648" s="3"/>
    </row>
    <row r="649" ht="12.75">
      <c r="J649" s="3"/>
    </row>
    <row r="650" ht="12.75">
      <c r="J650" s="3"/>
    </row>
    <row r="651" ht="12.75">
      <c r="J651" s="3"/>
    </row>
    <row r="652" ht="12.75">
      <c r="J652" s="3"/>
    </row>
    <row r="653" ht="12.75">
      <c r="J653" s="3"/>
    </row>
    <row r="654" ht="12.75">
      <c r="J654" s="3"/>
    </row>
    <row r="655" ht="12.75">
      <c r="J655" s="3"/>
    </row>
    <row r="656" ht="12.75">
      <c r="J656" s="3"/>
    </row>
    <row r="657" ht="12.75">
      <c r="J657" s="3"/>
    </row>
    <row r="658" ht="12.75">
      <c r="J658" s="3"/>
    </row>
    <row r="659" ht="12.75">
      <c r="J659" s="3"/>
    </row>
    <row r="660" ht="12.75">
      <c r="J660" s="3"/>
    </row>
    <row r="661" ht="12.75">
      <c r="J661" s="3"/>
    </row>
    <row r="662" ht="12.75">
      <c r="J662" s="3"/>
    </row>
    <row r="663" ht="12.75">
      <c r="J663" s="3"/>
    </row>
    <row r="664" ht="12.75">
      <c r="J664" s="3"/>
    </row>
    <row r="665" ht="12.75">
      <c r="J665" s="3"/>
    </row>
    <row r="666" ht="12.75">
      <c r="J666" s="3"/>
    </row>
    <row r="667" ht="12.75">
      <c r="J667" s="3"/>
    </row>
    <row r="668" ht="12.75">
      <c r="J668" s="3"/>
    </row>
    <row r="669" ht="12.75">
      <c r="J669" s="3"/>
    </row>
    <row r="670" ht="12.75">
      <c r="J670" s="3"/>
    </row>
    <row r="671" ht="12.75">
      <c r="J671" s="3"/>
    </row>
    <row r="672" ht="12.75">
      <c r="J672" s="3"/>
    </row>
    <row r="673" ht="12.75">
      <c r="J673" s="3"/>
    </row>
    <row r="674" ht="12.75">
      <c r="J674" s="3"/>
    </row>
    <row r="675" ht="12.75">
      <c r="J675" s="3"/>
    </row>
    <row r="676" ht="12.75">
      <c r="J676" s="3"/>
    </row>
    <row r="677" ht="12.75">
      <c r="J677" s="3"/>
    </row>
    <row r="678" ht="12.75">
      <c r="J678" s="3"/>
    </row>
    <row r="679" ht="12.75">
      <c r="J679" s="3"/>
    </row>
    <row r="680" ht="12.75">
      <c r="J680" s="3"/>
    </row>
    <row r="681" ht="12.75">
      <c r="J681" s="3"/>
    </row>
    <row r="682" ht="12.75">
      <c r="J682" s="3"/>
    </row>
    <row r="683" ht="12.75">
      <c r="J683" s="3"/>
    </row>
    <row r="684" ht="12.75">
      <c r="J684" s="3"/>
    </row>
    <row r="685" ht="12.75">
      <c r="J685" s="3"/>
    </row>
    <row r="686" ht="12.75">
      <c r="J686" s="3"/>
    </row>
    <row r="687" ht="12.75">
      <c r="J687" s="3"/>
    </row>
    <row r="688" ht="12.75">
      <c r="J688" s="3"/>
    </row>
    <row r="689" ht="12.75">
      <c r="J689" s="3"/>
    </row>
    <row r="690" ht="12.75">
      <c r="J690" s="3"/>
    </row>
    <row r="691" ht="12.75">
      <c r="J691" s="3"/>
    </row>
    <row r="692" ht="12.75">
      <c r="J692" s="3"/>
    </row>
    <row r="693" ht="12.75">
      <c r="J693" s="3"/>
    </row>
    <row r="694" ht="12.75">
      <c r="J694" s="3"/>
    </row>
    <row r="695" ht="12.75">
      <c r="J695" s="3"/>
    </row>
    <row r="696" ht="12.75">
      <c r="J696" s="3"/>
    </row>
  </sheetData>
  <printOptions/>
  <pageMargins left="0.75" right="0.75" top="1" bottom="1" header="0.5" footer="0.5"/>
  <pageSetup horizontalDpi="600" verticalDpi="600" orientation="portrait" scale="80" r:id="rId1"/>
  <headerFooter alignWithMargins="0">
    <oddHeader>&amp;R&amp;"Geneva,Bold"&amp;12Exhibit No. _____ (WGJ-2)</oddHeader>
    <oddFooter>&amp;R&amp;"Arial,Bold"&amp;12Page &amp;P of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workbookViewId="0" topLeftCell="A4">
      <pane xSplit="6930" ySplit="1590" topLeftCell="L1" activePane="bottomLeft" state="split"/>
      <selection pane="topLeft" activeCell="B127" sqref="B127"/>
      <selection pane="topRight" activeCell="B127" sqref="B127"/>
      <selection pane="bottomLeft" activeCell="B127" sqref="B127"/>
      <selection pane="bottomRight" activeCell="B127" sqref="B127"/>
    </sheetView>
  </sheetViews>
  <sheetFormatPr defaultColWidth="9.00390625" defaultRowHeight="12.75"/>
  <cols>
    <col min="1" max="1" width="46.25390625" style="0" customWidth="1"/>
    <col min="2" max="2" width="2.00390625" style="0" hidden="1" customWidth="1"/>
    <col min="3" max="15" width="13.75390625" style="0" customWidth="1"/>
    <col min="16" max="16384" width="11.375" style="0" customWidth="1"/>
  </cols>
  <sheetData>
    <row r="1" ht="18">
      <c r="A1" s="94" t="s">
        <v>36</v>
      </c>
    </row>
    <row r="2" ht="18">
      <c r="A2" s="94" t="s">
        <v>130</v>
      </c>
    </row>
    <row r="3" spans="1:9" ht="18">
      <c r="A3" s="94" t="s">
        <v>245</v>
      </c>
      <c r="I3" s="14"/>
    </row>
    <row r="4" spans="2:9" ht="12.75">
      <c r="B4" s="58"/>
      <c r="I4" s="14"/>
    </row>
    <row r="6" spans="3:15" ht="12.75">
      <c r="C6" s="40"/>
      <c r="D6" s="40">
        <v>744</v>
      </c>
      <c r="E6" s="40">
        <v>672</v>
      </c>
      <c r="F6" s="40">
        <v>743</v>
      </c>
      <c r="G6" s="40">
        <v>720</v>
      </c>
      <c r="H6" s="40">
        <v>744</v>
      </c>
      <c r="I6" s="40">
        <v>720</v>
      </c>
      <c r="J6" s="40">
        <v>744</v>
      </c>
      <c r="K6" s="40">
        <v>744</v>
      </c>
      <c r="L6" s="40">
        <v>720</v>
      </c>
      <c r="M6" s="40">
        <v>744</v>
      </c>
      <c r="N6" s="40">
        <v>721</v>
      </c>
      <c r="O6" s="40">
        <v>744</v>
      </c>
    </row>
    <row r="7" spans="3:15" ht="12.75">
      <c r="C7" s="24" t="s">
        <v>37</v>
      </c>
      <c r="D7" s="25">
        <v>38717</v>
      </c>
      <c r="E7" s="25">
        <v>38748</v>
      </c>
      <c r="F7" s="25">
        <v>38776</v>
      </c>
      <c r="G7" s="25">
        <v>38807</v>
      </c>
      <c r="H7" s="25">
        <v>38837</v>
      </c>
      <c r="I7" s="25">
        <v>38868</v>
      </c>
      <c r="J7" s="25">
        <v>38898</v>
      </c>
      <c r="K7" s="25">
        <v>38929</v>
      </c>
      <c r="L7" s="25">
        <v>38960</v>
      </c>
      <c r="M7" s="25">
        <v>38990</v>
      </c>
      <c r="N7" s="25">
        <v>39021</v>
      </c>
      <c r="O7" s="25">
        <v>39051</v>
      </c>
    </row>
    <row r="8" ht="12.75">
      <c r="C8" s="54"/>
    </row>
    <row r="9" spans="1:16" ht="12.75">
      <c r="A9" t="s">
        <v>117</v>
      </c>
      <c r="B9" s="5" t="s">
        <v>60</v>
      </c>
      <c r="C9" s="41">
        <f>SUM(D9:O9)</f>
        <v>-93179292.53417969</v>
      </c>
      <c r="D9" s="27">
        <f>Aurora!B40*1000</f>
        <v>-6979053.908691406</v>
      </c>
      <c r="E9" s="27">
        <f>Aurora!C40*1000</f>
        <v>-6658938.548583984</v>
      </c>
      <c r="F9" s="27">
        <f>Aurora!D40*1000</f>
        <v>-9215201.733398438</v>
      </c>
      <c r="G9" s="27">
        <f>Aurora!E40*1000</f>
        <v>-7902679.00390625</v>
      </c>
      <c r="H9" s="27">
        <f>Aurora!F40*1000</f>
        <v>-6855417.907714844</v>
      </c>
      <c r="I9" s="27">
        <f>Aurora!G40*1000</f>
        <v>-9108080.684814453</v>
      </c>
      <c r="J9" s="27">
        <f>Aurora!H40*1000</f>
        <v>-13580319.375</v>
      </c>
      <c r="K9" s="27">
        <f>Aurora!I40*1000</f>
        <v>-5663847.080078125</v>
      </c>
      <c r="L9" s="27">
        <f>Aurora!J40*1000</f>
        <v>-5671728.251953125</v>
      </c>
      <c r="M9" s="27">
        <f>Aurora!K40*1000</f>
        <v>-5506051.494140625</v>
      </c>
      <c r="N9" s="27">
        <f>Aurora!L40*1000</f>
        <v>-8326038.603515624</v>
      </c>
      <c r="O9" s="27">
        <f>Aurora!M40*1000</f>
        <v>-7711935.9423828125</v>
      </c>
      <c r="P9" s="27"/>
    </row>
    <row r="10" spans="1:15" ht="12.75">
      <c r="A10" t="s">
        <v>118</v>
      </c>
      <c r="C10" s="28">
        <f>SUM(D10:O10)</f>
        <v>-1820480.3405078128</v>
      </c>
      <c r="D10" s="3">
        <f>Aurora!B36*1000</f>
        <v>-105792.27750000001</v>
      </c>
      <c r="E10" s="3">
        <f>Aurora!C36*1000</f>
        <v>-110557.66035156249</v>
      </c>
      <c r="F10" s="3">
        <f>Aurora!D36*1000</f>
        <v>-164167.7784375</v>
      </c>
      <c r="G10" s="3">
        <f>Aurora!E36*1000</f>
        <v>-169334.9015625</v>
      </c>
      <c r="H10" s="3">
        <f>Aurora!F36*1000</f>
        <v>-216833.2325</v>
      </c>
      <c r="I10" s="3">
        <f>Aurora!G36*1000</f>
        <v>-291191.2865625</v>
      </c>
      <c r="J10" s="3">
        <f>Aurora!H36*1000</f>
        <v>-242650.4971875</v>
      </c>
      <c r="K10" s="3">
        <f>Aurora!I36*1000</f>
        <v>-90074.23671874999</v>
      </c>
      <c r="L10" s="3">
        <f>Aurora!J36*1000</f>
        <v>-98954.67171875</v>
      </c>
      <c r="M10" s="3">
        <f>Aurora!K36*1000</f>
        <v>-91566.97859374998</v>
      </c>
      <c r="N10" s="3">
        <f>Aurora!L36*1000</f>
        <v>-132143.9103125</v>
      </c>
      <c r="O10" s="3">
        <f>Aurora!M36*1000</f>
        <v>-107212.9090625</v>
      </c>
    </row>
    <row r="11" spans="1:15" ht="12.75" hidden="1">
      <c r="A11" t="s">
        <v>61</v>
      </c>
      <c r="C11" s="31">
        <f>C9/C10</f>
        <v>51.1839048523797</v>
      </c>
      <c r="D11" s="32">
        <f>D9/D10</f>
        <v>65.96940791535002</v>
      </c>
      <c r="E11" s="32">
        <f aca="true" t="shared" si="0" ref="E11:O11">E9/E10</f>
        <v>60.230458273169084</v>
      </c>
      <c r="F11" s="32">
        <f t="shared" si="0"/>
        <v>56.13282838511906</v>
      </c>
      <c r="G11" s="32">
        <f t="shared" si="0"/>
        <v>46.668931986176766</v>
      </c>
      <c r="H11" s="32">
        <f t="shared" si="0"/>
        <v>31.616084991560708</v>
      </c>
      <c r="I11" s="32">
        <f t="shared" si="0"/>
        <v>31.278685541504125</v>
      </c>
      <c r="J11" s="32">
        <f t="shared" si="0"/>
        <v>55.96658375897027</v>
      </c>
      <c r="K11" s="32">
        <f t="shared" si="0"/>
        <v>62.87976769387522</v>
      </c>
      <c r="L11" s="32">
        <f t="shared" si="0"/>
        <v>57.316427344363994</v>
      </c>
      <c r="M11" s="32">
        <f t="shared" si="0"/>
        <v>60.131409583459245</v>
      </c>
      <c r="N11" s="32">
        <f t="shared" si="0"/>
        <v>63.00735753789807</v>
      </c>
      <c r="O11" s="32">
        <f t="shared" si="0"/>
        <v>71.9310389935145</v>
      </c>
    </row>
    <row r="12" spans="1:15" ht="12.75">
      <c r="A12" t="s">
        <v>116</v>
      </c>
      <c r="C12" s="55">
        <f>C9/C10</f>
        <v>51.1839048523797</v>
      </c>
      <c r="D12" s="53">
        <f>D9/D10</f>
        <v>65.96940791535002</v>
      </c>
      <c r="E12" s="53">
        <f aca="true" t="shared" si="1" ref="E12:O12">E9/E10</f>
        <v>60.230458273169084</v>
      </c>
      <c r="F12" s="53">
        <f t="shared" si="1"/>
        <v>56.13282838511906</v>
      </c>
      <c r="G12" s="53">
        <f t="shared" si="1"/>
        <v>46.668931986176766</v>
      </c>
      <c r="H12" s="53">
        <f t="shared" si="1"/>
        <v>31.616084991560708</v>
      </c>
      <c r="I12" s="53">
        <f t="shared" si="1"/>
        <v>31.278685541504125</v>
      </c>
      <c r="J12" s="53">
        <f t="shared" si="1"/>
        <v>55.96658375897027</v>
      </c>
      <c r="K12" s="53">
        <f t="shared" si="1"/>
        <v>62.87976769387522</v>
      </c>
      <c r="L12" s="53">
        <f t="shared" si="1"/>
        <v>57.316427344363994</v>
      </c>
      <c r="M12" s="53">
        <f t="shared" si="1"/>
        <v>60.131409583459245</v>
      </c>
      <c r="N12" s="53">
        <f t="shared" si="1"/>
        <v>63.00735753789807</v>
      </c>
      <c r="O12" s="53">
        <f t="shared" si="1"/>
        <v>71.9310389935145</v>
      </c>
    </row>
    <row r="13" spans="1:15" ht="12.75">
      <c r="A13" t="s">
        <v>119</v>
      </c>
      <c r="B13" s="5" t="s">
        <v>60</v>
      </c>
      <c r="C13" s="41">
        <f>SUM(D13:O13)</f>
        <v>20683810.4317981</v>
      </c>
      <c r="D13" s="27">
        <f>Aurora!B39*1000</f>
        <v>3345940.7446289062</v>
      </c>
      <c r="E13" s="27">
        <f>Aurora!C39*1000</f>
        <v>1630150.5529785156</v>
      </c>
      <c r="F13" s="27">
        <f>Aurora!D39*1000</f>
        <v>1070314.5231056213</v>
      </c>
      <c r="G13" s="27">
        <f>Aurora!E39*1000</f>
        <v>796541.2971264124</v>
      </c>
      <c r="H13" s="27">
        <f>Aurora!F39*1000</f>
        <v>299126.9708251953</v>
      </c>
      <c r="I13" s="27">
        <f>Aurora!G39*1000</f>
        <v>239304.63762283325</v>
      </c>
      <c r="J13" s="27">
        <f>Aurora!H39*1000</f>
        <v>745307.0453619957</v>
      </c>
      <c r="K13" s="27">
        <f>Aurora!I39*1000</f>
        <v>3124945.866546631</v>
      </c>
      <c r="L13" s="27">
        <f>Aurora!J39*1000</f>
        <v>1374033.2627868652</v>
      </c>
      <c r="M13" s="27">
        <f>Aurora!K39*1000</f>
        <v>3094984.0838623047</v>
      </c>
      <c r="N13" s="27">
        <f>Aurora!L39*1000</f>
        <v>2088678.7379455569</v>
      </c>
      <c r="O13" s="27">
        <f>Aurora!M39*1000</f>
        <v>2874482.709007263</v>
      </c>
    </row>
    <row r="14" spans="1:15" s="3" customFormat="1" ht="12.75">
      <c r="A14" s="3" t="s">
        <v>123</v>
      </c>
      <c r="C14" s="29">
        <f>SUM(D14:O14)</f>
        <v>281182.4321393108</v>
      </c>
      <c r="D14" s="3">
        <f>Aurora!B35*1000</f>
        <v>46153.99375</v>
      </c>
      <c r="E14" s="3">
        <f>Aurora!C35*1000</f>
        <v>24209.164140625</v>
      </c>
      <c r="F14" s="3">
        <f>Aurora!D35*1000</f>
        <v>17233.402469177247</v>
      </c>
      <c r="G14" s="3">
        <f>Aurora!E35*1000</f>
        <v>13799.630440511703</v>
      </c>
      <c r="H14" s="3">
        <f>Aurora!F35*1000</f>
        <v>5444.11121887207</v>
      </c>
      <c r="I14" s="3">
        <f>Aurora!G35*1000</f>
        <v>5986.298061523438</v>
      </c>
      <c r="J14" s="3">
        <f>Aurora!H35*1000</f>
        <v>9308.715157966613</v>
      </c>
      <c r="K14" s="3">
        <f>Aurora!I35*1000</f>
        <v>35935.71663818359</v>
      </c>
      <c r="L14" s="3">
        <f>Aurora!J35*1000</f>
        <v>17435.695026245117</v>
      </c>
      <c r="M14" s="3">
        <f>Aurora!K35*1000</f>
        <v>44078.228447265625</v>
      </c>
      <c r="N14" s="3">
        <f>Aurora!L35*1000</f>
        <v>27398.749853515626</v>
      </c>
      <c r="O14" s="3">
        <f>Aurora!M35*1000</f>
        <v>34198.726935424806</v>
      </c>
    </row>
    <row r="15" spans="1:15" ht="12.75" hidden="1">
      <c r="A15" s="3" t="s">
        <v>62</v>
      </c>
      <c r="C15" s="31">
        <f>C13/C14</f>
        <v>73.5601092658249</v>
      </c>
      <c r="D15" s="32">
        <f>D13/D14</f>
        <v>72.49515096684144</v>
      </c>
      <c r="E15" s="32">
        <f aca="true" t="shared" si="2" ref="E15:O15">E13/E14</f>
        <v>67.33609403073058</v>
      </c>
      <c r="F15" s="32">
        <f t="shared" si="2"/>
        <v>62.106976554393675</v>
      </c>
      <c r="G15" s="32">
        <f t="shared" si="2"/>
        <v>57.721929624144046</v>
      </c>
      <c r="H15" s="32">
        <f t="shared" si="2"/>
        <v>54.94505141413505</v>
      </c>
      <c r="I15" s="32">
        <f t="shared" si="2"/>
        <v>39.97539634067823</v>
      </c>
      <c r="J15" s="32">
        <f t="shared" si="2"/>
        <v>80.06551201904</v>
      </c>
      <c r="K15" s="32">
        <f t="shared" si="2"/>
        <v>86.95933068512153</v>
      </c>
      <c r="L15" s="32">
        <f t="shared" si="2"/>
        <v>78.80576373460299</v>
      </c>
      <c r="M15" s="32">
        <f t="shared" si="2"/>
        <v>70.21570949851322</v>
      </c>
      <c r="N15" s="32">
        <f t="shared" si="2"/>
        <v>76.23262919339189</v>
      </c>
      <c r="O15" s="32">
        <f t="shared" si="2"/>
        <v>84.05233079099578</v>
      </c>
    </row>
    <row r="16" spans="1:15" ht="12.75">
      <c r="A16" s="3" t="s">
        <v>121</v>
      </c>
      <c r="C16" s="55">
        <f>C13/C14</f>
        <v>73.5601092658249</v>
      </c>
      <c r="D16" s="53">
        <f>D13/D14</f>
        <v>72.49515096684144</v>
      </c>
      <c r="E16" s="53">
        <f aca="true" t="shared" si="3" ref="E16:O16">E13/E14</f>
        <v>67.33609403073058</v>
      </c>
      <c r="F16" s="53">
        <f t="shared" si="3"/>
        <v>62.106976554393675</v>
      </c>
      <c r="G16" s="53">
        <f t="shared" si="3"/>
        <v>57.721929624144046</v>
      </c>
      <c r="H16" s="53">
        <f t="shared" si="3"/>
        <v>54.94505141413505</v>
      </c>
      <c r="I16" s="53"/>
      <c r="J16" s="53">
        <f t="shared" si="3"/>
        <v>80.06551201904</v>
      </c>
      <c r="K16" s="53">
        <f t="shared" si="3"/>
        <v>86.95933068512153</v>
      </c>
      <c r="L16" s="53">
        <f t="shared" si="3"/>
        <v>78.80576373460299</v>
      </c>
      <c r="M16" s="53">
        <f t="shared" si="3"/>
        <v>70.21570949851322</v>
      </c>
      <c r="N16" s="53">
        <f t="shared" si="3"/>
        <v>76.23262919339189</v>
      </c>
      <c r="O16" s="53">
        <f t="shared" si="3"/>
        <v>84.05233079099578</v>
      </c>
    </row>
    <row r="17" spans="1:15" ht="12.75">
      <c r="A17" t="s">
        <v>120</v>
      </c>
      <c r="C17" s="29">
        <f>C14+C10</f>
        <v>-1539297.908368502</v>
      </c>
      <c r="D17" s="19">
        <f>D14+D10</f>
        <v>-59638.28375000001</v>
      </c>
      <c r="E17" s="19">
        <f>E14+E10</f>
        <v>-86348.49621093749</v>
      </c>
      <c r="F17" s="19">
        <f aca="true" t="shared" si="4" ref="F17:O17">F14+F10</f>
        <v>-146934.37596832277</v>
      </c>
      <c r="G17" s="19">
        <f t="shared" si="4"/>
        <v>-155535.27112198828</v>
      </c>
      <c r="H17" s="19">
        <f t="shared" si="4"/>
        <v>-211389.12128112794</v>
      </c>
      <c r="I17" s="19">
        <f t="shared" si="4"/>
        <v>-285204.9885009766</v>
      </c>
      <c r="J17" s="19">
        <f t="shared" si="4"/>
        <v>-233341.78202953338</v>
      </c>
      <c r="K17" s="19">
        <f t="shared" si="4"/>
        <v>-54138.5200805664</v>
      </c>
      <c r="L17" s="19">
        <f t="shared" si="4"/>
        <v>-81518.97669250489</v>
      </c>
      <c r="M17" s="19">
        <f t="shared" si="4"/>
        <v>-47488.75014648436</v>
      </c>
      <c r="N17" s="19">
        <f t="shared" si="4"/>
        <v>-104745.16045898438</v>
      </c>
      <c r="O17" s="19">
        <f t="shared" si="4"/>
        <v>-73014.18212707518</v>
      </c>
    </row>
    <row r="18" spans="1:15" ht="12.75">
      <c r="A18" t="s">
        <v>122</v>
      </c>
      <c r="C18" s="128">
        <f>C17/8760</f>
        <v>-175.71893931147284</v>
      </c>
      <c r="D18" s="3">
        <f>D17/D6</f>
        <v>-80.15898353494624</v>
      </c>
      <c r="E18" s="3">
        <f aca="true" t="shared" si="5" ref="E18:O18">E17/E6</f>
        <v>-128.49478602818078</v>
      </c>
      <c r="F18" s="3">
        <f t="shared" si="5"/>
        <v>-197.75824491025944</v>
      </c>
      <c r="G18" s="3">
        <f t="shared" si="5"/>
        <v>-216.0212098916504</v>
      </c>
      <c r="H18" s="3">
        <f t="shared" si="5"/>
        <v>-284.12516301226873</v>
      </c>
      <c r="I18" s="3">
        <f t="shared" si="5"/>
        <v>-396.1180395846897</v>
      </c>
      <c r="J18" s="3">
        <f t="shared" si="5"/>
        <v>-313.63142745905026</v>
      </c>
      <c r="K18" s="3">
        <f t="shared" si="5"/>
        <v>-72.76682806527742</v>
      </c>
      <c r="L18" s="3">
        <f t="shared" si="5"/>
        <v>-113.22080096181234</v>
      </c>
      <c r="M18" s="3">
        <f t="shared" si="5"/>
        <v>-63.828965250651024</v>
      </c>
      <c r="N18" s="3">
        <f t="shared" si="5"/>
        <v>-145.2776150610047</v>
      </c>
      <c r="O18" s="3">
        <f t="shared" si="5"/>
        <v>-98.13734156864943</v>
      </c>
    </row>
    <row r="19" spans="1:15" ht="12.75">
      <c r="A19" t="s">
        <v>124</v>
      </c>
      <c r="C19" s="84">
        <f>(-C9+C13)/(-C10+C14)</f>
        <v>54.17762756608326</v>
      </c>
      <c r="D19" s="32">
        <f>(-D9+D13)/(-D10+D14)</f>
        <v>67.95161584671207</v>
      </c>
      <c r="E19" s="32">
        <f>(-E9+E13)/(-E10+E14)</f>
        <v>61.50689632108253</v>
      </c>
      <c r="F19" s="32">
        <f aca="true" t="shared" si="6" ref="F19:O19">(-F9+F13)/(-F10+F14)</f>
        <v>56.700382021192546</v>
      </c>
      <c r="G19" s="32">
        <f t="shared" si="6"/>
        <v>47.50180212265812</v>
      </c>
      <c r="H19" s="32">
        <f t="shared" si="6"/>
        <v>32.18746795709794</v>
      </c>
      <c r="I19" s="32">
        <f t="shared" si="6"/>
        <v>31.453870702473086</v>
      </c>
      <c r="J19" s="32">
        <f t="shared" si="6"/>
        <v>56.856926512057136</v>
      </c>
      <c r="K19" s="32">
        <f t="shared" si="6"/>
        <v>69.74681533076816</v>
      </c>
      <c r="L19" s="32">
        <f t="shared" si="6"/>
        <v>60.53560712783787</v>
      </c>
      <c r="M19" s="32">
        <f t="shared" si="6"/>
        <v>63.40832651316753</v>
      </c>
      <c r="N19" s="32">
        <f t="shared" si="6"/>
        <v>65.27857396024311</v>
      </c>
      <c r="O19" s="32">
        <f t="shared" si="6"/>
        <v>74.86242964861414</v>
      </c>
    </row>
    <row r="20" spans="3:15" ht="12.75">
      <c r="C20" s="31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7" s="3" customFormat="1" ht="12.75">
      <c r="A21" s="3" t="s">
        <v>38</v>
      </c>
      <c r="C21" s="29">
        <f>SUM(D21:O21)</f>
        <v>1668302.8397265626</v>
      </c>
      <c r="D21" s="3">
        <f>Aurora!B6*1000</f>
        <v>151565.2959375</v>
      </c>
      <c r="E21" s="3">
        <f>Aurora!C6*1000</f>
        <v>138608.15515625</v>
      </c>
      <c r="F21" s="3">
        <f>Aurora!D6*1000</f>
        <v>152163.952109375</v>
      </c>
      <c r="G21" s="3">
        <f>Aurora!E6*1000</f>
        <v>136720.649765625</v>
      </c>
      <c r="H21" s="3">
        <f>Aurora!F6*1000</f>
        <v>90593.69625000001</v>
      </c>
      <c r="I21" s="3">
        <f>Aurora!G6*1000</f>
        <v>93875.15964843749</v>
      </c>
      <c r="J21" s="3">
        <f>Aurora!H6*1000</f>
        <v>151137.050234375</v>
      </c>
      <c r="K21" s="3">
        <f>Aurora!I6*1000</f>
        <v>153438.665625</v>
      </c>
      <c r="L21" s="3">
        <f>Aurora!J6*1000</f>
        <v>148518.53125</v>
      </c>
      <c r="M21" s="3">
        <f>Aurora!K6*1000</f>
        <v>152164.97765625</v>
      </c>
      <c r="N21" s="3">
        <f>Aurora!L6*1000</f>
        <v>148518.53125</v>
      </c>
      <c r="O21" s="3">
        <f>Aurora!M6*1000</f>
        <v>150998.17484375</v>
      </c>
      <c r="P21" s="3">
        <f>C21/8760</f>
        <v>190.44552964915098</v>
      </c>
      <c r="Q21" s="127">
        <f>P21/230</f>
        <v>0.8280240419528304</v>
      </c>
    </row>
    <row r="22" spans="1:15" ht="12.75">
      <c r="A22" s="3" t="s">
        <v>112</v>
      </c>
      <c r="C22" s="77">
        <f>C23/C21</f>
        <v>11.44004109205643</v>
      </c>
      <c r="D22" s="81">
        <f>D23/D21</f>
        <v>11.43230475260439</v>
      </c>
      <c r="E22" s="81">
        <f aca="true" t="shared" si="7" ref="E22:O22">E23/E21</f>
        <v>11.440322225054235</v>
      </c>
      <c r="F22" s="81">
        <f t="shared" si="7"/>
        <v>11.43196670123425</v>
      </c>
      <c r="G22" s="81">
        <f t="shared" si="7"/>
        <v>11.441617620962463</v>
      </c>
      <c r="H22" s="81">
        <f t="shared" si="7"/>
        <v>11.49003077811092</v>
      </c>
      <c r="I22" s="81">
        <f t="shared" si="7"/>
        <v>11.485014595693388</v>
      </c>
      <c r="J22" s="81">
        <f t="shared" si="7"/>
        <v>11.432547446990867</v>
      </c>
      <c r="K22" s="81">
        <f t="shared" si="7"/>
        <v>11.431256933564946</v>
      </c>
      <c r="L22" s="81">
        <f t="shared" si="7"/>
        <v>11.434064125625737</v>
      </c>
      <c r="M22" s="81">
        <f t="shared" si="7"/>
        <v>11.431966915305003</v>
      </c>
      <c r="N22" s="81">
        <f t="shared" si="7"/>
        <v>11.434064125625737</v>
      </c>
      <c r="O22" s="81">
        <f t="shared" si="7"/>
        <v>11.432626562640603</v>
      </c>
    </row>
    <row r="23" spans="1:15" ht="12.75">
      <c r="A23" t="s">
        <v>39</v>
      </c>
      <c r="C23" s="33">
        <f>SUM(D23:O23)</f>
        <v>19085453.04046631</v>
      </c>
      <c r="D23" s="34">
        <f>Aurora!B26*1000</f>
        <v>1732740.6530761719</v>
      </c>
      <c r="E23" s="34">
        <f>Aurora!C26*1000</f>
        <v>1585721.9580078125</v>
      </c>
      <c r="F23" s="34">
        <f>Aurora!D26*1000</f>
        <v>1739533.2336425781</v>
      </c>
      <c r="G23" s="34">
        <f>Aurora!E26*1000</f>
        <v>1564305.3955078125</v>
      </c>
      <c r="H23" s="34">
        <f>Aurora!F26*1000</f>
        <v>1040924.3582153319</v>
      </c>
      <c r="I23" s="34">
        <f>Aurora!G26*1000</f>
        <v>1078157.5787353516</v>
      </c>
      <c r="J23" s="34">
        <f>Aurora!H26*1000</f>
        <v>1727881.4978027344</v>
      </c>
      <c r="K23" s="34">
        <f>Aurora!I26*1000</f>
        <v>1753996.8103027344</v>
      </c>
      <c r="L23" s="34">
        <f>Aurora!J26*1000</f>
        <v>1698170.41015625</v>
      </c>
      <c r="M23" s="34">
        <f>Aurora!K26*1000</f>
        <v>1739544.990234375</v>
      </c>
      <c r="N23" s="34">
        <f>Aurora!L26*1000</f>
        <v>1698170.41015625</v>
      </c>
      <c r="O23" s="34">
        <f>Aurora!M26*1000</f>
        <v>1726305.7446289062</v>
      </c>
    </row>
    <row r="24" ht="12.75">
      <c r="C24" s="31"/>
    </row>
    <row r="25" spans="1:16" s="3" customFormat="1" ht="12.75">
      <c r="A25" s="3" t="s">
        <v>40</v>
      </c>
      <c r="C25" s="29">
        <f>SUM(D25:O25)</f>
        <v>299639.61593749997</v>
      </c>
      <c r="D25" s="3">
        <f>Aurora!B8*1000</f>
        <v>31684.58359375</v>
      </c>
      <c r="E25" s="3">
        <f>Aurora!C8*1000</f>
        <v>29813.990703125</v>
      </c>
      <c r="F25" s="3">
        <f>Aurora!D8*1000</f>
        <v>32617.097695312495</v>
      </c>
      <c r="G25" s="3">
        <f>Aurora!E8*1000</f>
        <v>7535.569296875</v>
      </c>
      <c r="H25" s="3">
        <f>Aurora!F8*1000</f>
        <v>0</v>
      </c>
      <c r="I25" s="3">
        <f>Aurora!G8*1000</f>
        <v>0</v>
      </c>
      <c r="J25" s="3">
        <f>Aurora!H8*1000</f>
        <v>31543.221093750006</v>
      </c>
      <c r="K25" s="3">
        <f>Aurora!I8*1000</f>
        <v>33912.289453125</v>
      </c>
      <c r="L25" s="3">
        <f>Aurora!J8*1000</f>
        <v>32457.416015625</v>
      </c>
      <c r="M25" s="3">
        <f>Aurora!K8*1000</f>
        <v>34075.6734765625</v>
      </c>
      <c r="N25" s="3">
        <f>Aurora!L8*1000</f>
        <v>32916.444882812495</v>
      </c>
      <c r="O25" s="3">
        <f>Aurora!M8*1000</f>
        <v>33083.3297265625</v>
      </c>
      <c r="P25" s="3">
        <f>C25/8760</f>
        <v>34.20543560930365</v>
      </c>
    </row>
    <row r="26" spans="1:15" ht="12.75">
      <c r="A26" s="3" t="s">
        <v>111</v>
      </c>
      <c r="C26" s="77">
        <f aca="true" t="shared" si="8" ref="C26:O26">C27/C25</f>
        <v>40.39958127437601</v>
      </c>
      <c r="D26" s="81">
        <f>D27/D25</f>
        <v>40.5024870678433</v>
      </c>
      <c r="E26" s="81">
        <f t="shared" si="8"/>
        <v>40.4016572139772</v>
      </c>
      <c r="F26" s="81">
        <f t="shared" si="8"/>
        <v>40.43060686373076</v>
      </c>
      <c r="G26" s="81">
        <f t="shared" si="8"/>
        <v>40.43683862554885</v>
      </c>
      <c r="H26" s="81" t="e">
        <f t="shared" si="8"/>
        <v>#DIV/0!</v>
      </c>
      <c r="I26" s="81"/>
      <c r="J26" s="81">
        <f t="shared" si="8"/>
        <v>40.51262322873553</v>
      </c>
      <c r="K26" s="81">
        <f t="shared" si="8"/>
        <v>40.33732849440263</v>
      </c>
      <c r="L26" s="81">
        <f t="shared" si="8"/>
        <v>40.36344985259231</v>
      </c>
      <c r="M26" s="81">
        <f t="shared" si="8"/>
        <v>40.32606489111245</v>
      </c>
      <c r="N26" s="81">
        <f t="shared" si="8"/>
        <v>40.33032760936321</v>
      </c>
      <c r="O26" s="81">
        <f t="shared" si="8"/>
        <v>40.396187569759114</v>
      </c>
    </row>
    <row r="27" spans="1:15" ht="12.75">
      <c r="A27" t="s">
        <v>41</v>
      </c>
      <c r="C27" s="33">
        <f>SUM(D27:O27)</f>
        <v>12105315.017089844</v>
      </c>
      <c r="D27" s="35">
        <f>Aurora!B28*1000</f>
        <v>1283304.4372558594</v>
      </c>
      <c r="E27" s="35">
        <f>Aurora!C28*1000</f>
        <v>1204534.6325683594</v>
      </c>
      <c r="F27" s="35">
        <f>Aurora!D28*1000</f>
        <v>1318729.0539550781</v>
      </c>
      <c r="G27" s="35">
        <f>Aurora!E28*1000</f>
        <v>304714.599609375</v>
      </c>
      <c r="H27" s="35">
        <f>Aurora!F28*1000</f>
        <v>0</v>
      </c>
      <c r="I27" s="35">
        <f>Aurora!G28*1000</f>
        <v>0</v>
      </c>
      <c r="J27" s="35">
        <f>Aurora!H28*1000</f>
        <v>1277898.6315917969</v>
      </c>
      <c r="K27" s="35">
        <f>Aurora!I28*1000</f>
        <v>1367931.1596679688</v>
      </c>
      <c r="L27" s="35">
        <f>Aurora!J28*1000</f>
        <v>1310093.2836914062</v>
      </c>
      <c r="M27" s="35">
        <f>Aurora!K28*1000</f>
        <v>1374137.8198242188</v>
      </c>
      <c r="N27" s="35">
        <f>Aurora!L28*1000</f>
        <v>1327531.005859375</v>
      </c>
      <c r="O27" s="35">
        <f>Aurora!M28*1000</f>
        <v>1336440.3930664062</v>
      </c>
    </row>
    <row r="28" spans="3:15" ht="12.75">
      <c r="C28" s="8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6" ht="12.75">
      <c r="A29" t="s">
        <v>99</v>
      </c>
      <c r="C29" s="29">
        <f>SUM(D29:O29)</f>
        <v>1317228.0065185544</v>
      </c>
      <c r="D29" s="3">
        <f>Aurora!B7*1000</f>
        <v>120780.36398437498</v>
      </c>
      <c r="E29" s="3">
        <f>Aurora!C7*1000</f>
        <v>112246.778203125</v>
      </c>
      <c r="F29" s="3">
        <f>Aurora!D7*1000</f>
        <v>119047.68357421874</v>
      </c>
      <c r="G29" s="3">
        <f>Aurora!E7*1000</f>
        <v>72307.19592773438</v>
      </c>
      <c r="H29" s="3">
        <f>Aurora!F7*1000</f>
        <v>31727.92432128907</v>
      </c>
      <c r="I29" s="3">
        <f>Aurora!G7*1000</f>
        <v>41786.21154296875</v>
      </c>
      <c r="J29" s="3">
        <f>Aurora!H7*1000</f>
        <v>121466.47544921875</v>
      </c>
      <c r="K29" s="3">
        <f>Aurora!I7*1000</f>
        <v>141267.91140625</v>
      </c>
      <c r="L29" s="3">
        <f>Aurora!J7*1000</f>
        <v>134129.21390625</v>
      </c>
      <c r="M29" s="3">
        <f>Aurora!K7*1000</f>
        <v>141288.50296875</v>
      </c>
      <c r="N29" s="3">
        <f>Aurora!L7*1000</f>
        <v>142686.69921875</v>
      </c>
      <c r="O29" s="3">
        <f>Aurora!M7*1000</f>
        <v>138493.046015625</v>
      </c>
      <c r="P29" s="3">
        <f>C29/8760</f>
        <v>150.36849389481216</v>
      </c>
    </row>
    <row r="30" spans="1:15" ht="12.75">
      <c r="A30" t="s">
        <v>109</v>
      </c>
      <c r="C30" s="77">
        <f>C31/C29</f>
        <v>54.091551218598866</v>
      </c>
      <c r="D30" s="81">
        <f>D31/D29</f>
        <v>58.594182282897115</v>
      </c>
      <c r="E30" s="81">
        <f aca="true" t="shared" si="9" ref="E30:O30">E31/E29</f>
        <v>58.045918517646214</v>
      </c>
      <c r="F30" s="81">
        <f t="shared" si="9"/>
        <v>56.33896336747681</v>
      </c>
      <c r="G30" s="81">
        <f t="shared" si="9"/>
        <v>50.62388705087387</v>
      </c>
      <c r="H30" s="81">
        <f t="shared" si="9"/>
        <v>50.484947321902595</v>
      </c>
      <c r="I30" s="81">
        <f t="shared" si="9"/>
        <v>51.796366488221814</v>
      </c>
      <c r="J30" s="81">
        <f t="shared" si="9"/>
        <v>51.79211344217968</v>
      </c>
      <c r="K30" s="81">
        <f t="shared" si="9"/>
        <v>51.64171946964037</v>
      </c>
      <c r="L30" s="81">
        <f t="shared" si="9"/>
        <v>51.64609554981088</v>
      </c>
      <c r="M30" s="81">
        <f t="shared" si="9"/>
        <v>52.240300265504075</v>
      </c>
      <c r="N30" s="81">
        <f t="shared" si="9"/>
        <v>54.335742420929265</v>
      </c>
      <c r="O30" s="81">
        <f t="shared" si="9"/>
        <v>56.87827948865322</v>
      </c>
    </row>
    <row r="31" spans="1:15" ht="12.75">
      <c r="A31" t="s">
        <v>97</v>
      </c>
      <c r="C31" s="33">
        <f>SUM(D31:O31)</f>
        <v>71250906.18117127</v>
      </c>
      <c r="D31" s="27">
        <f>Aurora!B27*1000</f>
        <v>7077026.66349513</v>
      </c>
      <c r="E31" s="27">
        <f>Aurora!C27*1000</f>
        <v>6515467.341446901</v>
      </c>
      <c r="F31" s="27">
        <f>Aurora!D27*1000</f>
        <v>6707023.08387088</v>
      </c>
      <c r="G31" s="27">
        <f>Aurora!E27*1000</f>
        <v>3660471.3196110325</v>
      </c>
      <c r="H31" s="27">
        <f>Aurora!F27*1000</f>
        <v>1601782.5879935909</v>
      </c>
      <c r="I31" s="27">
        <f>Aurora!G27*1000</f>
        <v>2164373.927233974</v>
      </c>
      <c r="J31" s="27">
        <f>Aurora!H27*1000</f>
        <v>6291005.47588767</v>
      </c>
      <c r="K31" s="27">
        <f>Aurora!I27*1000</f>
        <v>7295317.850903572</v>
      </c>
      <c r="L31" s="27">
        <f>Aurora!J27*1000</f>
        <v>6927250.197423209</v>
      </c>
      <c r="M31" s="27">
        <f>Aurora!K27*1000</f>
        <v>7380953.819151063</v>
      </c>
      <c r="N31" s="27">
        <f>Aurora!L27*1000</f>
        <v>7752987.735642609</v>
      </c>
      <c r="O31" s="27">
        <f>Aurora!M27*1000</f>
        <v>7877246.178511631</v>
      </c>
    </row>
    <row r="32" spans="3:15" ht="12.75"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2.75">
      <c r="A33" t="s">
        <v>238</v>
      </c>
      <c r="C33" s="29">
        <f>SUM(D33:O33)</f>
        <v>1520479.048845215</v>
      </c>
      <c r="D33" s="3">
        <f>Aurora!B10*1000</f>
        <v>139777.0920605469</v>
      </c>
      <c r="E33" s="3">
        <f>Aurora!C10*1000</f>
        <v>130256.78929687501</v>
      </c>
      <c r="F33" s="3">
        <f>Aurora!D10*1000</f>
        <v>135874.21018554686</v>
      </c>
      <c r="G33" s="3">
        <f>Aurora!E10*1000</f>
        <v>82994.8353125</v>
      </c>
      <c r="H33" s="3">
        <f>Aurora!F10*1000</f>
        <v>27434.58399169922</v>
      </c>
      <c r="I33" s="3">
        <f>Aurora!G10*1000</f>
        <v>46327.38194335937</v>
      </c>
      <c r="J33" s="3">
        <f>Aurora!H10*1000</f>
        <v>137265.51207031248</v>
      </c>
      <c r="K33" s="3">
        <f>Aurora!I10*1000</f>
        <v>162701.983125</v>
      </c>
      <c r="L33" s="3">
        <f>Aurora!J10*1000</f>
        <v>155153.1934375</v>
      </c>
      <c r="M33" s="3">
        <f>Aurora!K10*1000</f>
        <v>167799.97234375</v>
      </c>
      <c r="N33" s="3">
        <f>Aurora!L10*1000</f>
        <v>171537.4575</v>
      </c>
      <c r="O33" s="3">
        <f>Aurora!M10*1000</f>
        <v>163356.037578125</v>
      </c>
    </row>
    <row r="34" spans="1:15" ht="12.75">
      <c r="A34" t="s">
        <v>239</v>
      </c>
      <c r="C34" s="77">
        <f>C35/C33</f>
        <v>56.24724064003788</v>
      </c>
      <c r="D34" s="81">
        <f>D35/D33</f>
        <v>60.85796950553354</v>
      </c>
      <c r="E34" s="81">
        <f aca="true" t="shared" si="10" ref="E34:O34">E35/E33</f>
        <v>60.02184508198164</v>
      </c>
      <c r="F34" s="81">
        <f t="shared" si="10"/>
        <v>58.05768182602607</v>
      </c>
      <c r="G34" s="81">
        <f t="shared" si="10"/>
        <v>52.472783303463345</v>
      </c>
      <c r="H34" s="81">
        <f t="shared" si="10"/>
        <v>52.839492542636606</v>
      </c>
      <c r="I34" s="81">
        <f t="shared" si="10"/>
        <v>54.47311654421421</v>
      </c>
      <c r="J34" s="81">
        <f t="shared" si="10"/>
        <v>54.104594798747115</v>
      </c>
      <c r="K34" s="81">
        <f t="shared" si="10"/>
        <v>53.898442884519774</v>
      </c>
      <c r="L34" s="81">
        <f t="shared" si="10"/>
        <v>53.84576706610808</v>
      </c>
      <c r="M34" s="81">
        <f t="shared" si="10"/>
        <v>54.261666081212255</v>
      </c>
      <c r="N34" s="81">
        <f t="shared" si="10"/>
        <v>56.37218633922294</v>
      </c>
      <c r="O34" s="81">
        <f t="shared" si="10"/>
        <v>59.10856714493657</v>
      </c>
    </row>
    <row r="35" spans="1:15" ht="12.75">
      <c r="A35" t="s">
        <v>240</v>
      </c>
      <c r="C35" s="33">
        <f>SUM(D35:O35)</f>
        <v>85522750.94853272</v>
      </c>
      <c r="D35" s="27">
        <f>Aurora!B30*1000</f>
        <v>8506550.006192917</v>
      </c>
      <c r="E35" s="27">
        <f>Aurora!C30*1000</f>
        <v>7818252.828053356</v>
      </c>
      <c r="F35" s="27">
        <f>Aurora!D30*1000</f>
        <v>7888541.663315071</v>
      </c>
      <c r="G35" s="27">
        <f>Aurora!E30*1000</f>
        <v>4354970.00865944</v>
      </c>
      <c r="H35" s="27">
        <f>Aurora!F30*1000</f>
        <v>1449629.4962397285</v>
      </c>
      <c r="I35" s="27">
        <f>Aurora!G30*1000</f>
        <v>2523596.8757889397</v>
      </c>
      <c r="J35" s="27">
        <f>Aurora!H30*1000</f>
        <v>7426694.910406788</v>
      </c>
      <c r="K35" s="27">
        <f>Aurora!I30*1000</f>
        <v>8769383.544660913</v>
      </c>
      <c r="L35" s="27">
        <f>Aurora!J30*1000</f>
        <v>8354342.713398435</v>
      </c>
      <c r="M35" s="27">
        <f>Aurora!K30*1000</f>
        <v>9105106.067753214</v>
      </c>
      <c r="N35" s="27">
        <f>Aurora!L30*1000</f>
        <v>9669941.518346535</v>
      </c>
      <c r="O35" s="27">
        <f>Aurora!M30*1000</f>
        <v>9655741.315717382</v>
      </c>
    </row>
    <row r="36" spans="3:15" ht="12.75"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7" ht="12.75">
      <c r="A37" t="s">
        <v>64</v>
      </c>
      <c r="C37" s="29">
        <f>SUM(D37:O37)</f>
        <v>935.6397774934767</v>
      </c>
      <c r="D37" s="3">
        <f>Aurora!B5*1000</f>
        <v>0.7927850341796875</v>
      </c>
      <c r="E37" s="3">
        <f>Aurora!C5*1000</f>
        <v>6.8858024644851685</v>
      </c>
      <c r="F37" s="3">
        <f>Aurora!D5*1000</f>
        <v>0.32688053131103517</v>
      </c>
      <c r="G37" s="3">
        <f>Aurora!E5*1000</f>
        <v>1.3633234405517578</v>
      </c>
      <c r="H37" s="3">
        <f>Aurora!F5*1000</f>
        <v>70.66596153259277</v>
      </c>
      <c r="I37" s="3">
        <f>Aurora!G5*1000</f>
        <v>5.543328723907471</v>
      </c>
      <c r="J37" s="3">
        <f>Aurora!H5*1000</f>
        <v>364.0724392700195</v>
      </c>
      <c r="K37" s="3">
        <f>Aurora!I5*1000</f>
        <v>425.22649528503416</v>
      </c>
      <c r="L37" s="3">
        <f>Aurora!J5*1000</f>
        <v>2.486359882354736</v>
      </c>
      <c r="M37" s="3">
        <f>Aurora!K5*1000</f>
        <v>0</v>
      </c>
      <c r="N37" s="3">
        <f>Aurora!L5*1000</f>
        <v>58.27640132904053</v>
      </c>
      <c r="O37" s="3">
        <f>Aurora!M5*1000</f>
        <v>0</v>
      </c>
      <c r="P37" s="3">
        <f>C37/8760</f>
        <v>0.10680819377779414</v>
      </c>
      <c r="Q37" s="92">
        <f>SUM(P37:P49)</f>
        <v>0.9776441556586115</v>
      </c>
    </row>
    <row r="38" spans="1:15" ht="12.75">
      <c r="A38" t="s">
        <v>110</v>
      </c>
      <c r="C38" s="77">
        <f>C39/C37</f>
        <v>71.52119282134251</v>
      </c>
      <c r="D38" s="81">
        <f>IF(D37&gt;0,D39/D37,"")</f>
        <v>80.09347002730775</v>
      </c>
      <c r="E38" s="81">
        <f aca="true" t="shared" si="11" ref="E38:O38">IF(E37&gt;0,E39/E37,"")</f>
        <v>79.73997539374889</v>
      </c>
      <c r="F38" s="81">
        <f t="shared" si="11"/>
        <v>77.38158242226581</v>
      </c>
      <c r="G38" s="81">
        <f t="shared" si="11"/>
        <v>70.08160362954943</v>
      </c>
      <c r="H38" s="81">
        <f t="shared" si="11"/>
        <v>69.44412172143431</v>
      </c>
      <c r="I38" s="81">
        <f t="shared" si="11"/>
        <v>70.13337320739001</v>
      </c>
      <c r="J38" s="81">
        <f t="shared" si="11"/>
        <v>70.98532242748823</v>
      </c>
      <c r="K38" s="81">
        <f t="shared" si="11"/>
        <v>71.65682136341567</v>
      </c>
      <c r="L38" s="81">
        <f t="shared" si="11"/>
        <v>71.89791126458894</v>
      </c>
      <c r="M38" s="81">
        <f t="shared" si="11"/>
      </c>
      <c r="N38" s="81">
        <f t="shared" si="11"/>
        <v>75.42698638153747</v>
      </c>
      <c r="O38" s="81">
        <f t="shared" si="11"/>
      </c>
    </row>
    <row r="39" spans="1:15" ht="12.75">
      <c r="A39" t="s">
        <v>63</v>
      </c>
      <c r="C39" s="33">
        <f>SUM(D39:O39)</f>
        <v>66918.07293742895</v>
      </c>
      <c r="D39" s="27">
        <f>Aurora!B25*1000</f>
        <v>63.496904373168945</v>
      </c>
      <c r="E39" s="27">
        <f>Aurora!C25*1000</f>
        <v>549.0737190842628</v>
      </c>
      <c r="F39" s="27">
        <f>Aurora!D25*1000</f>
        <v>25.294532775878906</v>
      </c>
      <c r="G39" s="27">
        <f>Aurora!E25*1000</f>
        <v>95.54389297962189</v>
      </c>
      <c r="H39" s="27">
        <f>Aurora!F25*1000</f>
        <v>4907.335634231567</v>
      </c>
      <c r="I39" s="27">
        <f>Aurora!G25*1000</f>
        <v>388.7723422050476</v>
      </c>
      <c r="J39" s="27">
        <f>Aurora!H25*1000</f>
        <v>25843.799488544464</v>
      </c>
      <c r="K39" s="27">
        <f>Aurora!I25*1000</f>
        <v>30470.379011631012</v>
      </c>
      <c r="L39" s="27">
        <f>Aurora!J25*1000</f>
        <v>178.76408219337463</v>
      </c>
      <c r="M39" s="27">
        <f>Aurora!K25*1000</f>
        <v>0</v>
      </c>
      <c r="N39" s="27">
        <f>Aurora!L25*1000</f>
        <v>4395.613329410553</v>
      </c>
      <c r="O39" s="27">
        <f>Aurora!M25*1000</f>
        <v>0</v>
      </c>
    </row>
    <row r="40" spans="3:15" ht="12.75"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6" ht="12.75">
      <c r="A41" t="s">
        <v>66</v>
      </c>
      <c r="C41" s="29">
        <f>SUM(D41:O41)</f>
        <v>1314.980462499261</v>
      </c>
      <c r="D41" s="3">
        <f>Aurora!B9*1000</f>
        <v>25.251465544700622</v>
      </c>
      <c r="E41" s="3">
        <f>Aurora!C9*1000</f>
        <v>70.12624186515808</v>
      </c>
      <c r="F41" s="3">
        <f>Aurora!D9*1000</f>
        <v>7.693397182822227</v>
      </c>
      <c r="G41" s="3">
        <f>Aurora!E9*1000</f>
        <v>55.10343528270721</v>
      </c>
      <c r="H41" s="3">
        <f>Aurora!F9*1000</f>
        <v>192.98437269091605</v>
      </c>
      <c r="I41" s="3">
        <f>Aurora!G9*1000</f>
        <v>57.11483860015869</v>
      </c>
      <c r="J41" s="3">
        <f>Aurora!H9*1000</f>
        <v>353.2482415485382</v>
      </c>
      <c r="K41" s="3">
        <f>Aurora!I9*1000</f>
        <v>422.60190990447995</v>
      </c>
      <c r="L41" s="3">
        <f>Aurora!J9*1000</f>
        <v>12.219764778017998</v>
      </c>
      <c r="M41" s="3">
        <f>Aurora!K9*1000</f>
        <v>2.930731525421143</v>
      </c>
      <c r="N41" s="3">
        <f>Aurora!L9*1000</f>
        <v>110.34340814113617</v>
      </c>
      <c r="O41" s="3">
        <f>Aurora!M9*1000</f>
        <v>5.362655435204506</v>
      </c>
      <c r="P41" s="3">
        <f>C41/8760</f>
        <v>0.150111924942838</v>
      </c>
    </row>
    <row r="42" spans="1:15" ht="12.75">
      <c r="A42" t="s">
        <v>113</v>
      </c>
      <c r="C42" s="77">
        <f>C43/C41</f>
        <v>69.80012050099583</v>
      </c>
      <c r="D42" s="81">
        <f aca="true" t="shared" si="12" ref="D42:O42">IF(D41&gt;0,D43/D41,"")</f>
        <v>77.65295245350418</v>
      </c>
      <c r="E42" s="81">
        <f t="shared" si="12"/>
        <v>77.31022307550616</v>
      </c>
      <c r="F42" s="81">
        <f t="shared" si="12"/>
        <v>75.02369530705991</v>
      </c>
      <c r="G42" s="81">
        <f t="shared" si="12"/>
        <v>67.9461534505508</v>
      </c>
      <c r="H42" s="81">
        <f t="shared" si="12"/>
        <v>67.32809576488735</v>
      </c>
      <c r="I42" s="81">
        <f t="shared" si="12"/>
        <v>67.99634380120546</v>
      </c>
      <c r="J42" s="81">
        <f t="shared" si="12"/>
        <v>68.82233313119863</v>
      </c>
      <c r="K42" s="81">
        <f t="shared" si="12"/>
        <v>69.47337151378991</v>
      </c>
      <c r="L42" s="81">
        <f t="shared" si="12"/>
        <v>69.70711489608075</v>
      </c>
      <c r="M42" s="81">
        <f t="shared" si="12"/>
        <v>70.40834754739777</v>
      </c>
      <c r="N42" s="81">
        <f t="shared" si="12"/>
        <v>73.12865921947294</v>
      </c>
      <c r="O42" s="81">
        <f t="shared" si="12"/>
        <v>75.89127370542211</v>
      </c>
    </row>
    <row r="43" spans="1:15" ht="12.75">
      <c r="A43" t="s">
        <v>65</v>
      </c>
      <c r="C43" s="33">
        <f>SUM(D43:O43)</f>
        <v>91785.79473890364</v>
      </c>
      <c r="D43" s="27">
        <f>Aurora!B29*1000</f>
        <v>1960.8508533239365</v>
      </c>
      <c r="E43" s="27">
        <f>Aurora!C29*1000</f>
        <v>5421.47540204227</v>
      </c>
      <c r="F43" s="27">
        <f>Aurora!D29*1000</f>
        <v>577.1870861202478</v>
      </c>
      <c r="G43" s="27">
        <f>Aurora!E29*1000</f>
        <v>3744.066469371319</v>
      </c>
      <c r="H43" s="27">
        <f>Aurora!F29*1000</f>
        <v>12993.270325660706</v>
      </c>
      <c r="I43" s="27">
        <f>Aurora!G29*1000</f>
        <v>3883.6002016067505</v>
      </c>
      <c r="J43" s="27">
        <f>Aurora!H29*1000</f>
        <v>24311.368157863617</v>
      </c>
      <c r="K43" s="27">
        <f>Aurora!I29*1000</f>
        <v>29359.57948923111</v>
      </c>
      <c r="L43" s="27">
        <f>Aurora!J29*1000</f>
        <v>851.8045473843813</v>
      </c>
      <c r="M43" s="27">
        <f>Aurora!K29*1000</f>
        <v>206.34796380996704</v>
      </c>
      <c r="N43" s="27">
        <f>Aurora!L29*1000</f>
        <v>8069.265491068362</v>
      </c>
      <c r="O43" s="27">
        <f>Aurora!M29*1000</f>
        <v>406.97875142097473</v>
      </c>
    </row>
    <row r="44" spans="3:15" ht="12.75"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6" ht="12.75">
      <c r="A45" t="s">
        <v>42</v>
      </c>
      <c r="C45" s="29">
        <f>SUM(D45:O45)</f>
        <v>5330.113704910279</v>
      </c>
      <c r="D45" s="3">
        <f>Aurora!B12*1000</f>
        <v>0</v>
      </c>
      <c r="E45" s="3">
        <f>Aurora!C12*1000</f>
        <v>0</v>
      </c>
      <c r="F45" s="3">
        <f>Aurora!D12*1000</f>
        <v>0</v>
      </c>
      <c r="G45" s="3">
        <f>Aurora!E12*1000</f>
        <v>0</v>
      </c>
      <c r="H45" s="3">
        <f>Aurora!F12*1000</f>
        <v>238.9022589111328</v>
      </c>
      <c r="I45" s="3">
        <f>Aurora!G12*1000</f>
        <v>26.912572937011717</v>
      </c>
      <c r="J45" s="3">
        <f>Aurora!H12*1000</f>
        <v>2308.834386291504</v>
      </c>
      <c r="K45" s="3">
        <f>Aurora!I12*1000</f>
        <v>2690.111556625366</v>
      </c>
      <c r="L45" s="3">
        <f>Aurora!J12*1000</f>
        <v>16.452952880859375</v>
      </c>
      <c r="M45" s="3">
        <f>Aurora!K12*1000</f>
        <v>0</v>
      </c>
      <c r="N45" s="3">
        <f>Aurora!L12*1000</f>
        <v>48.89997726440429</v>
      </c>
      <c r="O45" s="3">
        <f>Aurora!M12*1000</f>
        <v>0</v>
      </c>
      <c r="P45" s="3">
        <f>C45/8760</f>
        <v>0.6084604685970638</v>
      </c>
    </row>
    <row r="46" spans="1:15" ht="12.75">
      <c r="A46" t="s">
        <v>107</v>
      </c>
      <c r="C46" s="77">
        <f>C47/C45</f>
        <v>93.18067827933397</v>
      </c>
      <c r="D46" s="81">
        <f aca="true" t="shared" si="13" ref="D46:O46">IF(D45&gt;0,D47/D45,"")</f>
      </c>
      <c r="E46" s="81">
        <f t="shared" si="13"/>
      </c>
      <c r="F46" s="81">
        <f t="shared" si="13"/>
      </c>
      <c r="G46" s="81">
        <f t="shared" si="13"/>
      </c>
      <c r="H46" s="81">
        <f t="shared" si="13"/>
        <v>92.88381135224829</v>
      </c>
      <c r="I46" s="81">
        <f t="shared" si="13"/>
        <v>101.14186350163</v>
      </c>
      <c r="J46" s="81">
        <f t="shared" si="13"/>
        <v>92.44968375544815</v>
      </c>
      <c r="K46" s="81">
        <f t="shared" si="13"/>
        <v>93.45071994805731</v>
      </c>
      <c r="L46" s="81">
        <f t="shared" si="13"/>
        <v>103.06125961817473</v>
      </c>
      <c r="M46" s="81">
        <f t="shared" si="13"/>
      </c>
      <c r="N46" s="81">
        <f t="shared" si="13"/>
        <v>106.58364036875975</v>
      </c>
      <c r="O46" s="81">
        <f t="shared" si="13"/>
      </c>
    </row>
    <row r="47" spans="1:15" ht="12.75">
      <c r="A47" t="s">
        <v>43</v>
      </c>
      <c r="C47" s="33">
        <f>SUM(D47:O47)</f>
        <v>496663.61032951355</v>
      </c>
      <c r="D47" s="27">
        <f>Aurora!B32*1000</f>
        <v>0</v>
      </c>
      <c r="E47" s="27">
        <f>Aurora!C32*1000</f>
        <v>0</v>
      </c>
      <c r="F47" s="27">
        <f>Aurora!D32*1000</f>
        <v>0</v>
      </c>
      <c r="G47" s="27">
        <f>Aurora!E32*1000</f>
        <v>0</v>
      </c>
      <c r="H47" s="27">
        <f>Aurora!F32*1000</f>
        <v>22190.152348327636</v>
      </c>
      <c r="I47" s="27">
        <f>Aurora!G32*1000</f>
        <v>2721.9877784729006</v>
      </c>
      <c r="J47" s="27">
        <f>Aurora!H32*1000</f>
        <v>213451.00885635376</v>
      </c>
      <c r="K47" s="27">
        <f>Aurora!I32*1000</f>
        <v>251392.8617072296</v>
      </c>
      <c r="L47" s="27">
        <f>Aurora!J32*1000</f>
        <v>1695.6620483398438</v>
      </c>
      <c r="M47" s="27">
        <f>Aurora!K32*1000</f>
        <v>0</v>
      </c>
      <c r="N47" s="27">
        <f>Aurora!L32*1000</f>
        <v>5211.937590789795</v>
      </c>
      <c r="O47" s="27">
        <f>Aurora!M32*1000</f>
        <v>0</v>
      </c>
    </row>
    <row r="48" spans="3:15" ht="12.75">
      <c r="C48" s="41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6" ht="12.75">
      <c r="A49" t="s">
        <v>47</v>
      </c>
      <c r="C49" s="29">
        <f>SUM(D49:O49)</f>
        <v>983.42885866642</v>
      </c>
      <c r="D49" s="3">
        <f>Aurora!B11*1000</f>
        <v>0</v>
      </c>
      <c r="E49" s="3">
        <f>Aurora!C11*1000</f>
        <v>0</v>
      </c>
      <c r="F49" s="3">
        <f>Aurora!D11*1000</f>
        <v>0</v>
      </c>
      <c r="G49" s="3">
        <f>Aurora!E11*1000</f>
        <v>0</v>
      </c>
      <c r="H49" s="3">
        <f>Aurora!F11*1000</f>
        <v>0</v>
      </c>
      <c r="I49" s="3">
        <f>Aurora!G11*1000</f>
        <v>0.8164507293701172</v>
      </c>
      <c r="J49" s="3">
        <f>Aurora!H11*1000</f>
        <v>437.26469179630277</v>
      </c>
      <c r="K49" s="3">
        <f>Aurora!I11*1000</f>
        <v>545.347716140747</v>
      </c>
      <c r="L49" s="3">
        <f>Aurora!J11*1000</f>
        <v>0</v>
      </c>
      <c r="M49" s="3">
        <f>Aurora!K11*1000</f>
        <v>0</v>
      </c>
      <c r="N49" s="3">
        <f>Aurora!L11*1000</f>
        <v>0</v>
      </c>
      <c r="O49" s="3">
        <f>Aurora!M11*1000</f>
        <v>0</v>
      </c>
      <c r="P49" s="3">
        <f>C49/8760</f>
        <v>0.11226356834091553</v>
      </c>
    </row>
    <row r="50" spans="1:15" ht="12.75">
      <c r="A50" t="s">
        <v>108</v>
      </c>
      <c r="C50" s="77">
        <f>C51/C49</f>
        <v>122.79273697972299</v>
      </c>
      <c r="D50" s="81">
        <f aca="true" t="shared" si="14" ref="D50:O50">IF(D49&gt;0,D51/D49,"")</f>
      </c>
      <c r="E50" s="81">
        <f t="shared" si="14"/>
      </c>
      <c r="F50" s="81">
        <f t="shared" si="14"/>
      </c>
      <c r="G50" s="81">
        <f t="shared" si="14"/>
      </c>
      <c r="H50" s="81">
        <f t="shared" si="14"/>
      </c>
      <c r="I50" s="81">
        <f t="shared" si="14"/>
        <v>1610.72652716476</v>
      </c>
      <c r="J50" s="81">
        <f t="shared" si="14"/>
        <v>100.99307859089498</v>
      </c>
      <c r="K50" s="81">
        <f t="shared" si="14"/>
        <v>109.2347444792459</v>
      </c>
      <c r="L50" s="81">
        <f t="shared" si="14"/>
      </c>
      <c r="M50" s="81">
        <f t="shared" si="14"/>
      </c>
      <c r="N50" s="81">
        <f t="shared" si="14"/>
      </c>
      <c r="O50" s="81">
        <f t="shared" si="14"/>
      </c>
    </row>
    <row r="51" spans="1:15" ht="12.75">
      <c r="A51" t="s">
        <v>48</v>
      </c>
      <c r="C51" s="33">
        <f>SUM(D51:O51)</f>
        <v>120757.92118049487</v>
      </c>
      <c r="D51" s="27">
        <f>Aurora!B31*1000</f>
        <v>524.1572366622927</v>
      </c>
      <c r="E51" s="27">
        <f>Aurora!C31*1000</f>
        <v>5741.443900297167</v>
      </c>
      <c r="F51" s="27">
        <f>Aurora!D31*1000</f>
        <v>0</v>
      </c>
      <c r="G51" s="27">
        <f>Aurora!E31*1000</f>
        <v>1348.2578337829589</v>
      </c>
      <c r="H51" s="27">
        <f>Aurora!F31*1000</f>
        <v>5992.432668685913</v>
      </c>
      <c r="I51" s="27">
        <f>Aurora!G31*1000</f>
        <v>1315.0788479194641</v>
      </c>
      <c r="J51" s="27">
        <f>Aurora!H31*1000</f>
        <v>44160.70738360748</v>
      </c>
      <c r="K51" s="27">
        <f>Aurora!I31*1000</f>
        <v>59570.91842497483</v>
      </c>
      <c r="L51" s="27">
        <f>Aurora!J31*1000</f>
        <v>105.33592414855957</v>
      </c>
      <c r="M51" s="27">
        <f>Aurora!K31*1000</f>
        <v>544.0390165065766</v>
      </c>
      <c r="N51" s="27">
        <f>Aurora!L31*1000</f>
        <v>1114.6310295944215</v>
      </c>
      <c r="O51" s="27">
        <f>Aurora!M31*1000</f>
        <v>340.9189143152237</v>
      </c>
    </row>
    <row r="52" spans="3:15" ht="12.75"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t="s">
        <v>44</v>
      </c>
      <c r="C53" s="56">
        <f>SUM(D53:O53)</f>
        <v>188740550.58644646</v>
      </c>
      <c r="D53" s="35">
        <f aca="true" t="shared" si="15" ref="D53:J53">D23+D27+D31+D35+D39+D43+D47+D51</f>
        <v>18602170.265014436</v>
      </c>
      <c r="E53" s="35">
        <f t="shared" si="15"/>
        <v>17135688.753097855</v>
      </c>
      <c r="F53" s="35">
        <f t="shared" si="15"/>
        <v>17654429.516402505</v>
      </c>
      <c r="G53" s="35">
        <f t="shared" si="15"/>
        <v>9889649.191583794</v>
      </c>
      <c r="H53" s="35">
        <f t="shared" si="15"/>
        <v>4138419.633425557</v>
      </c>
      <c r="I53" s="35">
        <f t="shared" si="15"/>
        <v>5774437.820928469</v>
      </c>
      <c r="J53" s="35">
        <f t="shared" si="15"/>
        <v>17031247.399575356</v>
      </c>
      <c r="K53" s="35">
        <f>K23+K27+K31+K35+K39+K43+K47+K51</f>
        <v>19557423.10416825</v>
      </c>
      <c r="L53" s="35">
        <f>L23+L27+L31+L35+L39+L43+L47+L51</f>
        <v>18292688.171271365</v>
      </c>
      <c r="M53" s="35">
        <f>M23+M27+M31+M35+M39+M43+M47+M51</f>
        <v>19600493.08394319</v>
      </c>
      <c r="N53" s="35">
        <f>N23+N27+N31+N35+N39+N43+N47+N51</f>
        <v>20467422.117445633</v>
      </c>
      <c r="O53" s="35">
        <f>O23+O27+O31+O35+O39+O43+O47+O51</f>
        <v>20596481.52959006</v>
      </c>
    </row>
    <row r="54" spans="3:9" ht="12.75">
      <c r="C54" s="27"/>
      <c r="D54" s="27"/>
      <c r="E54" s="27"/>
      <c r="F54" s="27"/>
      <c r="G54" s="27"/>
      <c r="H54" s="27"/>
      <c r="I54" s="27"/>
    </row>
    <row r="55" spans="1:3" s="12" customFormat="1" ht="12.75">
      <c r="A55" s="37" t="s">
        <v>98</v>
      </c>
      <c r="B55" s="38"/>
      <c r="C55" s="75">
        <f>C53+C13+C9</f>
        <v>116245068.48406488</v>
      </c>
    </row>
    <row r="56" spans="1:9" s="12" customFormat="1" ht="12.75">
      <c r="A56" s="9"/>
      <c r="C56" s="39"/>
      <c r="D56" s="39"/>
      <c r="E56" s="39"/>
      <c r="F56" s="39"/>
      <c r="G56" s="39"/>
      <c r="H56" s="39"/>
      <c r="I56" s="39"/>
    </row>
  </sheetData>
  <printOptions/>
  <pageMargins left="0.75" right="0.75" top="1" bottom="1" header="0.5" footer="0.5"/>
  <pageSetup fitToHeight="1" fitToWidth="1" horizontalDpi="600" verticalDpi="600" orientation="landscape" scale="54" r:id="rId1"/>
  <headerFooter alignWithMargins="0">
    <oddHeader>&amp;RExhibit No. _____ (WGJ-4)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31.375" style="0" customWidth="1"/>
    <col min="2" max="14" width="11.75390625" style="0" customWidth="1"/>
  </cols>
  <sheetData>
    <row r="1" ht="15.75">
      <c r="A1" s="129" t="s">
        <v>208</v>
      </c>
    </row>
    <row r="2" ht="15.75">
      <c r="A2" s="129" t="s">
        <v>254</v>
      </c>
    </row>
    <row r="3" ht="15.75">
      <c r="A3" s="129" t="s">
        <v>249</v>
      </c>
    </row>
    <row r="4" ht="15.75">
      <c r="A4" s="129"/>
    </row>
    <row r="5" ht="15.75">
      <c r="A5" s="129"/>
    </row>
    <row r="6" spans="1:2" ht="12.75">
      <c r="A6" s="130" t="s">
        <v>252</v>
      </c>
      <c r="B6" s="58"/>
    </row>
    <row r="7" ht="12.75">
      <c r="A7" s="132"/>
    </row>
    <row r="8" spans="2:14" ht="12.75">
      <c r="B8" s="118" t="s">
        <v>37</v>
      </c>
      <c r="C8" s="133">
        <v>38724</v>
      </c>
      <c r="D8" s="133">
        <v>38755</v>
      </c>
      <c r="E8" s="133">
        <v>38783</v>
      </c>
      <c r="F8" s="133">
        <v>38814</v>
      </c>
      <c r="G8" s="133">
        <v>38844</v>
      </c>
      <c r="H8" s="133">
        <v>38875</v>
      </c>
      <c r="I8" s="133">
        <v>38905</v>
      </c>
      <c r="J8" s="133">
        <v>38936</v>
      </c>
      <c r="K8" s="133">
        <v>38967</v>
      </c>
      <c r="L8" s="133">
        <v>38997</v>
      </c>
      <c r="M8" s="133">
        <v>39028</v>
      </c>
      <c r="N8" s="133">
        <v>39058</v>
      </c>
    </row>
    <row r="9" spans="2:14" ht="12.75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4" ht="12.75">
      <c r="A10" t="s">
        <v>183</v>
      </c>
      <c r="B10" s="3">
        <f>SUM(C10:N10)</f>
        <v>124585656.62048002</v>
      </c>
      <c r="C10" s="3">
        <f>'WGJ-2'!K39</f>
        <v>14151115.172354668</v>
      </c>
      <c r="D10" s="3">
        <f>'WGJ-2'!L39</f>
        <v>11532545.325081619</v>
      </c>
      <c r="E10" s="3">
        <f>'WGJ-2'!M39</f>
        <v>9932894.199501453</v>
      </c>
      <c r="F10" s="3">
        <f>'WGJ-2'!N39</f>
        <v>9543003.61116191</v>
      </c>
      <c r="G10" s="3">
        <f>'WGJ-2'!O39</f>
        <v>8053532.795103874</v>
      </c>
      <c r="H10" s="3">
        <f>'WGJ-2'!P39</f>
        <v>7988133.972307834</v>
      </c>
      <c r="I10" s="3">
        <f>'WGJ-2'!Q39</f>
        <v>8504047.333134001</v>
      </c>
      <c r="J10" s="3">
        <f>'WGJ-2'!R39</f>
        <v>10148306.038665282</v>
      </c>
      <c r="K10" s="3">
        <f>'WGJ-2'!S39</f>
        <v>8203602.951139944</v>
      </c>
      <c r="L10" s="3">
        <f>'WGJ-2'!T39</f>
        <v>10390521.077500751</v>
      </c>
      <c r="M10" s="3">
        <f>'WGJ-2'!U39</f>
        <v>12470912.288362822</v>
      </c>
      <c r="N10" s="3">
        <f>'WGJ-2'!V39</f>
        <v>13667041.856165888</v>
      </c>
    </row>
    <row r="12" spans="1:14" ht="12.75">
      <c r="A12" t="s">
        <v>182</v>
      </c>
      <c r="B12" s="3">
        <f>SUM(C12:N12)</f>
        <v>31415747.567556154</v>
      </c>
      <c r="C12" s="104">
        <f>'WGJ-2'!K53</f>
        <v>3034793.382832031</v>
      </c>
      <c r="D12" s="104">
        <f>'WGJ-2'!L53</f>
        <v>2809004.883076172</v>
      </c>
      <c r="E12" s="104">
        <f>'WGJ-2'!M53</f>
        <v>3077010.580097656</v>
      </c>
      <c r="F12" s="104">
        <f>'WGJ-2'!N53</f>
        <v>1887768.2876171875</v>
      </c>
      <c r="G12" s="104">
        <f>'WGJ-2'!O53</f>
        <v>1059672.6507153318</v>
      </c>
      <c r="H12" s="104">
        <f>'WGJ-2'!P53</f>
        <v>1096905.8712353515</v>
      </c>
      <c r="I12" s="104">
        <f>'WGJ-2'!Q53</f>
        <v>3024528.421894531</v>
      </c>
      <c r="J12" s="104">
        <f>'WGJ-2'!R53</f>
        <v>3140676.262470703</v>
      </c>
      <c r="K12" s="104">
        <f>'WGJ-2'!S53</f>
        <v>3027011.986347656</v>
      </c>
      <c r="L12" s="104">
        <f>'WGJ-2'!T53</f>
        <v>3132431.1025585937</v>
      </c>
      <c r="M12" s="104">
        <f>'WGJ-2'!U53</f>
        <v>3044449.708515625</v>
      </c>
      <c r="N12" s="104">
        <f>'WGJ-2'!V53</f>
        <v>3081494.4301953125</v>
      </c>
    </row>
    <row r="14" spans="1:14" ht="12.75">
      <c r="A14" t="s">
        <v>181</v>
      </c>
      <c r="B14" s="3">
        <f>SUM(C14:N14)</f>
        <v>170318809.5288903</v>
      </c>
      <c r="C14" s="3">
        <f>'WGJ-2'!K64</f>
        <v>16650210.758015739</v>
      </c>
      <c r="D14" s="3">
        <f>'WGJ-2'!L64</f>
        <v>15409517.745855013</v>
      </c>
      <c r="E14" s="3">
        <f>'WGJ-2'!M64</f>
        <v>15660252.81213818</v>
      </c>
      <c r="F14" s="3">
        <f>'WGJ-2'!N64</f>
        <v>9084714.77979994</v>
      </c>
      <c r="G14" s="3">
        <f>'WGJ-2'!O64</f>
        <v>4161580.8585435585</v>
      </c>
      <c r="H14" s="3">
        <f>'WGJ-2'!P64</f>
        <v>5760365.825526451</v>
      </c>
      <c r="I14" s="3">
        <f>'WGJ-2'!Q64</f>
        <v>15089552.853514161</v>
      </c>
      <c r="J14" s="3">
        <f>'WGJ-2'!R64</f>
        <v>17499580.717530884</v>
      </c>
      <c r="K14" s="3">
        <f>'WGJ-2'!S64</f>
        <v>16348510.060757043</v>
      </c>
      <c r="L14" s="3">
        <f>'WGJ-2'!T64</f>
        <v>17550895.85721793</v>
      </c>
      <c r="M14" s="3">
        <f>'WGJ-2'!U64</f>
        <v>18505806.28476334</v>
      </c>
      <c r="N14" s="3">
        <f>'WGJ-2'!V64</f>
        <v>18597820.975228082</v>
      </c>
    </row>
    <row r="16" spans="1:14" ht="12.75">
      <c r="A16" s="17" t="s">
        <v>180</v>
      </c>
      <c r="B16" s="91">
        <f>SUM(C16:N16)</f>
        <v>108153391.76558802</v>
      </c>
      <c r="C16" s="91">
        <f>'WGJ-2'!K102</f>
        <v>8276338.0194901535</v>
      </c>
      <c r="D16" s="91">
        <f>'WGJ-2'!L102</f>
        <v>7892599.1872446695</v>
      </c>
      <c r="E16" s="91">
        <f>'WGJ-2'!M102</f>
        <v>10455419.197323557</v>
      </c>
      <c r="F16" s="91">
        <f>'WGJ-2'!N102</f>
        <v>9088401.41706492</v>
      </c>
      <c r="G16" s="91">
        <f>'WGJ-2'!O102</f>
        <v>7989789.451731155</v>
      </c>
      <c r="H16" s="91">
        <f>'WGJ-2'!P102</f>
        <v>10210243.630451074</v>
      </c>
      <c r="I16" s="91">
        <f>'WGJ-2'!Q102</f>
        <v>14846313.591871515</v>
      </c>
      <c r="J16" s="91">
        <f>'WGJ-2'!R102</f>
        <v>6977079.015937449</v>
      </c>
      <c r="K16" s="91">
        <f>'WGJ-2'!S102</f>
        <v>6954256.507052104</v>
      </c>
      <c r="L16" s="91">
        <f>'WGJ-2'!T102</f>
        <v>6784450.536226756</v>
      </c>
      <c r="M16" s="91">
        <f>'WGJ-2'!U102</f>
        <v>9615808.84308726</v>
      </c>
      <c r="N16" s="91">
        <f>'WGJ-2'!V102</f>
        <v>9062692.3681074</v>
      </c>
    </row>
    <row r="17" ht="12.75" customHeight="1"/>
    <row r="18" spans="1:14" ht="12.75">
      <c r="A18" s="2" t="s">
        <v>169</v>
      </c>
      <c r="B18" s="3">
        <f>SUM(C18:N18)</f>
        <v>218166821.95133856</v>
      </c>
      <c r="C18" s="3">
        <f>SUM(C10:C14)-C16</f>
        <v>25559781.29371229</v>
      </c>
      <c r="D18" s="3">
        <f aca="true" t="shared" si="0" ref="D18:N18">SUM(D10:D14)-D16</f>
        <v>21858468.766768135</v>
      </c>
      <c r="E18" s="3">
        <f t="shared" si="0"/>
        <v>18214738.394413732</v>
      </c>
      <c r="F18" s="3">
        <f t="shared" si="0"/>
        <v>11427085.26151412</v>
      </c>
      <c r="G18" s="3">
        <f t="shared" si="0"/>
        <v>5284996.85263161</v>
      </c>
      <c r="H18" s="3">
        <f t="shared" si="0"/>
        <v>4635162.038618563</v>
      </c>
      <c r="I18" s="3">
        <f t="shared" si="0"/>
        <v>11771815.01667118</v>
      </c>
      <c r="J18" s="3">
        <f t="shared" si="0"/>
        <v>23811484.002729423</v>
      </c>
      <c r="K18" s="3">
        <f t="shared" si="0"/>
        <v>20624868.49119254</v>
      </c>
      <c r="L18" s="3">
        <f t="shared" si="0"/>
        <v>24289397.501050517</v>
      </c>
      <c r="M18" s="3">
        <f t="shared" si="0"/>
        <v>24405359.43855453</v>
      </c>
      <c r="N18" s="3">
        <f t="shared" si="0"/>
        <v>26283664.89348188</v>
      </c>
    </row>
    <row r="19" ht="12.75" customHeight="1"/>
    <row r="20" spans="1:14" ht="12.75" customHeight="1">
      <c r="A20" s="2" t="s">
        <v>250</v>
      </c>
      <c r="B20" s="3">
        <f>SUM(C20:N20)</f>
        <v>18524257</v>
      </c>
      <c r="C20" s="3">
        <f>'WGJ-2'!K80</f>
        <v>1542000</v>
      </c>
      <c r="D20" s="3">
        <f>'WGJ-2'!L80</f>
        <v>1542000</v>
      </c>
      <c r="E20" s="3">
        <f>'WGJ-2'!M80</f>
        <v>1542000</v>
      </c>
      <c r="F20" s="3">
        <f>'WGJ-2'!N80</f>
        <v>1542000</v>
      </c>
      <c r="G20" s="3">
        <f>'WGJ-2'!O80</f>
        <v>1542000</v>
      </c>
      <c r="H20" s="3">
        <f>'WGJ-2'!P80</f>
        <v>1542000</v>
      </c>
      <c r="I20" s="3">
        <f>'WGJ-2'!Q80</f>
        <v>1542000</v>
      </c>
      <c r="J20" s="3">
        <f>'WGJ-2'!R80</f>
        <v>1562257</v>
      </c>
      <c r="K20" s="3">
        <f>'WGJ-2'!S80</f>
        <v>1542000</v>
      </c>
      <c r="L20" s="3">
        <f>'WGJ-2'!T80</f>
        <v>1542000</v>
      </c>
      <c r="M20" s="3">
        <f>'WGJ-2'!U80</f>
        <v>1542000</v>
      </c>
      <c r="N20" s="3">
        <f>'WGJ-2'!V80</f>
        <v>1542000</v>
      </c>
    </row>
    <row r="21" ht="12.75" customHeight="1">
      <c r="A21" s="2"/>
    </row>
    <row r="22" spans="1:14" ht="12.75" customHeight="1">
      <c r="A22" s="2" t="s">
        <v>251</v>
      </c>
      <c r="B22" s="3">
        <f>SUM(C22:N22)</f>
        <v>9478694.3919795</v>
      </c>
      <c r="C22" s="3">
        <v>691030.285581625</v>
      </c>
      <c r="D22" s="3">
        <v>637319.1222482916</v>
      </c>
      <c r="E22" s="3">
        <v>710607.3389149583</v>
      </c>
      <c r="F22" s="3">
        <v>695003.3655816249</v>
      </c>
      <c r="G22" s="3">
        <v>811017.8222482917</v>
      </c>
      <c r="H22" s="3">
        <v>1144180.3189149583</v>
      </c>
      <c r="I22" s="3">
        <v>1060504.0755816249</v>
      </c>
      <c r="J22" s="3">
        <v>894673.8722482917</v>
      </c>
      <c r="K22" s="3">
        <v>729456.3122482916</v>
      </c>
      <c r="L22" s="3">
        <v>749648.5355816251</v>
      </c>
      <c r="M22" s="3">
        <v>712322.8672482916</v>
      </c>
      <c r="N22" s="3">
        <v>642930.475581625</v>
      </c>
    </row>
    <row r="23" ht="12.75" customHeight="1">
      <c r="A23" s="2"/>
    </row>
    <row r="24" ht="12.75" customHeight="1">
      <c r="A24" s="2"/>
    </row>
    <row r="26" spans="1:3" ht="12.75">
      <c r="A26" s="130" t="s">
        <v>248</v>
      </c>
      <c r="B26" s="58"/>
      <c r="C26" s="58"/>
    </row>
    <row r="28" spans="2:14" ht="12.75">
      <c r="B28" s="118" t="s">
        <v>37</v>
      </c>
      <c r="C28" s="133">
        <v>38724</v>
      </c>
      <c r="D28" s="133">
        <v>38755</v>
      </c>
      <c r="E28" s="133">
        <v>38783</v>
      </c>
      <c r="F28" s="133">
        <v>38814</v>
      </c>
      <c r="G28" s="133">
        <v>38844</v>
      </c>
      <c r="H28" s="133">
        <v>38875</v>
      </c>
      <c r="I28" s="133">
        <v>38905</v>
      </c>
      <c r="J28" s="133">
        <v>38936</v>
      </c>
      <c r="K28" s="133">
        <v>38967</v>
      </c>
      <c r="L28" s="133">
        <v>38997</v>
      </c>
      <c r="M28" s="133">
        <v>39028</v>
      </c>
      <c r="N28" s="133">
        <v>39058</v>
      </c>
    </row>
    <row r="30" spans="1:14" ht="12.75">
      <c r="A30" s="2" t="s">
        <v>207</v>
      </c>
      <c r="B30" s="3">
        <f>SUM(C30:N30)</f>
        <v>5763971.394808476</v>
      </c>
      <c r="C30" s="136">
        <v>567312.3167548735</v>
      </c>
      <c r="D30" s="136">
        <v>506743.58140244207</v>
      </c>
      <c r="E30" s="136">
        <v>474017.0161419708</v>
      </c>
      <c r="F30" s="136">
        <v>443831.20711763727</v>
      </c>
      <c r="G30" s="136">
        <v>441747.55872296385</v>
      </c>
      <c r="H30" s="136">
        <v>411161.62908237515</v>
      </c>
      <c r="I30" s="136">
        <v>481078.428377882</v>
      </c>
      <c r="J30" s="136">
        <v>496947.9697279419</v>
      </c>
      <c r="K30" s="136">
        <v>422452.7542775099</v>
      </c>
      <c r="L30" s="136">
        <v>464474.99904283835</v>
      </c>
      <c r="M30" s="136">
        <v>488896.1115004327</v>
      </c>
      <c r="N30" s="136">
        <v>565307.8226596086</v>
      </c>
    </row>
    <row r="33" ht="12.75">
      <c r="A33" t="s">
        <v>253</v>
      </c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&amp;RExhibit No. _____ (WGJ-5)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pane xSplit="4470" ySplit="825" topLeftCell="A1" activePane="bottomRight" state="split"/>
      <selection pane="topLeft" activeCell="B2" sqref="B2"/>
      <selection pane="topRight" activeCell="K1" sqref="K1"/>
      <selection pane="bottomLeft" activeCell="A30" sqref="A30"/>
      <selection pane="bottomRight" activeCell="B5" sqref="B5:M12"/>
    </sheetView>
  </sheetViews>
  <sheetFormatPr defaultColWidth="9.00390625" defaultRowHeight="12.75"/>
  <cols>
    <col min="1" max="1" width="20.125" style="64" customWidth="1"/>
    <col min="2" max="13" width="9.125" style="64" customWidth="1"/>
    <col min="14" max="14" width="10.25390625" style="66" customWidth="1"/>
    <col min="15" max="15" width="9.25390625" style="64" customWidth="1"/>
    <col min="16" max="16384" width="9.125" style="64" customWidth="1"/>
  </cols>
  <sheetData>
    <row r="1" spans="1:15" ht="16.5" thickBot="1">
      <c r="A1" s="61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2"/>
    </row>
    <row r="2" spans="1:13" ht="12.75">
      <c r="A2" s="65"/>
      <c r="B2" s="74" t="s">
        <v>85</v>
      </c>
      <c r="C2" s="74" t="s">
        <v>86</v>
      </c>
      <c r="D2" s="74" t="s">
        <v>87</v>
      </c>
      <c r="E2" s="74" t="s">
        <v>88</v>
      </c>
      <c r="F2" s="74" t="s">
        <v>89</v>
      </c>
      <c r="G2" s="74" t="s">
        <v>90</v>
      </c>
      <c r="H2" s="74" t="s">
        <v>91</v>
      </c>
      <c r="I2" s="74" t="s">
        <v>92</v>
      </c>
      <c r="J2" s="74" t="s">
        <v>93</v>
      </c>
      <c r="K2" s="74" t="s">
        <v>94</v>
      </c>
      <c r="L2" s="74" t="s">
        <v>95</v>
      </c>
      <c r="M2" s="74" t="s">
        <v>96</v>
      </c>
    </row>
    <row r="3" spans="2:14" ht="12.75">
      <c r="B3" s="67">
        <v>1</v>
      </c>
      <c r="C3" s="67">
        <v>2</v>
      </c>
      <c r="D3" s="67">
        <v>3</v>
      </c>
      <c r="E3" s="67">
        <v>4</v>
      </c>
      <c r="F3" s="67">
        <v>5</v>
      </c>
      <c r="G3" s="67">
        <v>6</v>
      </c>
      <c r="H3" s="67">
        <v>7</v>
      </c>
      <c r="I3" s="67">
        <v>8</v>
      </c>
      <c r="J3" s="67">
        <v>9</v>
      </c>
      <c r="K3" s="67">
        <v>10</v>
      </c>
      <c r="L3" s="67">
        <v>11</v>
      </c>
      <c r="M3" s="67">
        <v>12</v>
      </c>
      <c r="N3" s="68" t="s">
        <v>73</v>
      </c>
    </row>
    <row r="4" spans="1:14" ht="12.75">
      <c r="A4" s="78" t="s">
        <v>74</v>
      </c>
      <c r="N4" s="79" t="s">
        <v>100</v>
      </c>
    </row>
    <row r="5" spans="1:15" ht="12.75">
      <c r="A5" s="69" t="s">
        <v>75</v>
      </c>
      <c r="B5" s="70">
        <v>0.0007927850341796875</v>
      </c>
      <c r="C5" s="70">
        <v>0.006885802464485168</v>
      </c>
      <c r="D5" s="70">
        <v>0.0003268805313110352</v>
      </c>
      <c r="E5" s="70">
        <v>0.0013633234405517579</v>
      </c>
      <c r="F5" s="70">
        <v>0.07066596153259277</v>
      </c>
      <c r="G5" s="70">
        <v>0.005543328723907471</v>
      </c>
      <c r="H5" s="70">
        <v>0.36407243927001953</v>
      </c>
      <c r="I5" s="70">
        <v>0.42522649528503415</v>
      </c>
      <c r="J5" s="70">
        <v>0.002486359882354736</v>
      </c>
      <c r="K5" s="70">
        <v>0</v>
      </c>
      <c r="L5" s="70">
        <v>0.05827640132904053</v>
      </c>
      <c r="M5" s="70">
        <v>0</v>
      </c>
      <c r="N5" s="66">
        <f>SUM(B5:M5)</f>
        <v>0.9356397774934768</v>
      </c>
      <c r="O5" s="64">
        <f>N5/8760*1000</f>
        <v>0.10680819377779416</v>
      </c>
    </row>
    <row r="6" spans="1:15" ht="12.75">
      <c r="A6" s="69" t="s">
        <v>26</v>
      </c>
      <c r="B6" s="70">
        <v>151.5652959375</v>
      </c>
      <c r="C6" s="70">
        <v>138.60815515625</v>
      </c>
      <c r="D6" s="70">
        <v>152.163952109375</v>
      </c>
      <c r="E6" s="70">
        <v>136.720649765625</v>
      </c>
      <c r="F6" s="70">
        <v>90.59369625000001</v>
      </c>
      <c r="G6" s="70">
        <v>93.87515964843749</v>
      </c>
      <c r="H6" s="70">
        <v>151.137050234375</v>
      </c>
      <c r="I6" s="70">
        <v>153.438665625</v>
      </c>
      <c r="J6" s="70">
        <v>148.51853125</v>
      </c>
      <c r="K6" s="70">
        <v>152.16497765625002</v>
      </c>
      <c r="L6" s="70">
        <v>148.51853125</v>
      </c>
      <c r="M6" s="70">
        <v>150.99817484374998</v>
      </c>
      <c r="N6" s="66">
        <f aca="true" t="shared" si="0" ref="N6:N12">SUM(B6:M6)</f>
        <v>1668.3028397265628</v>
      </c>
      <c r="O6" s="64">
        <f aca="true" t="shared" si="1" ref="O6:O14">N6/8760*1000</f>
        <v>190.44552964915098</v>
      </c>
    </row>
    <row r="7" spans="1:16" ht="12.75">
      <c r="A7" s="69" t="s">
        <v>76</v>
      </c>
      <c r="B7" s="70">
        <v>120.78036398437499</v>
      </c>
      <c r="C7" s="70">
        <v>112.24677820312499</v>
      </c>
      <c r="D7" s="70">
        <v>119.04768357421874</v>
      </c>
      <c r="E7" s="70">
        <v>72.30719592773438</v>
      </c>
      <c r="F7" s="70">
        <v>31.72792432128907</v>
      </c>
      <c r="G7" s="70">
        <v>41.78621154296875</v>
      </c>
      <c r="H7" s="70">
        <v>121.46647544921875</v>
      </c>
      <c r="I7" s="70">
        <v>141.26791140625</v>
      </c>
      <c r="J7" s="70">
        <v>134.12921390625</v>
      </c>
      <c r="K7" s="70">
        <v>141.28850296874998</v>
      </c>
      <c r="L7" s="70">
        <v>142.68669921875</v>
      </c>
      <c r="M7" s="70">
        <v>138.493046015625</v>
      </c>
      <c r="N7" s="66">
        <f t="shared" si="0"/>
        <v>1317.2280065185546</v>
      </c>
      <c r="O7" s="64">
        <f t="shared" si="1"/>
        <v>150.36849389481216</v>
      </c>
      <c r="P7" s="64">
        <f>SUM(B7:M7)</f>
        <v>1317.2280065185546</v>
      </c>
    </row>
    <row r="8" spans="1:15" ht="12.75">
      <c r="A8" s="69" t="s">
        <v>24</v>
      </c>
      <c r="B8" s="70">
        <v>31.684583593750002</v>
      </c>
      <c r="C8" s="70">
        <v>29.813990703125</v>
      </c>
      <c r="D8" s="70">
        <v>32.617097695312495</v>
      </c>
      <c r="E8" s="70">
        <v>7.535569296875</v>
      </c>
      <c r="F8" s="70">
        <v>0</v>
      </c>
      <c r="G8" s="70">
        <v>0</v>
      </c>
      <c r="H8" s="70">
        <v>31.543221093750006</v>
      </c>
      <c r="I8" s="70">
        <v>33.912289453125</v>
      </c>
      <c r="J8" s="70">
        <v>32.457416015625</v>
      </c>
      <c r="K8" s="70">
        <v>34.0756734765625</v>
      </c>
      <c r="L8" s="70">
        <v>32.91644488281249</v>
      </c>
      <c r="M8" s="70">
        <v>33.0833297265625</v>
      </c>
      <c r="N8" s="66">
        <f t="shared" si="0"/>
        <v>299.63961593749997</v>
      </c>
      <c r="O8" s="64">
        <f t="shared" si="1"/>
        <v>34.20543560930365</v>
      </c>
    </row>
    <row r="9" spans="1:15" ht="12.75">
      <c r="A9" s="69" t="s">
        <v>77</v>
      </c>
      <c r="B9" s="70">
        <v>0.025251465544700622</v>
      </c>
      <c r="C9" s="70">
        <v>0.07012624186515808</v>
      </c>
      <c r="D9" s="70">
        <v>0.007693397182822226</v>
      </c>
      <c r="E9" s="70">
        <v>0.05510343528270721</v>
      </c>
      <c r="F9" s="70">
        <v>0.19298437269091603</v>
      </c>
      <c r="G9" s="70">
        <v>0.057114838600158695</v>
      </c>
      <c r="H9" s="70">
        <v>0.3532482415485382</v>
      </c>
      <c r="I9" s="70">
        <v>0.42260190990447993</v>
      </c>
      <c r="J9" s="70">
        <v>0.012219764778017998</v>
      </c>
      <c r="K9" s="70">
        <v>0.0029307315254211426</v>
      </c>
      <c r="L9" s="70">
        <v>0.11034340814113616</v>
      </c>
      <c r="M9" s="70">
        <v>0.005362655435204506</v>
      </c>
      <c r="N9" s="66">
        <f t="shared" si="0"/>
        <v>1.3149804624992607</v>
      </c>
      <c r="O9" s="64">
        <f t="shared" si="1"/>
        <v>0.15011192494283798</v>
      </c>
    </row>
    <row r="10" spans="1:13" ht="12.75">
      <c r="A10" s="69" t="s">
        <v>237</v>
      </c>
      <c r="B10" s="70">
        <v>139.7770920605469</v>
      </c>
      <c r="C10" s="70">
        <v>130.256789296875</v>
      </c>
      <c r="D10" s="70">
        <v>135.87421018554687</v>
      </c>
      <c r="E10" s="70">
        <v>82.9948353125</v>
      </c>
      <c r="F10" s="70">
        <v>27.43458399169922</v>
      </c>
      <c r="G10" s="70">
        <v>46.32738194335937</v>
      </c>
      <c r="H10" s="70">
        <v>137.2655120703125</v>
      </c>
      <c r="I10" s="70">
        <v>162.701983125</v>
      </c>
      <c r="J10" s="70">
        <v>155.15319343750002</v>
      </c>
      <c r="K10" s="70">
        <v>167.79997234375</v>
      </c>
      <c r="L10" s="70">
        <v>171.5374575</v>
      </c>
      <c r="M10" s="70">
        <v>163.35603757812498</v>
      </c>
    </row>
    <row r="11" spans="1:15" ht="12.75">
      <c r="A11" s="69" t="s">
        <v>78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0.0008164507293701172</v>
      </c>
      <c r="H11" s="70">
        <v>0.4372646917963028</v>
      </c>
      <c r="I11" s="70">
        <v>0.5453477161407471</v>
      </c>
      <c r="J11" s="70">
        <v>0</v>
      </c>
      <c r="K11" s="70">
        <v>0</v>
      </c>
      <c r="L11" s="70">
        <v>0</v>
      </c>
      <c r="M11" s="70">
        <v>0</v>
      </c>
      <c r="N11" s="66">
        <f t="shared" si="0"/>
        <v>0.9834288586664199</v>
      </c>
      <c r="O11" s="64">
        <f t="shared" si="1"/>
        <v>0.11226356834091551</v>
      </c>
    </row>
    <row r="12" spans="1:15" ht="12.75">
      <c r="A12" s="69" t="s">
        <v>79</v>
      </c>
      <c r="B12" s="70">
        <v>0</v>
      </c>
      <c r="C12" s="70">
        <v>0</v>
      </c>
      <c r="D12" s="70">
        <v>0</v>
      </c>
      <c r="E12" s="70">
        <v>0</v>
      </c>
      <c r="F12" s="70">
        <v>0.23890225891113281</v>
      </c>
      <c r="G12" s="70">
        <v>0.026912572937011717</v>
      </c>
      <c r="H12" s="70">
        <v>2.308834386291504</v>
      </c>
      <c r="I12" s="70">
        <v>2.690111556625366</v>
      </c>
      <c r="J12" s="70">
        <v>0.016452952880859375</v>
      </c>
      <c r="K12" s="70">
        <v>0</v>
      </c>
      <c r="L12" s="70">
        <v>0.048899977264404294</v>
      </c>
      <c r="M12" s="70">
        <v>0</v>
      </c>
      <c r="N12" s="66">
        <f t="shared" si="0"/>
        <v>5.3301137049102785</v>
      </c>
      <c r="O12" s="64">
        <f t="shared" si="1"/>
        <v>0.6084604685970637</v>
      </c>
    </row>
    <row r="13" spans="1:15" ht="12.75">
      <c r="A13" s="69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>
        <f>SUM(N5:N12)</f>
        <v>3293.734624986186</v>
      </c>
      <c r="O13" s="64">
        <f t="shared" si="1"/>
        <v>375.9971033089254</v>
      </c>
    </row>
    <row r="14" spans="1:15" ht="12.75">
      <c r="A14" s="65" t="s">
        <v>101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64">
        <f t="shared" si="1"/>
        <v>0</v>
      </c>
    </row>
    <row r="15" spans="1:14" ht="12.75">
      <c r="A15" s="69" t="s">
        <v>75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1:14" ht="12.75">
      <c r="A16" s="69" t="s">
        <v>26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1:14" ht="12.75">
      <c r="A17" s="69" t="s">
        <v>76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1:14" ht="12.75">
      <c r="A18" s="69" t="s">
        <v>24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</row>
    <row r="19" spans="1:14" ht="12.75">
      <c r="A19" s="69" t="s">
        <v>77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</row>
    <row r="20" spans="1:14" ht="12.75">
      <c r="A20" s="69" t="s">
        <v>237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</row>
    <row r="21" spans="1:14" ht="12.75">
      <c r="A21" s="69" t="s">
        <v>78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</row>
    <row r="22" spans="1:14" ht="12.75">
      <c r="A22" s="69" t="s">
        <v>79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3" spans="1:14" ht="12.75">
      <c r="A23" s="69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>
        <f>SUM(N15:N22)</f>
        <v>0</v>
      </c>
    </row>
    <row r="24" spans="1:14" ht="12.75">
      <c r="A24" s="78" t="s">
        <v>80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</row>
    <row r="25" spans="1:14" ht="12.75">
      <c r="A25" s="69" t="s">
        <v>75</v>
      </c>
      <c r="B25" s="70">
        <v>0.06349690437316895</v>
      </c>
      <c r="C25" s="70">
        <v>0.5490737190842628</v>
      </c>
      <c r="D25" s="70">
        <v>0.025294532775878908</v>
      </c>
      <c r="E25" s="70">
        <v>0.09554389297962189</v>
      </c>
      <c r="F25" s="70">
        <v>4.9073356342315675</v>
      </c>
      <c r="G25" s="70">
        <v>0.3887723422050476</v>
      </c>
      <c r="H25" s="70">
        <v>25.843799488544462</v>
      </c>
      <c r="I25" s="70">
        <v>30.47037901163101</v>
      </c>
      <c r="J25" s="70">
        <v>0.17876408219337464</v>
      </c>
      <c r="K25" s="70">
        <v>0</v>
      </c>
      <c r="L25" s="70">
        <v>4.395613329410553</v>
      </c>
      <c r="M25" s="70">
        <v>0</v>
      </c>
      <c r="N25" s="71">
        <f>SUM(B25:M25)</f>
        <v>66.91807293742895</v>
      </c>
    </row>
    <row r="26" spans="1:14" ht="12.75">
      <c r="A26" s="69" t="s">
        <v>26</v>
      </c>
      <c r="B26" s="70">
        <v>1732.7406530761718</v>
      </c>
      <c r="C26" s="70">
        <v>1585.7219580078124</v>
      </c>
      <c r="D26" s="70">
        <v>1739.5332336425781</v>
      </c>
      <c r="E26" s="70">
        <v>1564.3053955078126</v>
      </c>
      <c r="F26" s="70">
        <v>1040.924358215332</v>
      </c>
      <c r="G26" s="70">
        <v>1078.1575787353515</v>
      </c>
      <c r="H26" s="70">
        <v>1727.8814978027344</v>
      </c>
      <c r="I26" s="70">
        <v>1753.9968103027343</v>
      </c>
      <c r="J26" s="70">
        <v>1698.17041015625</v>
      </c>
      <c r="K26" s="70">
        <v>1739.544990234375</v>
      </c>
      <c r="L26" s="70">
        <v>1698.17041015625</v>
      </c>
      <c r="M26" s="70">
        <v>1726.3057446289063</v>
      </c>
      <c r="N26" s="71">
        <f aca="true" t="shared" si="2" ref="N26:N32">SUM(B26:M26)</f>
        <v>19085.453040466313</v>
      </c>
    </row>
    <row r="27" spans="1:15" ht="12.75">
      <c r="A27" s="69" t="s">
        <v>76</v>
      </c>
      <c r="B27" s="70">
        <v>7077.0266634951295</v>
      </c>
      <c r="C27" s="70">
        <v>6515.467341446901</v>
      </c>
      <c r="D27" s="70">
        <v>6707.02308387088</v>
      </c>
      <c r="E27" s="70">
        <v>3660.4713196110324</v>
      </c>
      <c r="F27" s="70">
        <v>1601.7825879935908</v>
      </c>
      <c r="G27" s="70">
        <v>2164.373927233974</v>
      </c>
      <c r="H27" s="70">
        <v>6291.00547588767</v>
      </c>
      <c r="I27" s="70">
        <v>7295.3178509035715</v>
      </c>
      <c r="J27" s="70">
        <v>6927.250197423209</v>
      </c>
      <c r="K27" s="70">
        <v>7380.953819151064</v>
      </c>
      <c r="L27" s="70">
        <v>7752.98773564261</v>
      </c>
      <c r="M27" s="70">
        <v>7877.246178511631</v>
      </c>
      <c r="N27" s="71">
        <f t="shared" si="2"/>
        <v>71250.90618117126</v>
      </c>
      <c r="O27" s="64">
        <f>N27/8760*1000</f>
        <v>8133.665089174801</v>
      </c>
    </row>
    <row r="28" spans="1:15" ht="12.75">
      <c r="A28" s="69" t="s">
        <v>24</v>
      </c>
      <c r="B28" s="70">
        <v>1283.3044372558593</v>
      </c>
      <c r="C28" s="70">
        <v>1204.5346325683595</v>
      </c>
      <c r="D28" s="70">
        <v>1318.7290539550781</v>
      </c>
      <c r="E28" s="70">
        <v>304.714599609375</v>
      </c>
      <c r="F28" s="70">
        <v>0</v>
      </c>
      <c r="G28" s="70">
        <v>0</v>
      </c>
      <c r="H28" s="70">
        <v>1277.8986315917969</v>
      </c>
      <c r="I28" s="70">
        <v>1367.9311596679688</v>
      </c>
      <c r="J28" s="70">
        <v>1310.0932836914062</v>
      </c>
      <c r="K28" s="70">
        <v>1374.1378198242187</v>
      </c>
      <c r="L28" s="70">
        <v>1327.531005859375</v>
      </c>
      <c r="M28" s="70">
        <v>1336.4403930664062</v>
      </c>
      <c r="N28" s="71">
        <f t="shared" si="2"/>
        <v>12105.315017089844</v>
      </c>
      <c r="O28" s="64">
        <f>N28/8760*1000</f>
        <v>1381.8852759234983</v>
      </c>
    </row>
    <row r="29" spans="1:15" ht="12.75">
      <c r="A29" s="69" t="s">
        <v>77</v>
      </c>
      <c r="B29" s="70">
        <v>1.9608508533239364</v>
      </c>
      <c r="C29" s="70">
        <v>5.42147540204227</v>
      </c>
      <c r="D29" s="70">
        <v>0.5771870861202478</v>
      </c>
      <c r="E29" s="70">
        <v>3.744066469371319</v>
      </c>
      <c r="F29" s="70">
        <v>12.993270325660706</v>
      </c>
      <c r="G29" s="70">
        <v>3.8836002016067503</v>
      </c>
      <c r="H29" s="70">
        <v>24.311368157863615</v>
      </c>
      <c r="I29" s="70">
        <v>29.35957948923111</v>
      </c>
      <c r="J29" s="70">
        <v>0.8518045473843813</v>
      </c>
      <c r="K29" s="70">
        <v>0.20634796380996703</v>
      </c>
      <c r="L29" s="70">
        <v>8.069265491068363</v>
      </c>
      <c r="M29" s="70">
        <v>0.4069787514209747</v>
      </c>
      <c r="N29" s="71">
        <f t="shared" si="2"/>
        <v>91.78579473890363</v>
      </c>
      <c r="O29" s="64">
        <f>N29/8760*1000</f>
        <v>10.477830449646534</v>
      </c>
    </row>
    <row r="30" spans="1:14" ht="12.75">
      <c r="A30" s="69" t="s">
        <v>237</v>
      </c>
      <c r="B30" s="70">
        <v>8506.550006192918</v>
      </c>
      <c r="C30" s="70">
        <v>7818.252828053356</v>
      </c>
      <c r="D30" s="70">
        <v>7888.541663315071</v>
      </c>
      <c r="E30" s="70">
        <v>4354.97000865944</v>
      </c>
      <c r="F30" s="70">
        <v>1449.6294962397285</v>
      </c>
      <c r="G30" s="70">
        <v>2523.5968757889395</v>
      </c>
      <c r="H30" s="70">
        <v>7426.694910406788</v>
      </c>
      <c r="I30" s="70">
        <v>8769.383544660914</v>
      </c>
      <c r="J30" s="70">
        <v>8354.342713398435</v>
      </c>
      <c r="K30" s="70">
        <v>9105.106067753215</v>
      </c>
      <c r="L30" s="70">
        <v>9669.941518346535</v>
      </c>
      <c r="M30" s="70">
        <v>9655.741315717381</v>
      </c>
      <c r="N30" s="71"/>
    </row>
    <row r="31" spans="1:14" ht="12.75">
      <c r="A31" s="69" t="s">
        <v>78</v>
      </c>
      <c r="B31" s="70">
        <v>0.5241572366622926</v>
      </c>
      <c r="C31" s="70">
        <v>5.741443900297167</v>
      </c>
      <c r="D31" s="70">
        <v>0</v>
      </c>
      <c r="E31" s="70">
        <v>1.348257833782959</v>
      </c>
      <c r="F31" s="70">
        <v>5.992432668685913</v>
      </c>
      <c r="G31" s="70">
        <v>1.3150788479194642</v>
      </c>
      <c r="H31" s="70">
        <v>44.16070738360748</v>
      </c>
      <c r="I31" s="70">
        <v>59.57091842497483</v>
      </c>
      <c r="J31" s="70">
        <v>0.10533592414855956</v>
      </c>
      <c r="K31" s="70">
        <v>0.5440390165065766</v>
      </c>
      <c r="L31" s="70">
        <v>1.1146310295944215</v>
      </c>
      <c r="M31" s="70">
        <v>0.3409189143152237</v>
      </c>
      <c r="N31" s="71">
        <f t="shared" si="2"/>
        <v>120.75792118049489</v>
      </c>
    </row>
    <row r="32" spans="1:14" ht="12.75">
      <c r="A32" s="69" t="s">
        <v>79</v>
      </c>
      <c r="B32" s="70">
        <v>0</v>
      </c>
      <c r="C32" s="70">
        <v>0</v>
      </c>
      <c r="D32" s="70">
        <v>0</v>
      </c>
      <c r="E32" s="70">
        <v>0</v>
      </c>
      <c r="F32" s="70">
        <v>22.190152348327636</v>
      </c>
      <c r="G32" s="70">
        <v>2.7219877784729007</v>
      </c>
      <c r="H32" s="70">
        <v>213.45100885635375</v>
      </c>
      <c r="I32" s="70">
        <v>251.3928617072296</v>
      </c>
      <c r="J32" s="70">
        <v>1.6956620483398437</v>
      </c>
      <c r="K32" s="70">
        <v>0</v>
      </c>
      <c r="L32" s="70">
        <v>5.211937590789795</v>
      </c>
      <c r="M32" s="70">
        <v>0</v>
      </c>
      <c r="N32" s="71">
        <f t="shared" si="2"/>
        <v>496.6636103295135</v>
      </c>
    </row>
    <row r="33" spans="1:14" ht="12.75">
      <c r="A33" s="69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>
        <f>SUM(N25:N32)</f>
        <v>103217.79963791376</v>
      </c>
    </row>
    <row r="34" spans="1:14" ht="12.75">
      <c r="A34" s="78" t="s">
        <v>81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</row>
    <row r="35" spans="1:14" ht="12.75">
      <c r="A35" s="69" t="s">
        <v>82</v>
      </c>
      <c r="B35" s="71">
        <v>46.15399375</v>
      </c>
      <c r="C35" s="64">
        <v>24.209164140625</v>
      </c>
      <c r="D35" s="64">
        <v>17.233402469177246</v>
      </c>
      <c r="E35" s="64">
        <v>13.799630440511702</v>
      </c>
      <c r="F35" s="70">
        <v>5.44411121887207</v>
      </c>
      <c r="G35" s="70">
        <v>5.9862980615234385</v>
      </c>
      <c r="H35" s="70">
        <v>9.308715157966613</v>
      </c>
      <c r="I35" s="70">
        <v>35.93571663818359</v>
      </c>
      <c r="J35" s="70">
        <v>17.435695026245117</v>
      </c>
      <c r="K35" s="70">
        <v>44.07822844726562</v>
      </c>
      <c r="L35" s="70">
        <v>27.398749853515625</v>
      </c>
      <c r="M35" s="70">
        <v>34.19872693542481</v>
      </c>
      <c r="N35" s="71">
        <f>SUM(B35:M35)</f>
        <v>281.18243213931083</v>
      </c>
    </row>
    <row r="36" spans="1:14" ht="12.75">
      <c r="A36" s="69" t="s">
        <v>83</v>
      </c>
      <c r="B36" s="71">
        <v>-105.79227750000001</v>
      </c>
      <c r="C36" s="70">
        <v>-110.55766035156249</v>
      </c>
      <c r="D36" s="64">
        <v>-164.1677784375</v>
      </c>
      <c r="E36" s="64">
        <v>-169.3349015625</v>
      </c>
      <c r="F36" s="70">
        <v>-216.8332325</v>
      </c>
      <c r="G36" s="70">
        <v>-291.1912865625</v>
      </c>
      <c r="H36" s="70">
        <v>-242.6504971875</v>
      </c>
      <c r="I36" s="70">
        <v>-90.07423671874999</v>
      </c>
      <c r="J36" s="70">
        <v>-98.95467171875</v>
      </c>
      <c r="K36" s="70">
        <v>-91.56697859374998</v>
      </c>
      <c r="L36" s="70">
        <v>-132.1439103125</v>
      </c>
      <c r="M36" s="70">
        <v>-107.21290906249999</v>
      </c>
      <c r="N36" s="71">
        <f>SUM(B36:M36)</f>
        <v>-1820.4803405078123</v>
      </c>
    </row>
    <row r="37" spans="2:15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2">
        <f>SUM(B35:B36)</f>
        <v>-59.638283750000014</v>
      </c>
      <c r="O37" s="64">
        <f>N37/8.76</f>
        <v>-6.808023259132422</v>
      </c>
    </row>
    <row r="38" spans="1:14" ht="12.75">
      <c r="A38" s="78" t="s">
        <v>84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</row>
    <row r="39" spans="1:14" ht="12.75">
      <c r="A39" s="69" t="s">
        <v>82</v>
      </c>
      <c r="B39" s="66">
        <v>3345.940744628906</v>
      </c>
      <c r="C39" s="64">
        <v>1630.1505529785156</v>
      </c>
      <c r="D39" s="64">
        <v>1070.3145231056214</v>
      </c>
      <c r="E39" s="64">
        <v>796.5412971264124</v>
      </c>
      <c r="F39" s="70">
        <v>299.1269708251953</v>
      </c>
      <c r="G39" s="70">
        <v>239.30463762283324</v>
      </c>
      <c r="H39" s="70">
        <v>745.3070453619957</v>
      </c>
      <c r="I39" s="70">
        <v>3124.945866546631</v>
      </c>
      <c r="J39" s="70">
        <v>1374.0332627868652</v>
      </c>
      <c r="K39" s="70">
        <v>3094.9840838623045</v>
      </c>
      <c r="L39" s="70">
        <v>2088.678737945557</v>
      </c>
      <c r="M39" s="70">
        <v>2874.482709007263</v>
      </c>
      <c r="N39" s="71">
        <f>SUM(B39:M39)</f>
        <v>20683.810431798098</v>
      </c>
    </row>
    <row r="40" spans="1:14" ht="12.75">
      <c r="A40" s="69" t="s">
        <v>83</v>
      </c>
      <c r="B40" s="66">
        <v>-6979.053908691406</v>
      </c>
      <c r="C40" s="64">
        <v>-6658.938548583985</v>
      </c>
      <c r="D40" s="64">
        <v>-9215.201733398437</v>
      </c>
      <c r="E40" s="64">
        <v>-7902.67900390625</v>
      </c>
      <c r="F40" s="70">
        <v>-6855.417907714844</v>
      </c>
      <c r="G40" s="70">
        <v>-9108.080684814453</v>
      </c>
      <c r="H40" s="70">
        <v>-13580.319375</v>
      </c>
      <c r="I40" s="70">
        <v>-5663.847080078125</v>
      </c>
      <c r="J40" s="70">
        <v>-5671.728251953125</v>
      </c>
      <c r="K40" s="70">
        <v>-5506.051494140625</v>
      </c>
      <c r="L40" s="70">
        <v>-8326.038603515624</v>
      </c>
      <c r="M40" s="70">
        <v>-7711.935942382813</v>
      </c>
      <c r="N40" s="71">
        <f>SUM(B40:M40)</f>
        <v>-93179.29253417971</v>
      </c>
    </row>
    <row r="41" ht="12.75">
      <c r="N41" s="72">
        <f>SUM(N39:N40)</f>
        <v>-72495.48210238162</v>
      </c>
    </row>
    <row r="43" spans="13:14" ht="12.75">
      <c r="M43" s="73" t="s">
        <v>102</v>
      </c>
      <c r="N43" s="72">
        <f>N33+N41</f>
        <v>30722.317535532144</v>
      </c>
    </row>
  </sheetData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Footer>&amp;L&amp;"Geneva,Bold Italic"&amp;9&amp;F &amp;A&amp;R&amp;"Geneva,Bold Italic"&amp;9&amp;D WGJ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Resources</dc:creator>
  <cp:keywords/>
  <dc:description/>
  <cp:lastModifiedBy>vz9tr1</cp:lastModifiedBy>
  <cp:lastPrinted>2009-01-17T15:31:39Z</cp:lastPrinted>
  <dcterms:created xsi:type="dcterms:W3CDTF">1998-10-07T00:01:47Z</dcterms:created>
  <dcterms:modified xsi:type="dcterms:W3CDTF">2009-01-20T23:03:39Z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090135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