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27" activeTab="29"/>
  </bookViews>
  <sheets>
    <sheet name="Summary Proforma Proposed" sheetId="1" r:id="rId1"/>
    <sheet name="Residential Sch 7" sheetId="2" r:id="rId2"/>
    <sheet name="Secondary Sch 24" sheetId="3" r:id="rId3"/>
    <sheet name="Secondary Sch 25" sheetId="4" r:id="rId4"/>
    <sheet name="Secondary Sch 26" sheetId="5" r:id="rId5"/>
    <sheet name="Secondary Sch 29" sheetId="6" r:id="rId6"/>
    <sheet name="Primary Sch 31" sheetId="7" r:id="rId7"/>
    <sheet name="Primary Sch 35" sheetId="8" r:id="rId8"/>
    <sheet name="Primary Sch 43" sheetId="9" r:id="rId9"/>
    <sheet name="HV Sch 46" sheetId="10" r:id="rId10"/>
    <sheet name="HV Sch 49" sheetId="11" r:id="rId11"/>
    <sheet name="Lighting" sheetId="12" r:id="rId12"/>
    <sheet name="Small Firm Resale" sheetId="13" r:id="rId13"/>
    <sheet name="Sch 449" sheetId="14" r:id="rId14"/>
    <sheet name="Sch 459" sheetId="15" r:id="rId15"/>
    <sheet name="Transportation Special Contract" sheetId="16" r:id="rId16"/>
    <sheet name="Residential Schedule 7" sheetId="17" r:id="rId17"/>
    <sheet name="Secondary Voltage Schedule 24" sheetId="18" r:id="rId18"/>
    <sheet name="Secondary Voltage Schedule 25" sheetId="19" r:id="rId19"/>
    <sheet name="Secondary Voltage Schedule 29" sheetId="20" r:id="rId20"/>
    <sheet name="Secondary Voltage Schedule 26" sheetId="21" r:id="rId21"/>
    <sheet name="Primary Voltage Schedule 31" sheetId="22" r:id="rId22"/>
    <sheet name="Primary Voltage Schedule 35" sheetId="23" r:id="rId23"/>
    <sheet name="Primary Voltage Schedule 43" sheetId="24" r:id="rId24"/>
    <sheet name="High Voltage Schedule 46" sheetId="25" r:id="rId25"/>
    <sheet name="High Voltage Schedule 49" sheetId="26" r:id="rId26"/>
    <sheet name="Transportation Sch 449 and 459" sheetId="27" r:id="rId27"/>
    <sheet name="Basic Charge Worksheet" sheetId="28" r:id="rId28"/>
    <sheet name="Proforma Demand Revenue" sheetId="29" r:id="rId29"/>
    <sheet name="Allocation of Demand Revenue" sheetId="30" r:id="rId30"/>
  </sheets>
  <definedNames>
    <definedName name="_xlnm.Print_Area" localSheetId="29">'Allocation of Demand Revenue'!$A$1:$H$26</definedName>
    <definedName name="_xlnm.Print_Area" localSheetId="27">'Basic Charge Worksheet'!$A$2:$T$11</definedName>
    <definedName name="_xlnm.Print_Area" localSheetId="24">'High Voltage Schedule 46'!$A$1:$E$44</definedName>
    <definedName name="_xlnm.Print_Area" localSheetId="25">'High Voltage Schedule 49'!$A$1:$E$49</definedName>
    <definedName name="_xlnm.Print_Area" localSheetId="9">'HV Sch 46'!$A$1:$H$23</definedName>
    <definedName name="_xlnm.Print_Area" localSheetId="10">'HV Sch 49'!$A$1:$H$16</definedName>
    <definedName name="_xlnm.Print_Area" localSheetId="11">'Lighting'!$A$1:$F$21</definedName>
    <definedName name="_xlnm.Print_Area" localSheetId="6">'Primary Sch 31'!$A$1:$J$22</definedName>
    <definedName name="_xlnm.Print_Area" localSheetId="7">'Primary Sch 35'!$A$1:$H$22</definedName>
    <definedName name="_xlnm.Print_Area" localSheetId="8">'Primary Sch 43'!$A$1:$J$20</definedName>
    <definedName name="_xlnm.Print_Area" localSheetId="21">'Primary Voltage Schedule 31'!$A$1:$G$70</definedName>
    <definedName name="_xlnm.Print_Area" localSheetId="22">'Primary Voltage Schedule 35'!$A$1:$F$67</definedName>
    <definedName name="_xlnm.Print_Area" localSheetId="23">'Primary Voltage Schedule 43'!$A$1:$F$66</definedName>
    <definedName name="_xlnm.Print_Area" localSheetId="28">'Proforma Demand Revenue'!$A$1:$M$30</definedName>
    <definedName name="_xlnm.Print_Area" localSheetId="1">'Residential Sch 7'!$A$1:$J$21</definedName>
    <definedName name="_xlnm.Print_Area" localSheetId="16">'Residential Schedule 7'!$A$1:$F$68</definedName>
    <definedName name="_xlnm.Print_Area" localSheetId="13">'Sch 449'!$A$1:$H$22</definedName>
    <definedName name="_xlnm.Print_Area" localSheetId="14">'Sch 459'!$A$1:$H$16</definedName>
    <definedName name="_xlnm.Print_Area" localSheetId="2">'Secondary Sch 24'!$A$1:$J$20</definedName>
    <definedName name="_xlnm.Print_Area" localSheetId="3">'Secondary Sch 25'!$A$1:$J$25</definedName>
    <definedName name="_xlnm.Print_Area" localSheetId="4">'Secondary Sch 26'!$A$1:$J$22</definedName>
    <definedName name="_xlnm.Print_Area" localSheetId="5">'Secondary Sch 29'!$A$1:$J$28</definedName>
    <definedName name="_xlnm.Print_Area" localSheetId="17">'Secondary Voltage Schedule 24'!$A$1:$G$61</definedName>
    <definedName name="_xlnm.Print_Area" localSheetId="18">'Secondary Voltage Schedule 25'!$A$1:$G$88</definedName>
    <definedName name="_xlnm.Print_Area" localSheetId="20">'Secondary Voltage Schedule 26'!$A$1:$G$66</definedName>
    <definedName name="_xlnm.Print_Area" localSheetId="19">'Secondary Voltage Schedule 29'!$A$1:$G$91</definedName>
    <definedName name="_xlnm.Print_Area" localSheetId="12">'Small Firm Resale'!$A$1:$J$19</definedName>
    <definedName name="_xlnm.Print_Area" localSheetId="0">'Summary Proforma Proposed'!$A$1:$I$43</definedName>
    <definedName name="_xlnm.Print_Area" localSheetId="26">'Transportation Sch 449 and 459'!$A$1:$G$41</definedName>
    <definedName name="_xlnm.Print_Area" localSheetId="15">'Transportation Special Contract'!$A$1:$H$15</definedName>
    <definedName name="_xlnm.Print_Titles" localSheetId="21">'Primary Voltage Schedule 31'!$1:$6</definedName>
    <definedName name="_xlnm.Print_Titles" localSheetId="16">'Residential Schedule 7'!$1:$5</definedName>
    <definedName name="_xlnm.Print_Titles" localSheetId="19">'Secondary Voltage Schedule 29'!$1:$6</definedName>
  </definedNames>
  <calcPr fullCalcOnLoad="1" iterate="1" iterateCount="100" iterateDelta="0.001"/>
</workbook>
</file>

<file path=xl/comments12.xml><?xml version="1.0" encoding="utf-8"?>
<comments xmlns="http://schemas.openxmlformats.org/spreadsheetml/2006/main">
  <authors>
    <author>pse</author>
  </authors>
  <commentList>
    <comment ref="C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Revenue includes Low Income rates effective 10-1-03</t>
        </r>
      </text>
    </comment>
  </commentList>
</comments>
</file>

<file path=xl/comments19.xml><?xml version="1.0" encoding="utf-8"?>
<comments xmlns="http://schemas.openxmlformats.org/spreadsheetml/2006/main">
  <authors>
    <author>Pam Rasanen</author>
  </authors>
  <commentList>
    <comment ref="C14" authorId="0">
      <text>
        <r>
          <rPr>
            <b/>
            <sz val="8"/>
            <rFont val="Tahoma"/>
            <family val="0"/>
          </rPr>
          <t>Pam Rasanen:</t>
        </r>
        <r>
          <rPr>
            <sz val="8"/>
            <rFont val="Tahoma"/>
            <family val="0"/>
          </rPr>
          <t xml:space="preserve">
This is an estimated qty based on Unit price demand and bill frequency</t>
        </r>
      </text>
    </comment>
  </commentList>
</comments>
</file>

<file path=xl/sharedStrings.xml><?xml version="1.0" encoding="utf-8"?>
<sst xmlns="http://schemas.openxmlformats.org/spreadsheetml/2006/main" count="969" uniqueCount="367">
  <si>
    <t>Puget Sound Energy</t>
  </si>
  <si>
    <t>Proforma and Proposed Revenue</t>
  </si>
  <si>
    <t>Twelve Months ended September 30, 2003</t>
  </si>
  <si>
    <t>Summary</t>
  </si>
  <si>
    <t>Voltage Level</t>
  </si>
  <si>
    <t>Schedule</t>
  </si>
  <si>
    <t>kWh</t>
  </si>
  <si>
    <t>Proforma
Revenue</t>
  </si>
  <si>
    <t>Proposed
Revenue</t>
  </si>
  <si>
    <t>$ Increase</t>
  </si>
  <si>
    <t>Increase as Allocated by Rate Spread</t>
  </si>
  <si>
    <t>Rounding Differences</t>
  </si>
  <si>
    <t>% Increase</t>
  </si>
  <si>
    <t>Residential</t>
  </si>
  <si>
    <t>Total Residential</t>
  </si>
  <si>
    <t>Secondary Voltage</t>
  </si>
  <si>
    <t>Demand &lt;= 50 kW</t>
  </si>
  <si>
    <t>Demand &gt; 50 kW but &lt;= 350 kW</t>
  </si>
  <si>
    <t>Demand &gt; 350 kW</t>
  </si>
  <si>
    <t>Seasonal Irrigation &amp; Drainage Pumping</t>
  </si>
  <si>
    <t>Total Secondary Voltage</t>
  </si>
  <si>
    <t>Primary Voltage</t>
  </si>
  <si>
    <t>General Service</t>
  </si>
  <si>
    <t>Interruptible Total Electric Schools</t>
  </si>
  <si>
    <t>Total Primary Voltage</t>
  </si>
  <si>
    <t>High Voltage</t>
  </si>
  <si>
    <t>Interruptible</t>
  </si>
  <si>
    <t>Total High Voltage</t>
  </si>
  <si>
    <t>Lighting</t>
  </si>
  <si>
    <t>50-59</t>
  </si>
  <si>
    <t>Total Retail Sales to Customers</t>
  </si>
  <si>
    <t>Small Firm Resale</t>
  </si>
  <si>
    <t>005</t>
  </si>
  <si>
    <t>Special Contract</t>
  </si>
  <si>
    <t>001</t>
  </si>
  <si>
    <t>Total Firm Resale</t>
  </si>
  <si>
    <t>Transportation Sales</t>
  </si>
  <si>
    <t>Total Transporation Sales</t>
  </si>
  <si>
    <t>Total Sales to Customers</t>
  </si>
  <si>
    <t>Schedule 7</t>
  </si>
  <si>
    <t>Bill Determinants</t>
  </si>
  <si>
    <t>Proforma</t>
  </si>
  <si>
    <t>Proposed</t>
  </si>
  <si>
    <t>Temperature</t>
  </si>
  <si>
    <t>Rates Effective 10-1-03</t>
  </si>
  <si>
    <t>Rates Effective 2005</t>
  </si>
  <si>
    <t>Differences</t>
  </si>
  <si>
    <t>Adjustment</t>
  </si>
  <si>
    <t>Total</t>
  </si>
  <si>
    <t>Charge</t>
  </si>
  <si>
    <t>Revenue</t>
  </si>
  <si>
    <t>$</t>
  </si>
  <si>
    <t>%</t>
  </si>
  <si>
    <t>Basic Charge - 1 Phase</t>
  </si>
  <si>
    <t>Basic Charge - 3 Phase</t>
  </si>
  <si>
    <t>Total Basic Charge</t>
  </si>
  <si>
    <t xml:space="preserve">First 600 kWh </t>
  </si>
  <si>
    <t>Next 200 kWh</t>
  </si>
  <si>
    <t>All Over 600 kWh</t>
  </si>
  <si>
    <t>Total kWh</t>
  </si>
  <si>
    <t>Schedule 95</t>
  </si>
  <si>
    <t>Total Revenue</t>
  </si>
  <si>
    <t>Secondary Voltage, Demand 50 kW or less</t>
  </si>
  <si>
    <t>Schedule 24</t>
  </si>
  <si>
    <t>Winter Energy</t>
  </si>
  <si>
    <t>Summer Energy</t>
  </si>
  <si>
    <t>Total Revenue Schedule 24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</si>
  <si>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</si>
  <si>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</si>
  <si>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</si>
  <si>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</si>
  <si>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</si>
  <si>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</si>
  <si>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</si>
  <si>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</si>
  <si>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</si>
  <si>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</si>
  <si>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</si>
  <si>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</si>
  <si>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</si>
  <si>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</si>
  <si>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</si>
  <si>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</si>
  <si>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</si>
  <si>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</si>
  <si>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</si>
  <si>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</si>
  <si>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</si>
  <si>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</si>
  <si>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Bill</t>
  </si>
  <si>
    <t>Determinants</t>
  </si>
  <si>
    <t>Primary Voltage Interruptible Total Electric School Service</t>
  </si>
  <si>
    <t>Schedule 43</t>
  </si>
  <si>
    <t>High Voltage, Interruptible Service</t>
  </si>
  <si>
    <t>Schedule 46</t>
  </si>
  <si>
    <t>Total kVa Demand</t>
  </si>
  <si>
    <t>Annual Energy Minimum Charge</t>
  </si>
  <si>
    <t>Annual Demand Charge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</si>
  <si>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</si>
  <si>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</si>
  <si>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</si>
  <si>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</si>
  <si>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</si>
  <si>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</si>
  <si>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</si>
  <si>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%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</si>
  <si>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</si>
  <si>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</si>
  <si>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</si>
  <si>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</si>
  <si>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</si>
  <si>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</si>
  <si>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</si>
  <si>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</si>
  <si>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</si>
  <si>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</si>
  <si>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</si>
  <si>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</si>
  <si>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Allocation of Docket No. UE-011570 Revenue Increase</t>
  </si>
  <si>
    <t>Allocation of Docket No. UE-04xxxx Revenue Increase</t>
  </si>
  <si>
    <t>Transportation</t>
  </si>
  <si>
    <t>Schedule 449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</si>
  <si>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</si>
  <si>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</si>
  <si>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</si>
  <si>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</si>
  <si>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</si>
  <si>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</si>
  <si>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Total Schedule 449</t>
  </si>
  <si>
    <t>Transportation with Back-up Distribution</t>
  </si>
  <si>
    <t>Schedule 459</t>
  </si>
  <si>
    <t>Back-up Distrbution Service</t>
  </si>
  <si>
    <t>Transportation Special Contract</t>
  </si>
  <si>
    <t>Add Small Firm Resale Proforma Revenue</t>
  </si>
  <si>
    <t>Total Firm Resale Proforma Revenue</t>
  </si>
  <si>
    <t>Allocation of Firm Resale Increase</t>
  </si>
  <si>
    <t xml:space="preserve"> </t>
  </si>
  <si>
    <t>Rate Design Workpapers</t>
  </si>
  <si>
    <t>Residential Schedule 7 Rate</t>
  </si>
  <si>
    <t>Line No.</t>
  </si>
  <si>
    <t>Temperature
Adjustment</t>
  </si>
  <si>
    <t>Basic Charges:</t>
  </si>
  <si>
    <t>1 Phase</t>
  </si>
  <si>
    <t>3 Phase</t>
  </si>
  <si>
    <t>kWh:</t>
  </si>
  <si>
    <t>First 600</t>
  </si>
  <si>
    <t>All Over 600</t>
  </si>
  <si>
    <t>Current Base Rates Effective 10-1-03</t>
  </si>
  <si>
    <t>Basic Charge:</t>
  </si>
  <si>
    <t>Energy Charge:</t>
  </si>
  <si>
    <t>&lt;= Differential</t>
  </si>
  <si>
    <t>Basic Charge Revenue:</t>
  </si>
  <si>
    <t>Subtotal Basic Charge $</t>
  </si>
  <si>
    <t>Energy Charge Revenue:</t>
  </si>
  <si>
    <t>Total Proforma Revenue</t>
  </si>
  <si>
    <t>Proposed Rates Effective 2005</t>
  </si>
  <si>
    <t>600 - 800</t>
  </si>
  <si>
    <t>All Over 800</t>
  </si>
  <si>
    <t>From COS Basic Charge Worksheet</t>
  </si>
  <si>
    <t>= ratio of $13.60 / $5.50 * $x.xx</t>
  </si>
  <si>
    <t>Target Proposed $ Increase</t>
  </si>
  <si>
    <t>= From COS Ratespread Document</t>
  </si>
  <si>
    <t>Target Proposed Revenue</t>
  </si>
  <si>
    <t>Target Proposed % Increase (Pre-Interim)</t>
  </si>
  <si>
    <t>Remaining Revenue Requirement To Spread</t>
  </si>
  <si>
    <t>First 800  (Flat)</t>
  </si>
  <si>
    <t>Spread remaing revenue to first block</t>
  </si>
  <si>
    <t>All Over 800 (Flat)</t>
  </si>
  <si>
    <t>&lt;= Resulting Differential</t>
  </si>
  <si>
    <t>First 800</t>
  </si>
  <si>
    <t>Total Proposed Revenue</t>
  </si>
  <si>
    <t>Difference due to rounding</t>
  </si>
  <si>
    <t>Total Winter</t>
  </si>
  <si>
    <t>Total Summer</t>
  </si>
  <si>
    <t xml:space="preserve">All </t>
  </si>
  <si>
    <t>Temperature Adjustment</t>
  </si>
  <si>
    <t>All kWh</t>
  </si>
  <si>
    <t>Same as Residential Basic Charge</t>
  </si>
  <si>
    <t>Target Proposed % Increase</t>
  </si>
  <si>
    <t>Retain Current Seasonal Percentage Differential</t>
  </si>
  <si>
    <t>All kWh - October to March</t>
  </si>
  <si>
    <t>All kWh - April to September</t>
  </si>
  <si>
    <t>Winter</t>
  </si>
  <si>
    <t>Summer</t>
  </si>
  <si>
    <t>First 20,000 kWh</t>
  </si>
  <si>
    <t>All over 20,000 kWh</t>
  </si>
  <si>
    <t>All over 20,000 kWh - Temperature Adjustment</t>
  </si>
  <si>
    <t>kW:</t>
  </si>
  <si>
    <t>First 50 kW</t>
  </si>
  <si>
    <t>All over 50 kW</t>
  </si>
  <si>
    <t>kVarh</t>
  </si>
  <si>
    <t>All kVarh</t>
  </si>
  <si>
    <t>Rates:</t>
  </si>
  <si>
    <t>All Phases</t>
  </si>
  <si>
    <t>Demand Charge:</t>
  </si>
  <si>
    <t>Reactive Power Charge:</t>
  </si>
  <si>
    <t>Revenue:</t>
  </si>
  <si>
    <t>Energy Revenue</t>
  </si>
  <si>
    <t>Demand Charge Revenue - Over 50 kW</t>
  </si>
  <si>
    <t>Reactive Power Revenue</t>
  </si>
  <si>
    <t>Total Proposed Increase Sch 25 &amp; Sch 29</t>
  </si>
  <si>
    <t>Total Proforma Revenue Sch 25 &amp; 29</t>
  </si>
  <si>
    <t>Target Proposed Revenue 25</t>
  </si>
  <si>
    <t>Twice Average Increase</t>
  </si>
  <si>
    <t>All Basic Charges</t>
  </si>
  <si>
    <t>Target Demand Revenue to Spread</t>
  </si>
  <si>
    <t>Apply Twice average increase</t>
  </si>
  <si>
    <t>Up to 50 kW</t>
  </si>
  <si>
    <t>Demand Revenue:</t>
  </si>
  <si>
    <t>Target Reactive Power Revenue to Spread</t>
  </si>
  <si>
    <t>Reactive Power Revenue:</t>
  </si>
  <si>
    <t>Remaining Energy Revenue to Spread</t>
  </si>
  <si>
    <t>Increase to Other Blocks</t>
  </si>
  <si>
    <t>Increase First Block by Average Increase</t>
  </si>
  <si>
    <t>Over 20,000 kWh</t>
  </si>
  <si>
    <t>Proforma Revenue:</t>
  </si>
  <si>
    <t>Subtotal Energy $</t>
  </si>
  <si>
    <t>Demand Charge Over 50 kW</t>
  </si>
  <si>
    <t>Single Phase set = Sched 24</t>
  </si>
  <si>
    <t xml:space="preserve"> = $18.10 / $5.50 * $x.xx</t>
  </si>
  <si>
    <t>Target Proposed Revenue 29</t>
  </si>
  <si>
    <t>From Demand Revenue Allocation Spreadsheet</t>
  </si>
  <si>
    <t>Winter Demand = Schedule 25</t>
  </si>
  <si>
    <t>Assumed Load Factor (Current Rates)</t>
  </si>
  <si>
    <t>Add demand to summer first block as Energy Charge</t>
  </si>
  <si>
    <t>Winter Blocks same as Sch 25</t>
  </si>
  <si>
    <t>Summer 2nd Block equal average percentage increase</t>
  </si>
  <si>
    <t>Spread remainder to summer last block</t>
  </si>
  <si>
    <t>Basic Charges</t>
  </si>
  <si>
    <t>Current Base Rates Effective 7-1-05</t>
  </si>
  <si>
    <t>Differential Difference</t>
  </si>
  <si>
    <t>Differential %</t>
  </si>
  <si>
    <t>Basic Charge</t>
  </si>
  <si>
    <t>Energy Charge</t>
  </si>
  <si>
    <t xml:space="preserve">Demand Charge </t>
  </si>
  <si>
    <t xml:space="preserve">Reactive Power </t>
  </si>
  <si>
    <t>Target Proposed Revenue 26</t>
  </si>
  <si>
    <t>Twice the average increase</t>
  </si>
  <si>
    <t>Increase Demand by Twice average Increase</t>
  </si>
  <si>
    <t>All Demand</t>
  </si>
  <si>
    <t>All kW</t>
  </si>
  <si>
    <t>Average Cents</t>
  </si>
  <si>
    <t>Demand Charge</t>
  </si>
  <si>
    <t>Reactive Power Charge</t>
  </si>
  <si>
    <t xml:space="preserve">Basic Charge </t>
  </si>
  <si>
    <t xml:space="preserve">Energy Charge </t>
  </si>
  <si>
    <t xml:space="preserve">Total Proforma </t>
  </si>
  <si>
    <t>Proposed Revenue Increase 31, 35</t>
  </si>
  <si>
    <t>Proforma Revenue 31, 35</t>
  </si>
  <si>
    <t>Target Proposed Revenue 31</t>
  </si>
  <si>
    <t>Leave unchanged (transformers already included in rentals)</t>
  </si>
  <si>
    <t xml:space="preserve">kW </t>
  </si>
  <si>
    <t>Total Winter 35</t>
  </si>
  <si>
    <t>Total Summer 35</t>
  </si>
  <si>
    <t>Target Proposed Revenue 35</t>
  </si>
  <si>
    <t>Same as Sch 31</t>
  </si>
  <si>
    <t>All kW - Average Annual</t>
  </si>
  <si>
    <t>Winter Demand Charge</t>
  </si>
  <si>
    <t>150% of Average Demand</t>
  </si>
  <si>
    <t>Summer Demand  Charge</t>
  </si>
  <si>
    <t>Target Proposed Revenue 43</t>
  </si>
  <si>
    <t>kVa:</t>
  </si>
  <si>
    <t>Target Proposed $ Increase Sch 46 &amp; 49</t>
  </si>
  <si>
    <t>Target Proposed Revenue 46 &amp; 49</t>
  </si>
  <si>
    <t>Target Proposed % Increase Sch 46 &amp; 49</t>
  </si>
  <si>
    <t>Average Increase</t>
  </si>
  <si>
    <t xml:space="preserve"> kVa </t>
  </si>
  <si>
    <t>All kVa</t>
  </si>
  <si>
    <t>Energy Charge Schedules 46 &amp; 49:</t>
  </si>
  <si>
    <t>From Schedule 49</t>
  </si>
  <si>
    <t>Total Proposed Revenue Schedule 46</t>
  </si>
  <si>
    <t xml:space="preserve"> kVa</t>
  </si>
  <si>
    <t>Schedule 46 Demand Revenue</t>
  </si>
  <si>
    <t>Total Sch 46 &amp; 49 kWh</t>
  </si>
  <si>
    <t>Total Proposed Revenue Sch 49</t>
  </si>
  <si>
    <t>Total Proposed Revenue Sch 46</t>
  </si>
  <si>
    <t>Schedule 449 &amp; 459- Primary &amp; High Voltage</t>
  </si>
  <si>
    <t>all Voltage</t>
  </si>
  <si>
    <t>Primary Voltage
Sch 449</t>
  </si>
  <si>
    <t>High Voltage
Sch 449</t>
  </si>
  <si>
    <t>High Voltage
Sch 459</t>
  </si>
  <si>
    <t>Registered kVa</t>
  </si>
  <si>
    <t>Customer Revenue</t>
  </si>
  <si>
    <t>Demand (Distribution) Revenue</t>
  </si>
  <si>
    <t>Target Proposed Revenue 449 (PV &amp; HV)</t>
  </si>
  <si>
    <t>From COS Basic Charge Template</t>
  </si>
  <si>
    <t>Subtotal Charges Before Demand</t>
  </si>
  <si>
    <t>Remaining Revenue to Spread</t>
  </si>
  <si>
    <t>Adjust Primary Voltage Rate to reduce rounding residual</t>
  </si>
  <si>
    <t>Equal Percentage Increase</t>
  </si>
  <si>
    <t>Total Proposed Revenue Sch 449</t>
  </si>
  <si>
    <t>Summary Class</t>
  </si>
  <si>
    <t>Secondary Svc</t>
  </si>
  <si>
    <t>Primary Svc</t>
  </si>
  <si>
    <t>Retail Wheeling</t>
  </si>
  <si>
    <t>High Volt Svc</t>
  </si>
  <si>
    <t>Firm Resale</t>
  </si>
  <si>
    <t>Res Svc</t>
  </si>
  <si>
    <t>Sec Svc 24</t>
  </si>
  <si>
    <t>Sec Svc 25</t>
  </si>
  <si>
    <t>Sec Svc 26</t>
  </si>
  <si>
    <t>Pri Svc</t>
  </si>
  <si>
    <t>Lighting Svc</t>
  </si>
  <si>
    <t>All</t>
  </si>
  <si>
    <t xml:space="preserve">less than 50 kW </t>
  </si>
  <si>
    <t>51 kW to 350 kW</t>
  </si>
  <si>
    <t>over 350 kW</t>
  </si>
  <si>
    <t>Irrigation Service</t>
  </si>
  <si>
    <t>Interruptible Service</t>
  </si>
  <si>
    <t>GS &amp; Int (46/49)</t>
  </si>
  <si>
    <t>Street &amp; Area</t>
  </si>
  <si>
    <t>Large</t>
  </si>
  <si>
    <t>Small</t>
  </si>
  <si>
    <t>Description</t>
  </si>
  <si>
    <t>25 / 29</t>
  </si>
  <si>
    <t>50-59, &amp; 003</t>
  </si>
  <si>
    <t>Include 100% of Transformer</t>
  </si>
  <si>
    <t>Exclude Transformer</t>
  </si>
  <si>
    <t>Meter, Service, 35% Transformer &amp; Bill</t>
  </si>
  <si>
    <t>Current Single Phase</t>
  </si>
  <si>
    <t>Current Three Phase</t>
  </si>
  <si>
    <t>Proforma Demand Revenue</t>
  </si>
  <si>
    <t>Demand
First 50 kW</t>
  </si>
  <si>
    <t>Demand
Over 50 kW</t>
  </si>
  <si>
    <t>All
Demand</t>
  </si>
  <si>
    <t>Proforma Reactive Power Revenue</t>
  </si>
  <si>
    <t>Total Proforma Demand Revenue</t>
  </si>
  <si>
    <t>Revenue % to Schedule</t>
  </si>
  <si>
    <t>Target Revenue</t>
  </si>
  <si>
    <t>Target Revenue by Schedule</t>
  </si>
  <si>
    <t>Proposed kVarh Revenue</t>
  </si>
  <si>
    <t>Target Demand Revenue by Schedule</t>
  </si>
  <si>
    <t>Subtotal Schedules 11, 25 &amp; 29</t>
  </si>
  <si>
    <t>Subtotal Schedules 31, 35, &amp; 43</t>
  </si>
  <si>
    <t>Subtotal Schedules 46 &amp; 49</t>
  </si>
  <si>
    <t>Schedule 449 Primary Voltage</t>
  </si>
  <si>
    <t>Schedule 449 High Voltage Voltage</t>
  </si>
  <si>
    <t>Schedule 459 High Voltage Voltage</t>
  </si>
  <si>
    <t>Subtotal Schedule 449</t>
  </si>
  <si>
    <t>Total Related Demand</t>
  </si>
  <si>
    <t>(2) Give demand twice average increase since below target and trying to line up with Sch 26 Demand</t>
  </si>
  <si>
    <t>Allocation of Demand Revenue to Class</t>
  </si>
  <si>
    <t>Based on Ratios From Electric Cost of Service</t>
  </si>
  <si>
    <t>Source</t>
  </si>
  <si>
    <t>Secondary
Voltage
Schedules
25 &amp; 29</t>
  </si>
  <si>
    <t>Secondary
Voltage
Schedule
26</t>
  </si>
  <si>
    <t>Primary
Voltage
Schedules
31, 35 &amp; 43</t>
  </si>
  <si>
    <t>High
Voltage
Schedules
46 &amp; 49</t>
  </si>
  <si>
    <t>Transportation Schedules
449 &amp; 459</t>
  </si>
  <si>
    <t>Total Cost of Service Demand</t>
  </si>
  <si>
    <t>COS DEM, Line 7</t>
  </si>
  <si>
    <t>Total Cost of Service Revenue</t>
  </si>
  <si>
    <t>COS TMP2, Line 6</t>
  </si>
  <si>
    <t>Ratio Cost of Service Demand to Total Revenue</t>
  </si>
  <si>
    <t>Line 1 / Line 2</t>
  </si>
  <si>
    <t>Demand Revenue Table</t>
  </si>
  <si>
    <t>Target Proposed Revenue, Column 1</t>
  </si>
  <si>
    <t>Ratio Proforma Demand Revenue to Total Revenue</t>
  </si>
  <si>
    <t>Line 4 / Line 5</t>
  </si>
  <si>
    <t>Move 1/2 Distance toward Parity</t>
  </si>
  <si>
    <t>Line 6 + 1/2 * (Line 3 - Line 6)</t>
  </si>
  <si>
    <t>Target Proposed Revenue, Column (Last - 3)</t>
  </si>
  <si>
    <t>Proposed Demand Revenue</t>
  </si>
  <si>
    <t>Line 7 * Line 8</t>
  </si>
  <si>
    <r>
      <t>Schedule 31</t>
    </r>
    <r>
      <rPr>
        <vertAlign val="superscript"/>
        <sz val="10"/>
        <rFont val="Arial"/>
        <family val="2"/>
      </rPr>
      <t>2</t>
    </r>
  </si>
  <si>
    <t>Solve for Demand Charge</t>
  </si>
  <si>
    <t>No Increase except minor adjustment to hit revenue target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</si>
</sst>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0.0%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  <numFmt numFmtId="185" formatCode="_(* #,##0.0000000_);_(* \(#,##0.0000000\);_(* &quot;-&quot;??_);_(@_)"/>
    <numFmt numFmtId="186" formatCode="_(* #,##0.00000000_);_(* \(#,##0.00000000\);_(* &quot;-&quot;??_);_(@_)"/>
    <numFmt numFmtId="187" formatCode="mmmm\-yy"/>
    <numFmt numFmtId="188" formatCode="_(&quot;$&quot;* #,##0.0000000_);_(&quot;$&quot;* \(#,##0.0000000\);_(&quot;$&quot;* &quot;-&quot;??_);_(@_)"/>
    <numFmt numFmtId="189" formatCode="_(&quot;$&quot;* #,##0.00000000_);_(&quot;$&quot;* \(#,##0.00000000\);_(&quot;$&quot;* &quot;-&quot;??_);_(@_)"/>
    <numFmt numFmtId="190" formatCode="0.0000%"/>
    <numFmt numFmtId="191" formatCode="&quot;$&quot;#,##0.000_);\(&quot;$&quot;#,##0.000\)"/>
    <numFmt numFmtId="192" formatCode="&quot;$&quot;#,##0.0000_);\(&quot;$&quot;#,##0.0000\)"/>
    <numFmt numFmtId="193" formatCode="&quot;$&quot;#,##0.00000_);\(&quot;$&quot;#,##0.00000\)"/>
    <numFmt numFmtId="194" formatCode="_(&quot;$&quot;* #,##0.00000_);_(&quot;$&quot;* \(#,##0.00000\);_(&quot;$&quot;* &quot;-&quot;?????_);_(@_)"/>
    <numFmt numFmtId="195" formatCode="m/d/yy\ h:m\i\n"/>
    <numFmt numFmtId="196" formatCode="[$-F800]dddd\,\ mmmm\ dd\,\ yyyy"/>
    <numFmt numFmtId="197" formatCode="#,###"/>
    <numFmt numFmtId="198" formatCode="0.0000"/>
    <numFmt numFmtId="199" formatCode="_(* #,##0.0000000_);_(* \(#,##0.0000000\);_(* &quot;-&quot;???????_);_(@_)"/>
    <numFmt numFmtId="200" formatCode="[$-409]dddd\,\ mmmm\ dd\,\ yyyy"/>
    <numFmt numFmtId="201" formatCode="&quot;$&quot;#,##0.0_);[Red]\(&quot;$&quot;#,##0.0\)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00000"/>
    <numFmt numFmtId="210" formatCode="0.0000\ "/>
    <numFmt numFmtId="211" formatCode="&quot;$&quot;#,##0.0000_);[Red]\(&quot;$&quot;#,##0.0000\)"/>
    <numFmt numFmtId="212" formatCode="mm/dd/yy"/>
    <numFmt numFmtId="213" formatCode="#,###.0"/>
    <numFmt numFmtId="214" formatCode="#,###.00"/>
    <numFmt numFmtId="215" formatCode="0.00000%"/>
    <numFmt numFmtId="216" formatCode="0.000000%"/>
    <numFmt numFmtId="217" formatCode="0.000000"/>
    <numFmt numFmtId="218" formatCode="[$-409]mmmm\ d\,\ yyyy;@"/>
    <numFmt numFmtId="219" formatCode="&quot;$&quot;#,##0.000_);[Red]\(&quot;$&quot;#,##0.000\)"/>
    <numFmt numFmtId="220" formatCode="&quot;$&quot;#,##0.00000_);[Red]\(&quot;$&quot;#,##0.00000\)"/>
    <numFmt numFmtId="221" formatCode="&quot;$&quot;#,##0.000000_);[Red]\(&quot;$&quot;#,##0.0000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  <font>
      <sz val="8"/>
      <name val="Helv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 quotePrefix="1">
      <alignment horizontal="center" wrapText="1"/>
    </xf>
    <xf numFmtId="167" fontId="0" fillId="0" borderId="0" xfId="0" applyNumberFormat="1" applyBorder="1" applyAlignment="1" quotePrefix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5" fontId="0" fillId="0" borderId="0" xfId="15" applyNumberFormat="1" applyAlignment="1" quotePrefix="1">
      <alignment horizontal="left"/>
    </xf>
    <xf numFmtId="167" fontId="0" fillId="0" borderId="0" xfId="17" applyNumberFormat="1" applyAlignment="1" quotePrefix="1">
      <alignment horizontal="left"/>
    </xf>
    <xf numFmtId="172" fontId="0" fillId="0" borderId="0" xfId="21" applyNumberFormat="1" applyAlignment="1" quotePrefix="1">
      <alignment horizontal="center"/>
    </xf>
    <xf numFmtId="0" fontId="0" fillId="0" borderId="0" xfId="0" applyAlignment="1">
      <alignment horizontal="left"/>
    </xf>
    <xf numFmtId="165" fontId="0" fillId="0" borderId="2" xfId="15" applyNumberFormat="1" applyBorder="1" applyAlignment="1">
      <alignment/>
    </xf>
    <xf numFmtId="167" fontId="0" fillId="0" borderId="2" xfId="17" applyNumberFormat="1" applyBorder="1" applyAlignment="1">
      <alignment/>
    </xf>
    <xf numFmtId="172" fontId="0" fillId="0" borderId="2" xfId="21" applyNumberFormat="1" applyBorder="1" applyAlignment="1" quotePrefix="1">
      <alignment horizontal="center"/>
    </xf>
    <xf numFmtId="165" fontId="0" fillId="0" borderId="0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/>
    </xf>
    <xf numFmtId="167" fontId="0" fillId="0" borderId="2" xfId="17" applyNumberFormat="1" applyBorder="1" applyAlignment="1" quotePrefix="1">
      <alignment horizontal="left"/>
    </xf>
    <xf numFmtId="165" fontId="0" fillId="0" borderId="3" xfId="0" applyNumberFormat="1" applyBorder="1" applyAlignment="1">
      <alignment/>
    </xf>
    <xf numFmtId="167" fontId="0" fillId="0" borderId="3" xfId="17" applyNumberFormat="1" applyBorder="1" applyAlignment="1">
      <alignment/>
    </xf>
    <xf numFmtId="172" fontId="0" fillId="0" borderId="3" xfId="21" applyNumberFormat="1" applyBorder="1" applyAlignment="1" quotePrefix="1">
      <alignment horizontal="center"/>
    </xf>
    <xf numFmtId="165" fontId="0" fillId="0" borderId="4" xfId="0" applyNumberFormat="1" applyBorder="1" applyAlignment="1">
      <alignment/>
    </xf>
    <xf numFmtId="167" fontId="0" fillId="0" borderId="4" xfId="17" applyNumberFormat="1" applyBorder="1" applyAlignment="1">
      <alignment/>
    </xf>
    <xf numFmtId="172" fontId="0" fillId="0" borderId="4" xfId="21" applyNumberFormat="1" applyBorder="1" applyAlignment="1" quotePrefix="1">
      <alignment horizontal="center"/>
    </xf>
    <xf numFmtId="172" fontId="0" fillId="0" borderId="0" xfId="21" applyNumberFormat="1" applyAlignment="1" quotePrefix="1">
      <alignment horizontal="left"/>
    </xf>
    <xf numFmtId="0" fontId="0" fillId="0" borderId="0" xfId="0" applyAlignment="1" quotePrefix="1">
      <alignment horizontal="center"/>
    </xf>
    <xf numFmtId="167" fontId="0" fillId="0" borderId="0" xfId="17" applyNumberFormat="1" applyBorder="1" applyAlignment="1" quotePrefix="1">
      <alignment horizontal="left"/>
    </xf>
    <xf numFmtId="172" fontId="0" fillId="0" borderId="0" xfId="21" applyNumberFormat="1" applyBorder="1" applyAlignment="1" quotePrefix="1">
      <alignment horizontal="center"/>
    </xf>
    <xf numFmtId="167" fontId="0" fillId="0" borderId="0" xfId="0" applyNumberFormat="1" applyAlignment="1">
      <alignment/>
    </xf>
    <xf numFmtId="165" fontId="0" fillId="0" borderId="3" xfId="15" applyNumberFormat="1" applyBorder="1" applyAlignment="1">
      <alignment/>
    </xf>
    <xf numFmtId="167" fontId="0" fillId="0" borderId="0" xfId="17" applyNumberFormat="1" applyAlignment="1">
      <alignment/>
    </xf>
    <xf numFmtId="168" fontId="0" fillId="0" borderId="0" xfId="17" applyNumberFormat="1" applyAlignment="1">
      <alignment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 quotePrefix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172" fontId="0" fillId="0" borderId="0" xfId="21" applyNumberFormat="1" applyAlignment="1">
      <alignment/>
    </xf>
    <xf numFmtId="172" fontId="0" fillId="0" borderId="2" xfId="21" applyNumberFormat="1" applyBorder="1" applyAlignment="1">
      <alignment/>
    </xf>
    <xf numFmtId="165" fontId="0" fillId="0" borderId="0" xfId="15" applyNumberFormat="1" applyAlignment="1">
      <alignment/>
    </xf>
    <xf numFmtId="171" fontId="0" fillId="0" borderId="0" xfId="17" applyNumberFormat="1" applyAlignment="1">
      <alignment/>
    </xf>
    <xf numFmtId="172" fontId="0" fillId="0" borderId="0" xfId="21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3" xfId="0" applyNumberFormat="1" applyBorder="1" applyAlignment="1">
      <alignment/>
    </xf>
    <xf numFmtId="172" fontId="0" fillId="0" borderId="3" xfId="21" applyNumberFormat="1" applyBorder="1" applyAlignment="1">
      <alignment/>
    </xf>
    <xf numFmtId="0" fontId="0" fillId="0" borderId="8" xfId="0" applyBorder="1" applyAlignment="1" quotePrefix="1">
      <alignment horizontal="centerContinuous"/>
    </xf>
    <xf numFmtId="0" fontId="0" fillId="0" borderId="4" xfId="0" applyBorder="1" applyAlignment="1" quotePrefix="1">
      <alignment horizontal="centerContinuous"/>
    </xf>
    <xf numFmtId="0" fontId="0" fillId="0" borderId="0" xfId="0" applyBorder="1" applyAlignment="1">
      <alignment/>
    </xf>
    <xf numFmtId="0" fontId="0" fillId="0" borderId="9" xfId="0" applyBorder="1" applyAlignment="1" quotePrefix="1">
      <alignment horizontal="centerContinuous"/>
    </xf>
    <xf numFmtId="0" fontId="0" fillId="0" borderId="10" xfId="0" applyBorder="1" applyAlignment="1" quotePrefix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11" xfId="0" applyBorder="1" applyAlignment="1" quotePrefix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6" xfId="0" applyBorder="1" applyAlignment="1" quotePrefix="1">
      <alignment horizontal="centerContinuous"/>
    </xf>
    <xf numFmtId="0" fontId="0" fillId="0" borderId="2" xfId="0" applyBorder="1" applyAlignment="1" quotePrefix="1">
      <alignment horizontal="centerContinuous"/>
    </xf>
    <xf numFmtId="7" fontId="0" fillId="0" borderId="0" xfId="17" applyNumberFormat="1" applyAlignment="1">
      <alignment/>
    </xf>
    <xf numFmtId="167" fontId="0" fillId="0" borderId="2" xfId="0" applyNumberFormat="1" applyBorder="1" applyAlignment="1">
      <alignment/>
    </xf>
    <xf numFmtId="0" fontId="0" fillId="0" borderId="12" xfId="0" applyBorder="1" applyAlignment="1" quotePrefix="1">
      <alignment horizontal="centerContinuous"/>
    </xf>
    <xf numFmtId="165" fontId="0" fillId="0" borderId="2" xfId="15" applyNumberFormat="1" applyBorder="1" applyAlignment="1" quotePrefix="1">
      <alignment horizontal="left"/>
    </xf>
    <xf numFmtId="170" fontId="0" fillId="0" borderId="0" xfId="17" applyNumberFormat="1" applyAlignment="1">
      <alignment/>
    </xf>
    <xf numFmtId="165" fontId="0" fillId="0" borderId="0" xfId="15" applyNumberFormat="1" applyBorder="1" applyAlignment="1" quotePrefix="1">
      <alignment horizontal="left"/>
    </xf>
    <xf numFmtId="167" fontId="0" fillId="0" borderId="0" xfId="0" applyNumberFormat="1" applyBorder="1" applyAlignment="1">
      <alignment/>
    </xf>
    <xf numFmtId="167" fontId="0" fillId="0" borderId="0" xfId="17" applyNumberFormat="1" applyFill="1" applyBorder="1" applyAlignment="1">
      <alignment/>
    </xf>
    <xf numFmtId="171" fontId="0" fillId="0" borderId="0" xfId="17" applyNumberFormat="1" applyFont="1" applyAlignment="1">
      <alignment/>
    </xf>
    <xf numFmtId="175" fontId="0" fillId="0" borderId="0" xfId="15" applyNumberFormat="1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 quotePrefix="1">
      <alignment horizontal="left" wrapText="1"/>
    </xf>
    <xf numFmtId="165" fontId="0" fillId="0" borderId="0" xfId="15" applyNumberFormat="1" applyBorder="1" applyAlignment="1">
      <alignment wrapText="1"/>
    </xf>
    <xf numFmtId="42" fontId="0" fillId="0" borderId="0" xfId="17" applyNumberFormat="1" applyAlignment="1">
      <alignment/>
    </xf>
    <xf numFmtId="172" fontId="0" fillId="0" borderId="0" xfId="21" applyNumberFormat="1" applyAlignment="1">
      <alignment horizontal="right"/>
    </xf>
    <xf numFmtId="165" fontId="0" fillId="0" borderId="2" xfId="15" applyNumberFormat="1" applyBorder="1" applyAlignment="1">
      <alignment/>
    </xf>
    <xf numFmtId="42" fontId="0" fillId="0" borderId="2" xfId="17" applyNumberFormat="1" applyBorder="1" applyAlignment="1">
      <alignment/>
    </xf>
    <xf numFmtId="172" fontId="0" fillId="0" borderId="2" xfId="21" applyNumberFormat="1" applyBorder="1" applyAlignment="1">
      <alignment horizontal="right"/>
    </xf>
    <xf numFmtId="165" fontId="0" fillId="0" borderId="0" xfId="15" applyNumberFormat="1" applyAlignment="1">
      <alignment horizontal="right"/>
    </xf>
    <xf numFmtId="42" fontId="0" fillId="0" borderId="0" xfId="0" applyNumberFormat="1" applyAlignment="1">
      <alignment horizontal="right"/>
    </xf>
    <xf numFmtId="165" fontId="0" fillId="0" borderId="3" xfId="15" applyNumberForma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 indent="2"/>
    </xf>
    <xf numFmtId="167" fontId="0" fillId="0" borderId="0" xfId="17" applyNumberFormat="1" applyFill="1" applyAlignment="1">
      <alignment/>
    </xf>
    <xf numFmtId="167" fontId="0" fillId="0" borderId="0" xfId="17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7" fontId="5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 indent="1"/>
    </xf>
    <xf numFmtId="0" fontId="0" fillId="0" borderId="0" xfId="0" applyFill="1" applyBorder="1" applyAlignment="1">
      <alignment horizontal="left" indent="1"/>
    </xf>
    <xf numFmtId="44" fontId="0" fillId="0" borderId="0" xfId="17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left" indent="1"/>
    </xf>
    <xf numFmtId="0" fontId="0" fillId="0" borderId="13" xfId="0" applyFill="1" applyBorder="1" applyAlignment="1">
      <alignment horizontal="right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14" fontId="0" fillId="0" borderId="17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165" fontId="0" fillId="0" borderId="3" xfId="15" applyNumberFormat="1" applyBorder="1" applyAlignment="1">
      <alignment/>
    </xf>
    <xf numFmtId="167" fontId="0" fillId="0" borderId="3" xfId="17" applyNumberFormat="1" applyBorder="1" applyAlignment="1">
      <alignment/>
    </xf>
    <xf numFmtId="167" fontId="0" fillId="0" borderId="0" xfId="17" applyNumberFormat="1" applyAlignment="1">
      <alignment/>
    </xf>
    <xf numFmtId="165" fontId="0" fillId="0" borderId="0" xfId="15" applyNumberFormat="1" applyAlignment="1" quotePrefix="1">
      <alignment horizontal="left"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172" fontId="0" fillId="0" borderId="0" xfId="21" applyNumberFormat="1" applyAlignment="1">
      <alignment/>
    </xf>
    <xf numFmtId="165" fontId="0" fillId="0" borderId="2" xfId="15" applyNumberFormat="1" applyBorder="1" applyAlignment="1">
      <alignment/>
    </xf>
    <xf numFmtId="167" fontId="0" fillId="0" borderId="2" xfId="17" applyNumberFormat="1" applyBorder="1" applyAlignment="1">
      <alignment/>
    </xf>
    <xf numFmtId="172" fontId="0" fillId="0" borderId="2" xfId="21" applyNumberFormat="1" applyBorder="1" applyAlignment="1">
      <alignment/>
    </xf>
    <xf numFmtId="165" fontId="0" fillId="0" borderId="0" xfId="15" applyNumberFormat="1" applyAlignment="1">
      <alignment/>
    </xf>
    <xf numFmtId="171" fontId="0" fillId="0" borderId="0" xfId="17" applyNumberFormat="1" applyAlignment="1">
      <alignment/>
    </xf>
    <xf numFmtId="165" fontId="0" fillId="0" borderId="0" xfId="15" applyNumberFormat="1" applyBorder="1" applyAlignment="1">
      <alignment/>
    </xf>
    <xf numFmtId="167" fontId="0" fillId="0" borderId="0" xfId="17" applyNumberFormat="1" applyBorder="1" applyAlignment="1">
      <alignment/>
    </xf>
    <xf numFmtId="172" fontId="0" fillId="0" borderId="0" xfId="21" applyNumberFormat="1" applyBorder="1" applyAlignment="1">
      <alignment/>
    </xf>
    <xf numFmtId="172" fontId="0" fillId="0" borderId="3" xfId="21" applyNumberFormat="1" applyBorder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 quotePrefix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 indent="1"/>
    </xf>
    <xf numFmtId="165" fontId="0" fillId="0" borderId="0" xfId="15" applyNumberFormat="1" applyFill="1" applyAlignment="1">
      <alignment/>
    </xf>
    <xf numFmtId="165" fontId="0" fillId="0" borderId="3" xfId="15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5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44" fontId="0" fillId="0" borderId="0" xfId="0" applyNumberFormat="1" applyFill="1" applyAlignment="1">
      <alignment/>
    </xf>
    <xf numFmtId="171" fontId="0" fillId="0" borderId="0" xfId="17" applyNumberFormat="1" applyFill="1" applyAlignment="1">
      <alignment/>
    </xf>
    <xf numFmtId="171" fontId="0" fillId="0" borderId="0" xfId="17" applyNumberFormat="1" applyFont="1" applyFill="1" applyAlignment="1">
      <alignment/>
    </xf>
    <xf numFmtId="9" fontId="0" fillId="0" borderId="0" xfId="2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 indent="1"/>
    </xf>
    <xf numFmtId="167" fontId="0" fillId="0" borderId="2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Continuous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44" fontId="5" fillId="0" borderId="11" xfId="17" applyNumberFormat="1" applyFont="1" applyFill="1" applyBorder="1" applyAlignment="1">
      <alignment/>
    </xf>
    <xf numFmtId="44" fontId="0" fillId="0" borderId="0" xfId="17" applyFill="1" applyAlignment="1">
      <alignment/>
    </xf>
    <xf numFmtId="0" fontId="5" fillId="0" borderId="9" xfId="0" applyFont="1" applyFill="1" applyBorder="1" applyAlignment="1">
      <alignment horizontal="left" indent="1"/>
    </xf>
    <xf numFmtId="44" fontId="5" fillId="0" borderId="10" xfId="17" applyFont="1" applyFill="1" applyBorder="1" applyAlignment="1">
      <alignment/>
    </xf>
    <xf numFmtId="10" fontId="0" fillId="0" borderId="0" xfId="21" applyNumberFormat="1" applyFill="1" applyAlignment="1">
      <alignment/>
    </xf>
    <xf numFmtId="0" fontId="5" fillId="0" borderId="12" xfId="0" applyFont="1" applyFill="1" applyBorder="1" applyAlignment="1" quotePrefix="1">
      <alignment horizontal="left" indent="1"/>
    </xf>
    <xf numFmtId="171" fontId="5" fillId="0" borderId="11" xfId="17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5" fillId="0" borderId="9" xfId="0" applyFont="1" applyFill="1" applyBorder="1" applyAlignment="1" quotePrefix="1">
      <alignment horizontal="left" indent="1"/>
    </xf>
    <xf numFmtId="171" fontId="5" fillId="0" borderId="10" xfId="17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 indent="1"/>
    </xf>
    <xf numFmtId="165" fontId="0" fillId="0" borderId="3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 indent="1"/>
    </xf>
    <xf numFmtId="165" fontId="0" fillId="0" borderId="0" xfId="15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44" fontId="0" fillId="0" borderId="0" xfId="0" applyNumberFormat="1" applyFont="1" applyFill="1" applyAlignment="1">
      <alignment/>
    </xf>
    <xf numFmtId="171" fontId="0" fillId="0" borderId="0" xfId="17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 quotePrefix="1">
      <alignment horizontal="left"/>
    </xf>
    <xf numFmtId="7" fontId="5" fillId="0" borderId="11" xfId="17" applyNumberFormat="1" applyFont="1" applyFill="1" applyBorder="1" applyAlignment="1">
      <alignment/>
    </xf>
    <xf numFmtId="44" fontId="0" fillId="0" borderId="0" xfId="17" applyFont="1" applyFill="1" applyAlignment="1">
      <alignment/>
    </xf>
    <xf numFmtId="0" fontId="0" fillId="0" borderId="0" xfId="0" applyFont="1" applyFill="1" applyAlignment="1">
      <alignment horizontal="left"/>
    </xf>
    <xf numFmtId="7" fontId="5" fillId="0" borderId="10" xfId="17" applyNumberFormat="1" applyFont="1" applyFill="1" applyBorder="1" applyAlignment="1">
      <alignment/>
    </xf>
    <xf numFmtId="10" fontId="0" fillId="0" borderId="0" xfId="21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 quotePrefix="1">
      <alignment horizontal="left" indent="2"/>
    </xf>
    <xf numFmtId="170" fontId="0" fillId="0" borderId="0" xfId="17" applyNumberFormat="1" applyFont="1" applyFill="1" applyAlignment="1">
      <alignment/>
    </xf>
    <xf numFmtId="0" fontId="0" fillId="0" borderId="0" xfId="0" applyFont="1" applyFill="1" applyAlignment="1" quotePrefix="1">
      <alignment horizontal="left" indent="3"/>
    </xf>
    <xf numFmtId="0" fontId="0" fillId="0" borderId="0" xfId="0" applyFont="1" applyFill="1" applyAlignment="1">
      <alignment horizontal="left" indent="3"/>
    </xf>
    <xf numFmtId="167" fontId="0" fillId="0" borderId="3" xfId="0" applyNumberFormat="1" applyFont="1" applyFill="1" applyBorder="1" applyAlignment="1">
      <alignment/>
    </xf>
    <xf numFmtId="6" fontId="0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 horizontal="centerContinuous"/>
    </xf>
    <xf numFmtId="43" fontId="0" fillId="0" borderId="0" xfId="0" applyNumberFormat="1" applyFont="1" applyFill="1" applyAlignment="1">
      <alignment/>
    </xf>
    <xf numFmtId="44" fontId="5" fillId="0" borderId="10" xfId="17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left"/>
    </xf>
    <xf numFmtId="167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4" fontId="5" fillId="0" borderId="0" xfId="17" applyFont="1" applyFill="1" applyBorder="1" applyAlignment="1">
      <alignment/>
    </xf>
    <xf numFmtId="44" fontId="5" fillId="0" borderId="11" xfId="17" applyFont="1" applyFill="1" applyBorder="1" applyAlignment="1">
      <alignment/>
    </xf>
    <xf numFmtId="44" fontId="5" fillId="0" borderId="1" xfId="17" applyFont="1" applyFill="1" applyBorder="1" applyAlignment="1">
      <alignment/>
    </xf>
    <xf numFmtId="43" fontId="5" fillId="0" borderId="1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167" fontId="5" fillId="0" borderId="8" xfId="0" applyNumberFormat="1" applyFont="1" applyFill="1" applyBorder="1" applyAlignment="1">
      <alignment/>
    </xf>
    <xf numFmtId="170" fontId="5" fillId="0" borderId="10" xfId="17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71" fontId="5" fillId="0" borderId="0" xfId="17" applyNumberFormat="1" applyFont="1" applyFill="1" applyBorder="1" applyAlignment="1">
      <alignment/>
    </xf>
    <xf numFmtId="171" fontId="5" fillId="0" borderId="1" xfId="17" applyNumberFormat="1" applyFont="1" applyFill="1" applyBorder="1" applyAlignment="1">
      <alignment/>
    </xf>
    <xf numFmtId="167" fontId="0" fillId="0" borderId="2" xfId="17" applyNumberFormat="1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 indent="2"/>
    </xf>
    <xf numFmtId="0" fontId="0" fillId="0" borderId="0" xfId="0" applyFill="1" applyAlignment="1" quotePrefix="1">
      <alignment horizontal="left" indent="2"/>
    </xf>
    <xf numFmtId="170" fontId="0" fillId="0" borderId="0" xfId="17" applyNumberFormat="1" applyFill="1" applyAlignment="1">
      <alignment/>
    </xf>
    <xf numFmtId="0" fontId="0" fillId="0" borderId="0" xfId="0" applyFill="1" applyAlignment="1" quotePrefix="1">
      <alignment horizontal="left" indent="3"/>
    </xf>
    <xf numFmtId="0" fontId="0" fillId="0" borderId="0" xfId="0" applyFill="1" applyAlignment="1">
      <alignment horizontal="left" indent="3"/>
    </xf>
    <xf numFmtId="167" fontId="0" fillId="0" borderId="0" xfId="0" applyNumberFormat="1" applyFill="1" applyBorder="1" applyAlignment="1">
      <alignment/>
    </xf>
    <xf numFmtId="167" fontId="0" fillId="0" borderId="3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16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71" fontId="6" fillId="0" borderId="0" xfId="17" applyNumberFormat="1" applyFont="1" applyFill="1" applyAlignment="1">
      <alignment/>
    </xf>
    <xf numFmtId="0" fontId="6" fillId="0" borderId="0" xfId="0" applyFont="1" applyFill="1" applyAlignment="1">
      <alignment/>
    </xf>
    <xf numFmtId="167" fontId="0" fillId="0" borderId="2" xfId="17" applyNumberForma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0" fontId="0" fillId="0" borderId="0" xfId="21" applyNumberFormat="1" applyFill="1" applyBorder="1" applyAlignment="1">
      <alignment horizontal="right"/>
    </xf>
    <xf numFmtId="0" fontId="7" fillId="0" borderId="0" xfId="0" applyFont="1" applyFill="1" applyAlignment="1" quotePrefix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167" fontId="0" fillId="0" borderId="23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7" fontId="5" fillId="0" borderId="2" xfId="17" applyNumberFormat="1" applyFont="1" applyFill="1" applyBorder="1" applyAlignment="1">
      <alignment/>
    </xf>
    <xf numFmtId="7" fontId="5" fillId="0" borderId="6" xfId="17" applyNumberFormat="1" applyFon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5" fillId="0" borderId="4" xfId="0" applyNumberFormat="1" applyFont="1" applyFill="1" applyBorder="1" applyAlignment="1" quotePrefix="1">
      <alignment horizontal="left"/>
    </xf>
    <xf numFmtId="167" fontId="5" fillId="0" borderId="4" xfId="17" applyNumberFormat="1" applyFont="1" applyFill="1" applyBorder="1" applyAlignment="1">
      <alignment/>
    </xf>
    <xf numFmtId="167" fontId="5" fillId="0" borderId="8" xfId="17" applyNumberFormat="1" applyFont="1" applyFill="1" applyBorder="1" applyAlignment="1">
      <alignment/>
    </xf>
    <xf numFmtId="0" fontId="5" fillId="0" borderId="1" xfId="0" applyFont="1" applyFill="1" applyBorder="1" applyAlignment="1" quotePrefix="1">
      <alignment horizontal="left" indent="1"/>
    </xf>
    <xf numFmtId="42" fontId="0" fillId="0" borderId="0" xfId="15" applyNumberFormat="1" applyFill="1" applyAlignment="1">
      <alignment/>
    </xf>
    <xf numFmtId="8" fontId="0" fillId="0" borderId="0" xfId="15" applyNumberFormat="1" applyFill="1" applyAlignment="1">
      <alignment/>
    </xf>
    <xf numFmtId="8" fontId="0" fillId="0" borderId="0" xfId="0" applyNumberFormat="1" applyFill="1" applyAlignment="1">
      <alignment/>
    </xf>
    <xf numFmtId="44" fontId="0" fillId="0" borderId="0" xfId="17" applyNumberFormat="1" applyFill="1" applyAlignment="1">
      <alignment/>
    </xf>
    <xf numFmtId="184" fontId="0" fillId="0" borderId="0" xfId="21" applyNumberFormat="1" applyFill="1" applyAlignment="1">
      <alignment/>
    </xf>
    <xf numFmtId="165" fontId="0" fillId="0" borderId="2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84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/>
    </xf>
    <xf numFmtId="165" fontId="0" fillId="0" borderId="3" xfId="0" applyNumberFormat="1" applyFill="1" applyBorder="1" applyAlignment="1">
      <alignment/>
    </xf>
    <xf numFmtId="167" fontId="0" fillId="0" borderId="3" xfId="17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 quotePrefix="1">
      <alignment horizontal="left" wrapText="1"/>
    </xf>
    <xf numFmtId="167" fontId="0" fillId="0" borderId="0" xfId="17" applyNumberFormat="1" applyFill="1" applyAlignment="1">
      <alignment wrapText="1"/>
    </xf>
    <xf numFmtId="0" fontId="0" fillId="0" borderId="0" xfId="0" applyFont="1" applyFill="1" applyAlignment="1">
      <alignment wrapText="1"/>
    </xf>
    <xf numFmtId="174" fontId="0" fillId="0" borderId="0" xfId="15" applyNumberFormat="1" applyFill="1" applyAlignment="1">
      <alignment wrapText="1"/>
    </xf>
    <xf numFmtId="0" fontId="0" fillId="0" borderId="0" xfId="0" applyFill="1" applyAlignment="1" quotePrefix="1">
      <alignment horizontal="center" wrapText="1"/>
    </xf>
    <xf numFmtId="0" fontId="0" fillId="0" borderId="0" xfId="0" applyFont="1" applyFill="1" applyAlignment="1">
      <alignment horizontal="left" wrapText="1"/>
    </xf>
    <xf numFmtId="3" fontId="9" fillId="0" borderId="0" xfId="15" applyNumberFormat="1" applyFont="1" applyFill="1" applyBorder="1" applyAlignment="1" applyProtection="1">
      <alignment horizontal="center" wrapText="1"/>
      <protection locked="0"/>
    </xf>
    <xf numFmtId="42" fontId="9" fillId="0" borderId="0" xfId="15" applyNumberFormat="1" applyFont="1" applyFill="1" applyBorder="1" applyAlignment="1" applyProtection="1">
      <alignment horizontal="center" wrapText="1"/>
      <protection locked="0"/>
    </xf>
    <xf numFmtId="3" fontId="9" fillId="0" borderId="14" xfId="15" applyNumberFormat="1" applyFont="1" applyFill="1" applyBorder="1" applyAlignment="1" applyProtection="1">
      <alignment horizontal="center" wrapText="1"/>
      <protection locked="0"/>
    </xf>
    <xf numFmtId="42" fontId="9" fillId="0" borderId="14" xfId="15" applyNumberFormat="1" applyFont="1" applyFill="1" applyBorder="1" applyAlignment="1" applyProtection="1">
      <alignment horizontal="center" wrapText="1"/>
      <protection locked="0"/>
    </xf>
    <xf numFmtId="3" fontId="9" fillId="0" borderId="15" xfId="15" applyNumberFormat="1" applyFont="1" applyFill="1" applyBorder="1" applyAlignment="1" applyProtection="1">
      <alignment horizontal="center" wrapText="1"/>
      <protection locked="0"/>
    </xf>
    <xf numFmtId="3" fontId="9" fillId="0" borderId="18" xfId="15" applyNumberFormat="1" applyFont="1" applyFill="1" applyBorder="1" applyAlignment="1" applyProtection="1">
      <alignment horizontal="center" wrapText="1"/>
      <protection locked="0"/>
    </xf>
    <xf numFmtId="3" fontId="9" fillId="0" borderId="20" xfId="15" applyNumberFormat="1" applyFont="1" applyFill="1" applyBorder="1" applyAlignment="1" applyProtection="1">
      <alignment horizontal="center" wrapText="1"/>
      <protection locked="0"/>
    </xf>
    <xf numFmtId="42" fontId="9" fillId="0" borderId="20" xfId="15" applyNumberFormat="1" applyFont="1" applyFill="1" applyBorder="1" applyAlignment="1" applyProtection="1">
      <alignment horizontal="center" wrapText="1"/>
      <protection locked="0"/>
    </xf>
    <xf numFmtId="3" fontId="9" fillId="0" borderId="21" xfId="15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pane xSplit="2" ySplit="6" topLeftCell="E2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140625" defaultRowHeight="12.75"/>
  <cols>
    <col min="1" max="1" width="38.00390625" style="0" customWidth="1"/>
    <col min="2" max="2" width="8.7109375" style="0" bestFit="1" customWidth="1"/>
    <col min="3" max="3" width="17.7109375" style="0" bestFit="1" customWidth="1"/>
    <col min="4" max="4" width="16.421875" style="0" customWidth="1"/>
    <col min="5" max="5" width="16.00390625" style="0" customWidth="1"/>
    <col min="6" max="7" width="13.421875" style="0" bestFit="1" customWidth="1"/>
    <col min="8" max="8" width="12.8515625" style="0" bestFit="1" customWidth="1"/>
    <col min="9" max="9" width="10.28125" style="0" bestFit="1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</v>
      </c>
      <c r="B4" s="1"/>
      <c r="C4" s="1"/>
      <c r="D4" s="1"/>
      <c r="E4" s="1"/>
      <c r="F4" s="1"/>
      <c r="G4" s="1"/>
      <c r="H4" s="1"/>
      <c r="I4" s="1"/>
    </row>
    <row r="6" spans="1:9" s="4" customFormat="1" ht="38.25">
      <c r="A6" s="2" t="s">
        <v>4</v>
      </c>
      <c r="B6" s="2" t="s">
        <v>5</v>
      </c>
      <c r="C6" s="2" t="s">
        <v>6</v>
      </c>
      <c r="D6" s="3" t="s">
        <v>7</v>
      </c>
      <c r="E6" s="3" t="s">
        <v>8</v>
      </c>
      <c r="F6" s="2" t="s">
        <v>9</v>
      </c>
      <c r="G6" s="2" t="s">
        <v>10</v>
      </c>
      <c r="H6" s="2" t="s">
        <v>11</v>
      </c>
      <c r="I6" s="2" t="s">
        <v>12</v>
      </c>
    </row>
    <row r="7" spans="1:9" s="4" customFormat="1" ht="12.75">
      <c r="A7" s="5" t="s">
        <v>13</v>
      </c>
      <c r="B7" s="6"/>
      <c r="C7" s="6"/>
      <c r="D7" s="7"/>
      <c r="E7" s="8"/>
      <c r="F7" s="7"/>
      <c r="G7" s="7"/>
      <c r="H7" s="7"/>
      <c r="I7" s="7"/>
    </row>
    <row r="8" spans="1:9" ht="12.75">
      <c r="A8" s="9" t="str">
        <f>+'Residential Sch 7'!A4</f>
        <v>Residential</v>
      </c>
      <c r="B8" s="10">
        <v>7</v>
      </c>
      <c r="C8" s="11">
        <f>+'Residential Sch 7'!D17</f>
        <v>9756700657.42176</v>
      </c>
      <c r="D8" s="12">
        <f>+'Residential Sch 7'!F21</f>
        <v>764791848.3859293</v>
      </c>
      <c r="E8" s="12">
        <f>+'Residential Sch 7'!H21</f>
        <v>837133482.1224344</v>
      </c>
      <c r="F8" s="12">
        <f>+E8-D8</f>
        <v>72341633.73650503</v>
      </c>
      <c r="G8" s="12">
        <f>+'Residential Schedule 7'!$C$48</f>
        <v>72340396.96170604</v>
      </c>
      <c r="H8" s="12">
        <f>+G8-F8</f>
        <v>-1236.774798989296</v>
      </c>
      <c r="I8" s="13">
        <f>+F8/D8</f>
        <v>0.09458996443173383</v>
      </c>
    </row>
    <row r="9" spans="1:9" ht="12.75">
      <c r="A9" s="14" t="s">
        <v>14</v>
      </c>
      <c r="C9" s="15">
        <f aca="true" t="shared" si="0" ref="C9:H9">SUM(C8:C8)</f>
        <v>9756700657.42176</v>
      </c>
      <c r="D9" s="16">
        <f t="shared" si="0"/>
        <v>764791848.3859293</v>
      </c>
      <c r="E9" s="16">
        <f t="shared" si="0"/>
        <v>837133482.1224344</v>
      </c>
      <c r="F9" s="16">
        <f t="shared" si="0"/>
        <v>72341633.73650503</v>
      </c>
      <c r="G9" s="16">
        <f t="shared" si="0"/>
        <v>72340396.96170604</v>
      </c>
      <c r="H9" s="16">
        <f t="shared" si="0"/>
        <v>-1236.774798989296</v>
      </c>
      <c r="I9" s="17">
        <f aca="true" t="shared" si="1" ref="I9:I31">+F9/D9</f>
        <v>0.09458996443173383</v>
      </c>
    </row>
    <row r="10" spans="3:9" ht="12.75">
      <c r="C10" s="18"/>
      <c r="D10" s="19"/>
      <c r="E10" s="19"/>
      <c r="F10" s="19"/>
      <c r="G10" s="19"/>
      <c r="H10" s="19"/>
      <c r="I10" s="13"/>
    </row>
    <row r="11" spans="1:9" ht="12.75">
      <c r="A11" t="s">
        <v>15</v>
      </c>
      <c r="C11" s="18"/>
      <c r="D11" s="19"/>
      <c r="E11" s="19"/>
      <c r="F11" s="19"/>
      <c r="G11" s="19"/>
      <c r="H11" s="19"/>
      <c r="I11" s="13"/>
    </row>
    <row r="12" spans="1:9" ht="12.75">
      <c r="A12" s="20" t="s">
        <v>16</v>
      </c>
      <c r="B12" s="10">
        <v>24</v>
      </c>
      <c r="C12" s="18">
        <f>+'Secondary Sch 24'!D16</f>
        <v>2383338106.1946707</v>
      </c>
      <c r="D12" s="19">
        <f>+'Secondary Sch 24'!F20</f>
        <v>173750826.62501916</v>
      </c>
      <c r="E12" s="19">
        <f>+'Secondary Sch 24'!H20</f>
        <v>182020943.30889922</v>
      </c>
      <c r="F12" s="12">
        <f>+E12-D12</f>
        <v>8270116.683880061</v>
      </c>
      <c r="G12" s="12">
        <f>+'Secondary Voltage Schedule 24'!$C$40</f>
        <v>8269070.727511048</v>
      </c>
      <c r="H12" s="12">
        <f>+G12-F12</f>
        <v>-1045.9563690125942</v>
      </c>
      <c r="I12" s="13">
        <f t="shared" si="1"/>
        <v>0.04759756741605746</v>
      </c>
    </row>
    <row r="13" spans="1:9" ht="12.75">
      <c r="A13" s="20" t="s">
        <v>17</v>
      </c>
      <c r="B13" s="10">
        <v>25</v>
      </c>
      <c r="C13" s="18">
        <f>+'Secondary Sch 25'!D15</f>
        <v>2848998293.241209</v>
      </c>
      <c r="D13" s="19">
        <f>+'Secondary Sch 25'!F25</f>
        <v>203290656.50554028</v>
      </c>
      <c r="E13" s="19">
        <f>+'Secondary Sch 25'!H25</f>
        <v>210721308.879517</v>
      </c>
      <c r="F13" s="12">
        <f>+E13-D13</f>
        <v>7430652.373976707</v>
      </c>
      <c r="G13" s="12">
        <f>+'Secondary Voltage Schedule 25'!$C$50</f>
        <v>7430821.655092247</v>
      </c>
      <c r="H13" s="12">
        <f>+G13-F13</f>
        <v>169.28111553937197</v>
      </c>
      <c r="I13" s="13">
        <f t="shared" si="1"/>
        <v>0.03655186372903567</v>
      </c>
    </row>
    <row r="14" spans="1:9" ht="12.75">
      <c r="A14" s="20" t="s">
        <v>18</v>
      </c>
      <c r="B14" s="10">
        <v>26</v>
      </c>
      <c r="C14" s="18">
        <f>+'Secondary Sch 26'!D12</f>
        <v>1886822193.5422368</v>
      </c>
      <c r="D14" s="19">
        <f>+'Secondary Sch 26'!F22</f>
        <v>119831706.34756067</v>
      </c>
      <c r="E14" s="19">
        <f>+'Secondary Sch 26'!H22</f>
        <v>122570464.7617765</v>
      </c>
      <c r="F14" s="12">
        <f>+E14-D14</f>
        <v>2738758.414215833</v>
      </c>
      <c r="G14" s="12">
        <f>+'Secondary Voltage Schedule 26'!$C$36</f>
        <v>2739292.1103254706</v>
      </c>
      <c r="H14" s="12">
        <f>+G14-F14</f>
        <v>533.6961096376181</v>
      </c>
      <c r="I14" s="13">
        <f t="shared" si="1"/>
        <v>0.02285503976946068</v>
      </c>
    </row>
    <row r="15" spans="1:9" ht="12.75">
      <c r="A15" s="9" t="s">
        <v>19</v>
      </c>
      <c r="B15" s="10">
        <v>29</v>
      </c>
      <c r="C15" s="18">
        <f>+'Secondary Sch 29'!D18</f>
        <v>15065067.10113266</v>
      </c>
      <c r="D15" s="19">
        <f>+'Secondary Sch 29'!F28</f>
        <v>914701.5313704906</v>
      </c>
      <c r="E15" s="19">
        <f>+'Secondary Sch 29'!H28</f>
        <v>948136.9918734335</v>
      </c>
      <c r="F15" s="12">
        <f>+E15-D15</f>
        <v>33435.46050294291</v>
      </c>
      <c r="G15" s="12">
        <f>+'Secondary Voltage Schedule 29'!$C$59</f>
        <v>33434.80740379542</v>
      </c>
      <c r="H15" s="12">
        <f>+G15-F15</f>
        <v>-0.6530991474865004</v>
      </c>
      <c r="I15" s="13">
        <f t="shared" si="1"/>
        <v>0.036553410436349444</v>
      </c>
    </row>
    <row r="16" spans="1:9" ht="12.75">
      <c r="A16" s="21" t="s">
        <v>20</v>
      </c>
      <c r="C16" s="15">
        <f aca="true" t="shared" si="2" ref="C16:H16">SUM(C12:C15)</f>
        <v>7134223660.079249</v>
      </c>
      <c r="D16" s="16">
        <f t="shared" si="2"/>
        <v>497787891.00949055</v>
      </c>
      <c r="E16" s="16">
        <f t="shared" si="2"/>
        <v>516260853.9420662</v>
      </c>
      <c r="F16" s="16">
        <f t="shared" si="2"/>
        <v>18472962.932575542</v>
      </c>
      <c r="G16" s="16">
        <f t="shared" si="2"/>
        <v>18472619.30033256</v>
      </c>
      <c r="H16" s="16">
        <f t="shared" si="2"/>
        <v>-343.6322429830907</v>
      </c>
      <c r="I16" s="17">
        <f t="shared" si="1"/>
        <v>0.03711010907700715</v>
      </c>
    </row>
    <row r="17" spans="3:9" ht="12.75">
      <c r="C17" s="18"/>
      <c r="D17" s="19"/>
      <c r="E17" s="19"/>
      <c r="F17" s="19"/>
      <c r="G17" s="19"/>
      <c r="H17" s="19"/>
      <c r="I17" s="13"/>
    </row>
    <row r="18" spans="1:9" ht="12.75">
      <c r="A18" t="s">
        <v>21</v>
      </c>
      <c r="C18" s="18"/>
      <c r="D18" s="19"/>
      <c r="E18" s="19"/>
      <c r="F18" s="19"/>
      <c r="G18" s="19"/>
      <c r="H18" s="19"/>
      <c r="I18" s="13"/>
    </row>
    <row r="19" spans="1:9" ht="12.75">
      <c r="A19" s="20" t="s">
        <v>22</v>
      </c>
      <c r="B19" s="10">
        <v>31</v>
      </c>
      <c r="C19" s="18">
        <f>+'Primary Sch 31'!D12</f>
        <v>1657531591.0765023</v>
      </c>
      <c r="D19" s="19">
        <f>+'Primary Sch 31'!F22</f>
        <v>96838451.52020907</v>
      </c>
      <c r="E19" s="19">
        <f>+'Primary Sch 31'!H22</f>
        <v>103915382.10452503</v>
      </c>
      <c r="F19" s="12">
        <f>+E19-D19</f>
        <v>7076930.584315956</v>
      </c>
      <c r="G19" s="12">
        <f>+'Primary Voltage Schedule 31'!$C$39</f>
        <v>7077746.117903684</v>
      </c>
      <c r="H19" s="12">
        <f>+G19-F19</f>
        <v>815.533587728627</v>
      </c>
      <c r="I19" s="13">
        <f t="shared" si="1"/>
        <v>0.07307975781540746</v>
      </c>
    </row>
    <row r="20" spans="1:9" ht="12.75">
      <c r="A20" s="9" t="s">
        <v>19</v>
      </c>
      <c r="B20" s="10">
        <v>35</v>
      </c>
      <c r="C20" s="18">
        <f>+'Primary Sch 35'!B12</f>
        <v>4966200</v>
      </c>
      <c r="D20" s="19">
        <f>+'Primary Sch 35'!D22</f>
        <v>199990.02620000002</v>
      </c>
      <c r="E20" s="19">
        <f>+'Primary Sch 35'!F22</f>
        <v>214609.32188781069</v>
      </c>
      <c r="F20" s="12">
        <f>+E20-D20</f>
        <v>14619.295687810663</v>
      </c>
      <c r="G20" s="12">
        <f>+'Primary Voltage Schedule 35'!$C$34</f>
        <v>14616.906913893723</v>
      </c>
      <c r="H20" s="12">
        <f>+G20-F20</f>
        <v>-2.3887739169404085</v>
      </c>
      <c r="I20" s="13">
        <f t="shared" si="1"/>
        <v>0.07310012386913053</v>
      </c>
    </row>
    <row r="21" spans="1:9" ht="12.75">
      <c r="A21" s="9" t="s">
        <v>23</v>
      </c>
      <c r="B21" s="10">
        <v>43</v>
      </c>
      <c r="C21" s="18">
        <f>+'Primary Sch 43'!D12</f>
        <v>189692764.85826433</v>
      </c>
      <c r="D21" s="19">
        <f>+'Primary Sch 43'!F20</f>
        <v>11991712.533453215</v>
      </c>
      <c r="E21" s="19">
        <f>+'Primary Sch 43'!H20</f>
        <v>13306728.757753968</v>
      </c>
      <c r="F21" s="12">
        <f>+E21-D21</f>
        <v>1315016.2243007533</v>
      </c>
      <c r="G21" s="12">
        <f>+'Primary Voltage Schedule 43'!$C$36</f>
        <v>1314988.2838731986</v>
      </c>
      <c r="H21" s="12">
        <f>+G21-F21</f>
        <v>-27.940427554771304</v>
      </c>
      <c r="I21" s="13">
        <f t="shared" si="1"/>
        <v>0.1096604192797534</v>
      </c>
    </row>
    <row r="22" spans="1:9" ht="12.75">
      <c r="A22" s="14" t="s">
        <v>24</v>
      </c>
      <c r="C22" s="15">
        <f aca="true" t="shared" si="3" ref="C22:H22">SUM(C19:C21)</f>
        <v>1852190555.9347668</v>
      </c>
      <c r="D22" s="16">
        <f t="shared" si="3"/>
        <v>109030154.07986228</v>
      </c>
      <c r="E22" s="16">
        <f t="shared" si="3"/>
        <v>117436720.1841668</v>
      </c>
      <c r="F22" s="16">
        <f t="shared" si="3"/>
        <v>8406566.104304519</v>
      </c>
      <c r="G22" s="16">
        <f t="shared" si="3"/>
        <v>8407351.308690775</v>
      </c>
      <c r="H22" s="16">
        <f t="shared" si="3"/>
        <v>785.2043862569153</v>
      </c>
      <c r="I22" s="17">
        <f t="shared" si="1"/>
        <v>0.07710312963647549</v>
      </c>
    </row>
    <row r="23" ht="12.75">
      <c r="I23" s="13"/>
    </row>
    <row r="24" spans="1:9" ht="12.75">
      <c r="A24" t="s">
        <v>25</v>
      </c>
      <c r="C24" s="18"/>
      <c r="D24" s="19"/>
      <c r="E24" s="19"/>
      <c r="F24" s="19"/>
      <c r="G24" s="19"/>
      <c r="H24" s="19"/>
      <c r="I24" s="13"/>
    </row>
    <row r="25" spans="1:9" ht="12.75">
      <c r="A25" s="20" t="s">
        <v>26</v>
      </c>
      <c r="B25" s="10">
        <v>46</v>
      </c>
      <c r="C25" s="18">
        <f>+'HV Sch 46'!B10</f>
        <v>51109000</v>
      </c>
      <c r="D25" s="19">
        <f>+'HV Sch 46'!D16</f>
        <v>2226036.272</v>
      </c>
      <c r="E25" s="19">
        <f>+'HV Sch 46'!F16</f>
        <v>2520588.309</v>
      </c>
      <c r="F25" s="12">
        <f>+E25-D25</f>
        <v>294552.037</v>
      </c>
      <c r="G25" s="12"/>
      <c r="H25" s="12"/>
      <c r="I25" s="13">
        <f t="shared" si="1"/>
        <v>0.13232131062058455</v>
      </c>
    </row>
    <row r="26" spans="1:9" ht="12.75">
      <c r="A26" s="20" t="s">
        <v>22</v>
      </c>
      <c r="B26" s="10">
        <v>49</v>
      </c>
      <c r="C26" s="18">
        <f>+'HV Sch 49'!B10</f>
        <v>424545212.4999</v>
      </c>
      <c r="D26" s="19">
        <f>+'HV Sch 49'!D16</f>
        <v>19982500.414845962</v>
      </c>
      <c r="E26" s="19">
        <f>+'HV Sch 49'!F16</f>
        <v>22123482.627360813</v>
      </c>
      <c r="F26" s="12">
        <f>+E26-D26</f>
        <v>2140982.2125148512</v>
      </c>
      <c r="G26" s="12"/>
      <c r="H26" s="12"/>
      <c r="I26" s="13">
        <f t="shared" si="1"/>
        <v>0.10714285840445735</v>
      </c>
    </row>
    <row r="27" spans="1:9" ht="12.75">
      <c r="A27" s="21" t="s">
        <v>27</v>
      </c>
      <c r="C27" s="15">
        <f>SUM(C25:C26)</f>
        <v>475654212.4999</v>
      </c>
      <c r="D27" s="16">
        <f>SUM(D25:D26)</f>
        <v>22208536.686845962</v>
      </c>
      <c r="E27" s="16">
        <f>SUM(E25:E26)</f>
        <v>24644070.936360814</v>
      </c>
      <c r="F27" s="16">
        <f>SUM(F25:F26)</f>
        <v>2435534.2495148513</v>
      </c>
      <c r="G27" s="16">
        <f>+'High Voltage Schedule 46'!$C$25</f>
        <v>2435345.6992652565</v>
      </c>
      <c r="H27" s="16">
        <f>+G27-F27</f>
        <v>-188.5502495947294</v>
      </c>
      <c r="I27" s="17">
        <f t="shared" si="1"/>
        <v>0.10966657929144019</v>
      </c>
    </row>
    <row r="28" ht="12.75">
      <c r="I28" s="13"/>
    </row>
    <row r="29" spans="1:9" ht="12.75">
      <c r="A29" t="s">
        <v>28</v>
      </c>
      <c r="B29" s="10" t="s">
        <v>29</v>
      </c>
      <c r="C29" s="15">
        <f>+Lighting!B20</f>
        <v>82428541.5996</v>
      </c>
      <c r="D29" s="16">
        <f>+Lighting!C20</f>
        <v>12888320.439728683</v>
      </c>
      <c r="E29" s="16">
        <f>+Lighting!D20</f>
        <v>14306175.7701428</v>
      </c>
      <c r="F29" s="16">
        <f>+E29-D29</f>
        <v>1417855.3304141164</v>
      </c>
      <c r="G29" s="22">
        <v>1413308.593728125</v>
      </c>
      <c r="H29" s="22">
        <f>+G29-F29</f>
        <v>-4546.736685991287</v>
      </c>
      <c r="I29" s="17">
        <f t="shared" si="1"/>
        <v>0.11001086891380582</v>
      </c>
    </row>
    <row r="30" spans="2:9" ht="12.75">
      <c r="B30" s="10"/>
      <c r="I30" s="13"/>
    </row>
    <row r="31" spans="1:9" ht="13.5" thickBot="1">
      <c r="A31" s="21" t="s">
        <v>30</v>
      </c>
      <c r="C31" s="23">
        <f aca="true" t="shared" si="4" ref="C31:H31">SUM(C9,C16,C22,C27,C29)</f>
        <v>19301197627.53528</v>
      </c>
      <c r="D31" s="24">
        <f t="shared" si="4"/>
        <v>1406706750.601857</v>
      </c>
      <c r="E31" s="24">
        <f t="shared" si="4"/>
        <v>1509781302.955171</v>
      </c>
      <c r="F31" s="24">
        <f t="shared" si="4"/>
        <v>103074552.35331406</v>
      </c>
      <c r="G31" s="24">
        <f t="shared" si="4"/>
        <v>103069021.86372276</v>
      </c>
      <c r="H31" s="24">
        <f t="shared" si="4"/>
        <v>-5530.489591301488</v>
      </c>
      <c r="I31" s="25">
        <f t="shared" si="1"/>
        <v>0.0732736601350735</v>
      </c>
    </row>
    <row r="32" spans="3:9" ht="13.5" thickTop="1">
      <c r="C32" s="26"/>
      <c r="D32" s="27"/>
      <c r="E32" s="27"/>
      <c r="F32" s="27"/>
      <c r="G32" s="27"/>
      <c r="H32" s="27"/>
      <c r="I32" s="28"/>
    </row>
    <row r="33" spans="1:9" ht="12.75">
      <c r="A33" s="20" t="s">
        <v>31</v>
      </c>
      <c r="B33" s="10" t="s">
        <v>32</v>
      </c>
      <c r="C33" s="18">
        <f>+'Small Firm Resale'!D10</f>
        <v>7678077.648679508</v>
      </c>
      <c r="D33" s="19">
        <f>SUM('Small Firm Resale'!F19)</f>
        <v>457442.6812635774</v>
      </c>
      <c r="E33" s="19">
        <f>SUM('Small Firm Resale'!H19)</f>
        <v>491392.7818861029</v>
      </c>
      <c r="F33" s="12"/>
      <c r="G33" s="12"/>
      <c r="H33" s="12"/>
      <c r="I33" s="29"/>
    </row>
    <row r="34" spans="1:9" ht="12.75">
      <c r="A34" s="9" t="s">
        <v>33</v>
      </c>
      <c r="B34" s="30" t="s">
        <v>34</v>
      </c>
      <c r="C34" s="18">
        <f>+'Transportation Special Contract'!B10</f>
        <v>128379640</v>
      </c>
      <c r="D34" s="19">
        <f>+'Transportation Special Contract'!D15</f>
        <v>1339666.5288594202</v>
      </c>
      <c r="E34" s="19">
        <f>+'Transportation Special Contract'!F15</f>
        <v>1439092.7855650124</v>
      </c>
      <c r="F34" s="12"/>
      <c r="G34" s="12"/>
      <c r="H34" s="12"/>
      <c r="I34" s="29"/>
    </row>
    <row r="35" spans="1:9" ht="12.75">
      <c r="A35" s="21" t="s">
        <v>35</v>
      </c>
      <c r="C35" s="15">
        <f>SUM(C33:C34)</f>
        <v>136057717.6486795</v>
      </c>
      <c r="D35" s="16">
        <f>SUM(D33:D34)</f>
        <v>1797109.2101229976</v>
      </c>
      <c r="E35" s="16">
        <f>SUM(E33:E34)</f>
        <v>1930485.5674511152</v>
      </c>
      <c r="F35" s="16">
        <f>+E35-D35</f>
        <v>133376.3573281176</v>
      </c>
      <c r="G35" s="16">
        <v>133376.3573281176</v>
      </c>
      <c r="H35" s="16">
        <f>+G35-F35</f>
        <v>0</v>
      </c>
      <c r="I35" s="17">
        <f>+F35/D35</f>
        <v>0.07421716864885972</v>
      </c>
    </row>
    <row r="36" spans="2:9" ht="12.75">
      <c r="B36" s="30"/>
      <c r="C36" s="18"/>
      <c r="D36" s="19"/>
      <c r="E36" s="19"/>
      <c r="F36" s="19"/>
      <c r="G36" s="31"/>
      <c r="H36" s="31"/>
      <c r="I36" s="32"/>
    </row>
    <row r="37" ht="12.75">
      <c r="I37" s="13"/>
    </row>
    <row r="38" spans="1:9" ht="12.75">
      <c r="A38" t="s">
        <v>36</v>
      </c>
      <c r="C38" s="18"/>
      <c r="D38" s="19"/>
      <c r="E38" s="19"/>
      <c r="F38" s="19"/>
      <c r="G38" s="19"/>
      <c r="H38" s="19"/>
      <c r="I38" s="13"/>
    </row>
    <row r="39" spans="1:9" ht="12.75">
      <c r="A39" s="20"/>
      <c r="B39" s="10">
        <v>449</v>
      </c>
      <c r="C39" s="18">
        <f>SUM('Sch 449'!B17,'Sch 449'!B11)</f>
        <v>1687987484</v>
      </c>
      <c r="D39" s="19">
        <f>+'Sch 449'!D22</f>
        <v>5384368.1</v>
      </c>
      <c r="E39" s="19">
        <f>+'Sch 449'!F22</f>
        <v>5580056.46</v>
      </c>
      <c r="F39" s="12">
        <f>+E39-D39</f>
        <v>195688.36000000034</v>
      </c>
      <c r="G39" s="12"/>
      <c r="H39" s="12"/>
      <c r="I39" s="13">
        <f>+F39/D39</f>
        <v>0.03634379306273662</v>
      </c>
    </row>
    <row r="40" spans="1:9" ht="12.75">
      <c r="A40" s="20"/>
      <c r="B40" s="10">
        <v>459</v>
      </c>
      <c r="C40" s="18">
        <f>+'Sch 459'!B11</f>
        <v>357930997</v>
      </c>
      <c r="D40" s="19">
        <f>+'Sch 459'!D16</f>
        <v>994646.76</v>
      </c>
      <c r="E40" s="19">
        <f>+'Sch 459'!F16</f>
        <v>1031984.28</v>
      </c>
      <c r="F40" s="12">
        <f>+E40-D40</f>
        <v>37337.52000000002</v>
      </c>
      <c r="G40" s="12"/>
      <c r="H40" s="12"/>
      <c r="I40" s="13">
        <f>+F40/D40</f>
        <v>0.03753847245227041</v>
      </c>
    </row>
    <row r="41" spans="1:9" ht="12.75">
      <c r="A41" s="14" t="s">
        <v>37</v>
      </c>
      <c r="C41" s="15">
        <f>SUM(C39:C40)</f>
        <v>2045918481</v>
      </c>
      <c r="D41" s="16">
        <f>SUM(D39:D40)</f>
        <v>6379014.859999999</v>
      </c>
      <c r="E41" s="16">
        <f>SUM(E39:E40)</f>
        <v>6612040.74</v>
      </c>
      <c r="F41" s="16">
        <f>SUM(F39:F40)</f>
        <v>233025.88000000035</v>
      </c>
      <c r="G41" s="16">
        <f>+'Transportation Sch 449 and 459'!$C$21</f>
        <v>233170.19372482318</v>
      </c>
      <c r="H41" s="16">
        <f>+G41-F41</f>
        <v>144.3137248228304</v>
      </c>
      <c r="I41" s="17">
        <f>+F41/D41</f>
        <v>0.036530073234537094</v>
      </c>
    </row>
    <row r="42" spans="4:9" ht="12.75">
      <c r="D42" s="33"/>
      <c r="I42" s="13"/>
    </row>
    <row r="43" spans="1:9" ht="13.5" thickBot="1">
      <c r="A43" s="21" t="s">
        <v>38</v>
      </c>
      <c r="C43" s="117">
        <f aca="true" t="shared" si="5" ref="C43:H43">SUM(C31,C35,C41)</f>
        <v>21483173826.183956</v>
      </c>
      <c r="D43" s="118">
        <f t="shared" si="5"/>
        <v>1414882874.67198</v>
      </c>
      <c r="E43" s="118">
        <f t="shared" si="5"/>
        <v>1518323829.262622</v>
      </c>
      <c r="F43" s="118">
        <f t="shared" si="5"/>
        <v>103440954.59064217</v>
      </c>
      <c r="G43" s="118">
        <f t="shared" si="5"/>
        <v>103435568.4147757</v>
      </c>
      <c r="H43" s="118">
        <f t="shared" si="5"/>
        <v>-5386.175866478658</v>
      </c>
      <c r="I43" s="25">
        <f>+F43/D43</f>
        <v>0.07310919966758624</v>
      </c>
    </row>
    <row r="44" spans="4:8" ht="13.5" thickTop="1">
      <c r="D44" s="119"/>
      <c r="F44" s="33"/>
      <c r="G44" s="33"/>
      <c r="H44" s="33"/>
    </row>
    <row r="45" spans="4:8" ht="12.75">
      <c r="D45" s="36"/>
      <c r="E45" s="33"/>
      <c r="F45" s="35"/>
      <c r="G45" s="35"/>
      <c r="H45" s="35"/>
    </row>
    <row r="46" ht="12.75">
      <c r="D46" s="33"/>
    </row>
    <row r="47" spans="4:8" ht="12.75">
      <c r="D47" s="33"/>
      <c r="F47" s="33"/>
      <c r="G47" s="33"/>
      <c r="H47" s="33"/>
    </row>
  </sheetData>
  <printOptions horizontalCentered="1"/>
  <pageMargins left="0.25" right="0.25" top="1" bottom="1" header="1.01" footer="0.5"/>
  <pageSetup fitToHeight="1" fitToWidth="1" horizontalDpi="600" verticalDpi="600" orientation="landscape" scale="83" r:id="rId1"/>
  <headerFooter alignWithMargins="0">
    <oddHeader>&amp;RExhibit No. ___(JAH-23)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4" sqref="G14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3.421875" style="0" bestFit="1" customWidth="1"/>
    <col min="5" max="5" width="11.421875" style="0" bestFit="1" customWidth="1"/>
    <col min="6" max="6" width="14.003906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93</v>
      </c>
      <c r="B4" s="1"/>
      <c r="C4" s="1"/>
      <c r="D4" s="1"/>
      <c r="E4" s="1"/>
      <c r="F4" s="1"/>
      <c r="G4" s="1"/>
      <c r="H4" s="1"/>
    </row>
    <row r="5" spans="1:8" ht="12.75">
      <c r="A5" s="1" t="s">
        <v>94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8" ht="12.75">
      <c r="A10" s="21" t="s">
        <v>72</v>
      </c>
      <c r="B10" s="15">
        <v>51109000</v>
      </c>
      <c r="C10" s="55">
        <v>0.037259</v>
      </c>
      <c r="D10" s="16">
        <f>+C10*B10</f>
        <v>1904270.231</v>
      </c>
      <c r="E10" s="55">
        <f>+'High Voltage Schedule 46'!$C$38</f>
        <v>0.043551</v>
      </c>
      <c r="F10" s="16">
        <f>+E10*B10</f>
        <v>2225848.059</v>
      </c>
      <c r="G10" s="16">
        <f>+F10-D10</f>
        <v>321577.828</v>
      </c>
      <c r="H10" s="53">
        <f>+G10/D10</f>
        <v>0.16887195040124534</v>
      </c>
    </row>
    <row r="11" ht="12.75">
      <c r="B11" s="58"/>
    </row>
    <row r="12" spans="1:8" ht="12.75">
      <c r="A12" s="21" t="s">
        <v>95</v>
      </c>
      <c r="B12" s="15">
        <v>168423</v>
      </c>
      <c r="C12" s="50">
        <v>1.58</v>
      </c>
      <c r="D12" s="16">
        <f>+C12*B12</f>
        <v>266108.34</v>
      </c>
      <c r="E12" s="50">
        <f>+'High Voltage Schedule 46'!$C$30</f>
        <v>1.75</v>
      </c>
      <c r="F12" s="16">
        <f>+E12*B12</f>
        <v>294740.25</v>
      </c>
      <c r="G12" s="16">
        <f>+F12-D12</f>
        <v>28631.909999999974</v>
      </c>
      <c r="H12" s="53">
        <f>+G12/D12</f>
        <v>0.10759493670886065</v>
      </c>
    </row>
    <row r="13" spans="2:8" ht="12.75">
      <c r="B13" s="18"/>
      <c r="D13" s="19"/>
      <c r="F13" s="19"/>
      <c r="G13" s="19"/>
      <c r="H13" s="56"/>
    </row>
    <row r="14" spans="1:8" ht="12.75">
      <c r="A14" s="14" t="s">
        <v>60</v>
      </c>
      <c r="B14" s="15">
        <f>+B10</f>
        <v>51109000</v>
      </c>
      <c r="C14" s="55">
        <v>0.001089</v>
      </c>
      <c r="D14" s="16">
        <f>+C14*B14</f>
        <v>55657.700999999994</v>
      </c>
      <c r="E14" s="55">
        <v>0</v>
      </c>
      <c r="F14" s="16">
        <f>+E14*B14</f>
        <v>0</v>
      </c>
      <c r="G14" s="16">
        <f>+F14-D14</f>
        <v>-55657.700999999994</v>
      </c>
      <c r="H14" s="53">
        <f>+G14/D14</f>
        <v>-1</v>
      </c>
    </row>
    <row r="15" spans="2:8" ht="12.75">
      <c r="B15" s="18"/>
      <c r="D15" s="19"/>
      <c r="F15" s="19"/>
      <c r="G15" s="19"/>
      <c r="H15" s="56"/>
    </row>
    <row r="16" spans="1:8" ht="13.5" thickBot="1">
      <c r="A16" t="s">
        <v>61</v>
      </c>
      <c r="D16" s="59">
        <f>SUM(D12,D10,D14)</f>
        <v>2226036.272</v>
      </c>
      <c r="F16" s="59">
        <f>SUM(F12,F10,F14)</f>
        <v>2520588.309</v>
      </c>
      <c r="G16" s="59">
        <f>SUM(G12,G10,G14)</f>
        <v>294552.03699999995</v>
      </c>
      <c r="H16" s="60">
        <f>+G16/D16</f>
        <v>0.13232131062058453</v>
      </c>
    </row>
    <row r="17" ht="13.5" thickTop="1"/>
    <row r="18" ht="12.75">
      <c r="B18" s="57"/>
    </row>
    <row r="19" spans="2:7" ht="12.75">
      <c r="B19" s="58"/>
      <c r="F19" s="33"/>
      <c r="G19" s="80"/>
    </row>
    <row r="20" spans="2:7" ht="12.75">
      <c r="B20" s="133"/>
      <c r="F20" s="33"/>
      <c r="G20" s="80"/>
    </row>
    <row r="21" spans="1:6" ht="12.75">
      <c r="A21" s="21" t="s">
        <v>96</v>
      </c>
      <c r="D21" s="81">
        <v>0.9</v>
      </c>
      <c r="E21">
        <f>+E10*D21</f>
        <v>0.0391959</v>
      </c>
      <c r="F21" s="121"/>
    </row>
    <row r="22" spans="1:6" ht="12.75">
      <c r="A22" t="s">
        <v>97</v>
      </c>
      <c r="D22">
        <v>12</v>
      </c>
      <c r="E22" s="82">
        <f>+D22*C12</f>
        <v>18.96</v>
      </c>
      <c r="F22" s="121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4" sqref="G14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5.00390625" style="0" bestFit="1" customWidth="1"/>
    <col min="5" max="5" width="11.421875" style="0" bestFit="1" customWidth="1"/>
    <col min="6" max="6" width="15.00390625" style="0" bestFit="1" customWidth="1"/>
    <col min="7" max="7" width="12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98</v>
      </c>
      <c r="B4" s="1"/>
      <c r="C4" s="1"/>
      <c r="D4" s="1"/>
      <c r="E4" s="1"/>
      <c r="F4" s="1"/>
      <c r="G4" s="1"/>
      <c r="H4" s="1"/>
    </row>
    <row r="5" spans="1:8" ht="12.75">
      <c r="A5" s="1" t="s">
        <v>99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8" ht="12.75">
      <c r="A10" s="21" t="s">
        <v>72</v>
      </c>
      <c r="B10" s="15">
        <v>424545212.4999</v>
      </c>
      <c r="C10" s="55">
        <v>0.037259</v>
      </c>
      <c r="D10" s="16">
        <f>+C10*B10</f>
        <v>15818130.072533773</v>
      </c>
      <c r="E10" s="55">
        <f>+'High Voltage Schedule 49'!$C$41</f>
        <v>0.043551</v>
      </c>
      <c r="F10" s="16">
        <f>+E10*B10</f>
        <v>18489368.549583144</v>
      </c>
      <c r="G10" s="16">
        <f>+F10-D10</f>
        <v>2671238.477049371</v>
      </c>
      <c r="H10" s="53">
        <f>+G10/D10</f>
        <v>0.16887195040124536</v>
      </c>
    </row>
    <row r="11" ht="12.75">
      <c r="B11" s="58"/>
    </row>
    <row r="12" spans="1:8" ht="12.75">
      <c r="A12" s="21" t="s">
        <v>95</v>
      </c>
      <c r="B12" s="15">
        <v>1172294.8637992474</v>
      </c>
      <c r="C12" s="50">
        <v>2.79</v>
      </c>
      <c r="D12" s="16">
        <f>+C12*B12</f>
        <v>3270702.6699999003</v>
      </c>
      <c r="E12" s="50">
        <f>+'High Voltage Schedule 49'!$C$30</f>
        <v>3.1</v>
      </c>
      <c r="F12" s="16">
        <f>+E12*B12</f>
        <v>3634114.077777667</v>
      </c>
      <c r="G12" s="16">
        <f>+F12-D12</f>
        <v>363411.4077777667</v>
      </c>
      <c r="H12" s="53">
        <f>+G12/D12</f>
        <v>0.1111111111111111</v>
      </c>
    </row>
    <row r="13" spans="2:8" ht="12.75">
      <c r="B13" s="18"/>
      <c r="D13" s="19"/>
      <c r="F13" s="19"/>
      <c r="G13" s="19"/>
      <c r="H13" s="56"/>
    </row>
    <row r="14" spans="1:8" ht="12.75">
      <c r="A14" s="14" t="s">
        <v>60</v>
      </c>
      <c r="B14" s="15">
        <f>+B10</f>
        <v>424545212.4999</v>
      </c>
      <c r="C14" s="55">
        <v>0.002105</v>
      </c>
      <c r="D14" s="16">
        <f>+C14*B14</f>
        <v>893667.6723122895</v>
      </c>
      <c r="E14" s="55">
        <v>0</v>
      </c>
      <c r="F14" s="16">
        <f>+E14*B14</f>
        <v>0</v>
      </c>
      <c r="G14" s="16">
        <f>+F14-D14</f>
        <v>-893667.6723122895</v>
      </c>
      <c r="H14" s="53">
        <f>+G14/D14</f>
        <v>-1</v>
      </c>
    </row>
    <row r="15" spans="2:8" ht="12.75">
      <c r="B15" s="18"/>
      <c r="D15" s="19"/>
      <c r="F15" s="19"/>
      <c r="G15" s="19"/>
      <c r="H15" s="56"/>
    </row>
    <row r="16" spans="1:8" ht="13.5" thickBot="1">
      <c r="A16" t="s">
        <v>61</v>
      </c>
      <c r="D16" s="59">
        <f>SUM(D12,D10,D14)</f>
        <v>19982500.414845962</v>
      </c>
      <c r="F16" s="59">
        <f>SUM(F12,F10,F14)</f>
        <v>22123482.627360813</v>
      </c>
      <c r="G16" s="59">
        <f>SUM(G12,G10,G14)</f>
        <v>2140982.2125148484</v>
      </c>
      <c r="H16" s="60">
        <f>+G16/D16</f>
        <v>0.10714285840445721</v>
      </c>
    </row>
    <row r="17" ht="13.5" thickTop="1"/>
    <row r="19" spans="2:7" ht="12.75">
      <c r="B19" s="58"/>
      <c r="F19" s="33"/>
      <c r="G19" s="80"/>
    </row>
    <row r="20" spans="2:7" ht="12.75">
      <c r="B20" s="58"/>
      <c r="F20" s="33"/>
      <c r="G20" s="80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4" sqref="G14"/>
    </sheetView>
  </sheetViews>
  <sheetFormatPr defaultColWidth="9.140625" defaultRowHeight="12.75"/>
  <cols>
    <col min="1" max="1" width="23.28125" style="0" bestFit="1" customWidth="1"/>
    <col min="2" max="2" width="13.8515625" style="0" bestFit="1" customWidth="1"/>
    <col min="3" max="4" width="15.00390625" style="0" bestFit="1" customWidth="1"/>
    <col min="5" max="5" width="12.8515625" style="0" bestFit="1" customWidth="1"/>
    <col min="6" max="6" width="7.8515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100</v>
      </c>
      <c r="B2" s="1"/>
      <c r="C2" s="1"/>
      <c r="D2" s="1"/>
      <c r="E2" s="1"/>
      <c r="F2" s="1"/>
    </row>
    <row r="3" spans="1:6" ht="12.75">
      <c r="A3" s="1" t="s">
        <v>101</v>
      </c>
      <c r="B3" s="1"/>
      <c r="C3" s="1"/>
      <c r="D3" s="1"/>
      <c r="E3" s="1"/>
      <c r="F3" s="1"/>
    </row>
    <row r="4" spans="1:6" ht="12.75">
      <c r="A4" s="1" t="s">
        <v>2</v>
      </c>
      <c r="B4" s="1"/>
      <c r="C4" s="1"/>
      <c r="D4" s="1"/>
      <c r="E4" s="1"/>
      <c r="F4" s="1"/>
    </row>
    <row r="7" spans="1:6" s="4" customFormat="1" ht="38.25">
      <c r="A7" s="2" t="s">
        <v>5</v>
      </c>
      <c r="B7" s="2" t="s">
        <v>6</v>
      </c>
      <c r="C7" s="3" t="s">
        <v>102</v>
      </c>
      <c r="D7" s="3" t="s">
        <v>103</v>
      </c>
      <c r="E7" s="2" t="s">
        <v>104</v>
      </c>
      <c r="F7" s="2" t="s">
        <v>105</v>
      </c>
    </row>
    <row r="8" spans="1:6" s="4" customFormat="1" ht="12.75">
      <c r="A8" s="83" t="s">
        <v>106</v>
      </c>
      <c r="B8" s="84">
        <v>7056.72</v>
      </c>
      <c r="C8" s="85">
        <v>453.6</v>
      </c>
      <c r="D8" s="85">
        <v>504</v>
      </c>
      <c r="E8" s="85">
        <f aca="true" t="shared" si="0" ref="E8:E19">+D8-C8</f>
        <v>50.39999999999998</v>
      </c>
      <c r="F8" s="86">
        <f aca="true" t="shared" si="1" ref="F8:F20">+E8/C8</f>
        <v>0.11111111111111105</v>
      </c>
    </row>
    <row r="9" spans="1:6" ht="12.75">
      <c r="A9" s="14" t="s">
        <v>107</v>
      </c>
      <c r="B9" s="84">
        <v>211602.3416</v>
      </c>
      <c r="C9" s="85">
        <v>21014</v>
      </c>
      <c r="D9" s="85">
        <v>23316</v>
      </c>
      <c r="E9" s="85">
        <f t="shared" si="0"/>
        <v>2302</v>
      </c>
      <c r="F9" s="86">
        <f t="shared" si="1"/>
        <v>0.1095460169410869</v>
      </c>
    </row>
    <row r="10" spans="1:6" ht="12.75">
      <c r="A10" s="14" t="s">
        <v>108</v>
      </c>
      <c r="B10" s="84">
        <v>301836.48</v>
      </c>
      <c r="C10" s="85">
        <v>24045</v>
      </c>
      <c r="D10" s="85">
        <v>26682</v>
      </c>
      <c r="E10" s="85">
        <f t="shared" si="0"/>
        <v>2637</v>
      </c>
      <c r="F10" s="86">
        <f t="shared" si="1"/>
        <v>0.10966936993137867</v>
      </c>
    </row>
    <row r="11" spans="1:6" ht="12.75">
      <c r="A11" s="21" t="s">
        <v>109</v>
      </c>
      <c r="B11" s="84">
        <v>0</v>
      </c>
      <c r="C11" s="85">
        <v>334444.27383359993</v>
      </c>
      <c r="D11" s="85">
        <v>376249.80806280003</v>
      </c>
      <c r="E11" s="85">
        <f t="shared" si="0"/>
        <v>41805.5342292001</v>
      </c>
      <c r="F11" s="86">
        <f t="shared" si="1"/>
        <v>0.12500000000000033</v>
      </c>
    </row>
    <row r="12" spans="1:6" ht="12.75">
      <c r="A12" s="14" t="s">
        <v>110</v>
      </c>
      <c r="B12" s="84">
        <v>3807497.2569000004</v>
      </c>
      <c r="C12" s="85">
        <v>323857</v>
      </c>
      <c r="D12" s="85">
        <v>359244</v>
      </c>
      <c r="E12" s="85">
        <f t="shared" si="0"/>
        <v>35387</v>
      </c>
      <c r="F12" s="86">
        <f t="shared" si="1"/>
        <v>0.10926736182944942</v>
      </c>
    </row>
    <row r="13" spans="1:6" ht="12.75">
      <c r="A13" s="14" t="s">
        <v>111</v>
      </c>
      <c r="B13" s="84">
        <v>45792661.733600006</v>
      </c>
      <c r="C13" s="85">
        <v>9150748</v>
      </c>
      <c r="D13" s="85">
        <v>10153541</v>
      </c>
      <c r="E13" s="85">
        <f t="shared" si="0"/>
        <v>1002793</v>
      </c>
      <c r="F13" s="86">
        <f t="shared" si="1"/>
        <v>0.10958590488996091</v>
      </c>
    </row>
    <row r="14" spans="1:6" ht="12.75">
      <c r="A14" s="21" t="s">
        <v>112</v>
      </c>
      <c r="B14" s="84">
        <v>16064011.057900002</v>
      </c>
      <c r="C14" s="85">
        <v>935533</v>
      </c>
      <c r="D14" s="85">
        <v>1038090</v>
      </c>
      <c r="E14" s="85">
        <f t="shared" si="0"/>
        <v>102557</v>
      </c>
      <c r="F14" s="86">
        <f t="shared" si="1"/>
        <v>0.10962413939433456</v>
      </c>
    </row>
    <row r="15" spans="1:6" ht="12.75">
      <c r="A15" s="21" t="s">
        <v>113</v>
      </c>
      <c r="B15" s="84">
        <v>4274893.09</v>
      </c>
      <c r="C15" s="85">
        <v>967433</v>
      </c>
      <c r="D15" s="85">
        <v>1073734</v>
      </c>
      <c r="E15" s="85">
        <f t="shared" si="0"/>
        <v>106301</v>
      </c>
      <c r="F15" s="86">
        <f t="shared" si="1"/>
        <v>0.10987944384779101</v>
      </c>
    </row>
    <row r="16" spans="1:6" ht="12.75">
      <c r="A16" s="21" t="s">
        <v>114</v>
      </c>
      <c r="B16" s="84">
        <v>10032757.8703</v>
      </c>
      <c r="C16" s="85">
        <v>769085.5658950824</v>
      </c>
      <c r="D16" s="85">
        <v>853488.9620800001</v>
      </c>
      <c r="E16" s="85">
        <f t="shared" si="0"/>
        <v>84403.39618491766</v>
      </c>
      <c r="F16" s="86">
        <f t="shared" si="1"/>
        <v>0.10974513100721987</v>
      </c>
    </row>
    <row r="17" spans="1:6" ht="12.75">
      <c r="A17" s="21" t="s">
        <v>115</v>
      </c>
      <c r="B17" s="84">
        <v>1936225.0493</v>
      </c>
      <c r="C17" s="85">
        <v>312831</v>
      </c>
      <c r="D17" s="85">
        <v>347165</v>
      </c>
      <c r="E17" s="85">
        <f t="shared" si="0"/>
        <v>34334</v>
      </c>
      <c r="F17" s="86">
        <f t="shared" si="1"/>
        <v>0.10975255009893521</v>
      </c>
    </row>
    <row r="18" spans="1:6" ht="12.75">
      <c r="A18" s="21" t="s">
        <v>116</v>
      </c>
      <c r="B18" s="84">
        <v>0</v>
      </c>
      <c r="C18" s="85">
        <v>30645</v>
      </c>
      <c r="D18" s="85">
        <v>33941</v>
      </c>
      <c r="E18" s="85">
        <f t="shared" si="0"/>
        <v>3296</v>
      </c>
      <c r="F18" s="86">
        <f t="shared" si="1"/>
        <v>0.10755425028552781</v>
      </c>
    </row>
    <row r="19" spans="1:6" ht="12.75">
      <c r="A19" t="s">
        <v>117</v>
      </c>
      <c r="B19" s="84">
        <v>0</v>
      </c>
      <c r="C19" s="85">
        <v>18231</v>
      </c>
      <c r="D19" s="85">
        <v>20220</v>
      </c>
      <c r="E19" s="85">
        <f t="shared" si="0"/>
        <v>1989</v>
      </c>
      <c r="F19" s="86">
        <f t="shared" si="1"/>
        <v>0.10909988481158467</v>
      </c>
    </row>
    <row r="20" spans="2:6" ht="12.75">
      <c r="B20" s="87">
        <f>SUM(B8:B19)</f>
        <v>82428541.5996</v>
      </c>
      <c r="C20" s="88">
        <f>SUM(C8:C19)</f>
        <v>12888320.439728683</v>
      </c>
      <c r="D20" s="88">
        <f>SUM(D8:D19)</f>
        <v>14306175.7701428</v>
      </c>
      <c r="E20" s="88">
        <f>SUM(E8:E19)</f>
        <v>1417855.3304141178</v>
      </c>
      <c r="F20" s="89">
        <f t="shared" si="1"/>
        <v>0.11001086891380593</v>
      </c>
    </row>
    <row r="21" spans="2:6" ht="12.75">
      <c r="B21" s="90"/>
      <c r="D21" s="91"/>
      <c r="E21" s="91"/>
      <c r="F21" s="86"/>
    </row>
    <row r="23" spans="2:3" ht="12.75">
      <c r="B23" s="57"/>
      <c r="C23" s="57"/>
    </row>
  </sheetData>
  <printOptions horizontalCentered="1"/>
  <pageMargins left="0.75" right="0.75" top="1" bottom="1" header="1.01" footer="0.5"/>
  <pageSetup horizontalDpi="600" verticalDpi="600" orientation="landscape" r:id="rId3"/>
  <headerFooter alignWithMargins="0">
    <oddHeader>&amp;RExhibit No. ___(JAH-23)
Page &amp;P of &amp;N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4" sqref="G14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8.7109375" style="0" bestFit="1" customWidth="1"/>
    <col min="10" max="10" width="5.281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8" ht="13.5" thickBot="1">
      <c r="A10" s="21" t="s">
        <v>72</v>
      </c>
      <c r="B10" s="34">
        <v>7644104</v>
      </c>
      <c r="C10" s="34">
        <v>33973.64867950827</v>
      </c>
      <c r="D10" s="34">
        <f>+C10+B10</f>
        <v>7678077.648679508</v>
      </c>
      <c r="E10" s="55">
        <v>0.03514</v>
      </c>
      <c r="F10" s="24">
        <f>+E10*D10</f>
        <v>269807.6485745979</v>
      </c>
      <c r="G10" s="55">
        <f>+E10</f>
        <v>0.03514</v>
      </c>
      <c r="H10" s="24">
        <f>+G10*D10</f>
        <v>269807.6485745979</v>
      </c>
    </row>
    <row r="11" spans="2:4" ht="13.5" thickTop="1">
      <c r="B11" s="58"/>
      <c r="C11" s="58"/>
      <c r="D11" s="58"/>
    </row>
    <row r="12" spans="1:8" ht="13.5" thickBot="1">
      <c r="A12" s="21" t="s">
        <v>75</v>
      </c>
      <c r="B12" s="34">
        <v>15387.068571428572</v>
      </c>
      <c r="C12" s="34"/>
      <c r="D12" s="34">
        <f>+C12+B12</f>
        <v>15387.068571428572</v>
      </c>
      <c r="E12" s="50">
        <v>5.25</v>
      </c>
      <c r="F12" s="24">
        <f>+E12*D12</f>
        <v>80782.11</v>
      </c>
      <c r="G12" s="50">
        <f>+E12</f>
        <v>5.25</v>
      </c>
      <c r="H12" s="24">
        <f>+G12*D12</f>
        <v>80782.11</v>
      </c>
    </row>
    <row r="13" spans="2:8" ht="13.5" thickTop="1">
      <c r="B13" s="18"/>
      <c r="C13" s="18"/>
      <c r="D13" s="18"/>
      <c r="F13" s="19"/>
      <c r="H13" s="19"/>
    </row>
    <row r="14" spans="1:8" ht="13.5" thickBot="1">
      <c r="A14" s="21" t="s">
        <v>76</v>
      </c>
      <c r="B14" s="92">
        <v>2156640</v>
      </c>
      <c r="C14" s="92"/>
      <c r="D14" s="34">
        <f>+C14+B14</f>
        <v>2156640</v>
      </c>
      <c r="E14" s="75">
        <v>0.00025</v>
      </c>
      <c r="F14" s="24">
        <f>+E14*D14</f>
        <v>539.16</v>
      </c>
      <c r="G14" s="75">
        <f>+E14</f>
        <v>0.00025</v>
      </c>
      <c r="H14" s="24">
        <f>+G14*D14</f>
        <v>539.16</v>
      </c>
    </row>
    <row r="15" spans="2:4" ht="13.5" thickTop="1">
      <c r="B15" s="58"/>
      <c r="C15" s="58"/>
      <c r="D15" s="58"/>
    </row>
    <row r="16" spans="1:8" ht="13.5" thickBot="1">
      <c r="A16" s="21" t="s">
        <v>118</v>
      </c>
      <c r="B16" s="58"/>
      <c r="C16" s="58"/>
      <c r="D16" s="58"/>
      <c r="F16" s="24">
        <v>106313.76268897954</v>
      </c>
      <c r="H16" s="24">
        <f>+F16</f>
        <v>106313.76268897954</v>
      </c>
    </row>
    <row r="17" spans="1:8" ht="14.25" thickBot="1" thickTop="1">
      <c r="A17" s="21" t="s">
        <v>119</v>
      </c>
      <c r="B17" s="58"/>
      <c r="C17" s="58"/>
      <c r="D17" s="58"/>
      <c r="H17" s="24">
        <f>+F19*'Transportation Special Contract'!D24</f>
        <v>33950.100622525504</v>
      </c>
    </row>
    <row r="18" spans="2:4" ht="13.5" thickTop="1">
      <c r="B18" s="58"/>
      <c r="C18" s="58"/>
      <c r="D18" s="58"/>
    </row>
    <row r="19" spans="1:10" ht="13.5" thickBot="1">
      <c r="A19" t="s">
        <v>61</v>
      </c>
      <c r="F19" s="59">
        <f>SUM(F14,F12,F10,F16)</f>
        <v>457442.6812635774</v>
      </c>
      <c r="H19" s="59">
        <f>SUM(H10,H12,H14,H16:H17)</f>
        <v>491392.7818861029</v>
      </c>
      <c r="I19" s="59">
        <f>+H19-F19</f>
        <v>33950.1006225255</v>
      </c>
      <c r="J19" s="60">
        <f>+I19/F19</f>
        <v>0.0742171686488597</v>
      </c>
    </row>
    <row r="20" ht="13.5" thickTop="1"/>
    <row r="21" ht="12.75">
      <c r="F21" s="33"/>
    </row>
    <row r="22" spans="4:9" ht="12.75">
      <c r="D22" s="58"/>
      <c r="H22" s="33"/>
      <c r="I22" s="55"/>
    </row>
    <row r="23" spans="4:9" ht="12.75">
      <c r="D23" s="58"/>
      <c r="H23" s="33"/>
      <c r="I23" s="55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14" sqref="G14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120</v>
      </c>
      <c r="B4" s="1"/>
      <c r="C4" s="1"/>
      <c r="D4" s="1"/>
      <c r="E4" s="1"/>
      <c r="F4" s="1"/>
      <c r="G4" s="1"/>
      <c r="H4" s="1"/>
    </row>
    <row r="5" spans="1:8" ht="12.75">
      <c r="A5" s="1" t="s">
        <v>121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10" ht="12.75">
      <c r="A10" s="93" t="s">
        <v>122</v>
      </c>
      <c r="B10" s="43"/>
      <c r="C10" s="66"/>
      <c r="D10" s="66"/>
      <c r="E10" s="66"/>
      <c r="F10" s="66"/>
      <c r="G10" s="66"/>
      <c r="H10" s="66"/>
      <c r="I10" s="66"/>
      <c r="J10" s="66"/>
    </row>
    <row r="11" spans="1:8" ht="12.75">
      <c r="A11" s="9" t="s">
        <v>6</v>
      </c>
      <c r="B11" s="58">
        <v>115803576</v>
      </c>
      <c r="C11" s="82"/>
      <c r="D11" s="19"/>
      <c r="E11" s="51"/>
      <c r="F11" s="19"/>
      <c r="G11" s="77"/>
      <c r="H11" s="56"/>
    </row>
    <row r="12" spans="1:8" ht="12.75">
      <c r="A12" s="9" t="s">
        <v>123</v>
      </c>
      <c r="B12" s="76">
        <v>24</v>
      </c>
      <c r="C12" s="50">
        <v>709</v>
      </c>
      <c r="D12" s="19">
        <f>+C12*B12</f>
        <v>17016</v>
      </c>
      <c r="E12" s="71">
        <f>+'Transportation Sch 449 and 459'!$D$25</f>
        <v>709</v>
      </c>
      <c r="F12" s="19">
        <f>+E12*B12</f>
        <v>17016</v>
      </c>
      <c r="G12" s="77">
        <f>+F12-D12</f>
        <v>0</v>
      </c>
      <c r="H12" s="56">
        <f>+G12/D12</f>
        <v>0</v>
      </c>
    </row>
    <row r="13" spans="1:8" ht="12.75">
      <c r="A13" s="9" t="s">
        <v>124</v>
      </c>
      <c r="B13" s="127">
        <v>216056</v>
      </c>
      <c r="C13" s="82">
        <v>4</v>
      </c>
      <c r="D13" s="19">
        <f>+C13*B13</f>
        <v>864224</v>
      </c>
      <c r="E13" s="51">
        <f>+'Transportation Sch 449 and 459'!$D$34</f>
        <v>4.11</v>
      </c>
      <c r="F13" s="19">
        <f>+E13*B13</f>
        <v>887990.16</v>
      </c>
      <c r="G13" s="77">
        <f>+F13-D13</f>
        <v>23766.160000000033</v>
      </c>
      <c r="H13" s="56">
        <f>+G13/D13</f>
        <v>0.02750000000000004</v>
      </c>
    </row>
    <row r="14" spans="1:8" ht="13.5" thickBot="1">
      <c r="A14" s="94" t="s">
        <v>125</v>
      </c>
      <c r="D14" s="59">
        <f>SUM(D12:D13)</f>
        <v>881240</v>
      </c>
      <c r="F14" s="59">
        <f>SUM(F12:F13)</f>
        <v>905006.16</v>
      </c>
      <c r="G14" s="59">
        <f>SUM(G12:G13)</f>
        <v>23766.160000000033</v>
      </c>
      <c r="H14" s="60">
        <f>+G14/D14</f>
        <v>0.026968998229767182</v>
      </c>
    </row>
    <row r="15" ht="13.5" thickTop="1">
      <c r="D15" s="33"/>
    </row>
    <row r="16" spans="1:8" ht="12.75">
      <c r="A16" s="93" t="s">
        <v>126</v>
      </c>
      <c r="B16" s="43"/>
      <c r="C16" s="66"/>
      <c r="D16" s="66"/>
      <c r="E16" s="66"/>
      <c r="F16" s="66"/>
      <c r="G16" s="66"/>
      <c r="H16" s="66"/>
    </row>
    <row r="17" spans="1:8" ht="12.75">
      <c r="A17" s="9" t="s">
        <v>6</v>
      </c>
      <c r="B17" s="58">
        <v>1572183908</v>
      </c>
      <c r="C17" s="82"/>
      <c r="D17" s="19"/>
      <c r="E17" s="51"/>
      <c r="F17" s="19"/>
      <c r="G17" s="77"/>
      <c r="H17" s="56"/>
    </row>
    <row r="18" spans="1:8" ht="12.75">
      <c r="A18" s="9" t="s">
        <v>123</v>
      </c>
      <c r="B18" s="76">
        <v>168</v>
      </c>
      <c r="C18" s="50">
        <v>709</v>
      </c>
      <c r="D18" s="19">
        <f>+C18*B18</f>
        <v>119112</v>
      </c>
      <c r="E18" s="71">
        <f>+'Transportation Sch 449 and 459'!$E$25</f>
        <v>709</v>
      </c>
      <c r="F18" s="19">
        <f>+E18*B18</f>
        <v>119112</v>
      </c>
      <c r="G18" s="77">
        <f>+F18-D18</f>
        <v>0</v>
      </c>
      <c r="H18" s="56">
        <f>+G18/D18</f>
        <v>0</v>
      </c>
    </row>
    <row r="19" spans="1:8" ht="12.75">
      <c r="A19" s="9" t="s">
        <v>124</v>
      </c>
      <c r="B19" s="127">
        <v>2865370</v>
      </c>
      <c r="C19" s="82">
        <v>1.53</v>
      </c>
      <c r="D19" s="19">
        <f>+C19*B19</f>
        <v>4384016.1</v>
      </c>
      <c r="E19" s="51">
        <f>+'Transportation Sch 449 and 459'!$E$34</f>
        <v>1.59</v>
      </c>
      <c r="F19" s="19">
        <f>+E19*B19</f>
        <v>4555938.3</v>
      </c>
      <c r="G19" s="77">
        <f>+F19-D19</f>
        <v>171922.2000000002</v>
      </c>
      <c r="H19" s="56">
        <f>+G19/D19</f>
        <v>0.03921568627450985</v>
      </c>
    </row>
    <row r="20" spans="1:8" ht="13.5" thickBot="1">
      <c r="A20" s="94" t="s">
        <v>127</v>
      </c>
      <c r="D20" s="59">
        <f>SUM(D18:D19)</f>
        <v>4503128.1</v>
      </c>
      <c r="F20" s="59">
        <f>SUM(F18:F19)</f>
        <v>4675050.3</v>
      </c>
      <c r="G20" s="59">
        <f>SUM(G18:G19)</f>
        <v>171922.2000000002</v>
      </c>
      <c r="H20" s="60">
        <f>+G20/D20</f>
        <v>0.038178394258870894</v>
      </c>
    </row>
    <row r="21" ht="13.5" thickTop="1"/>
    <row r="22" spans="1:8" ht="13.5" thickBot="1">
      <c r="A22" t="s">
        <v>128</v>
      </c>
      <c r="D22" s="59">
        <f>+D20+D14</f>
        <v>5384368.1</v>
      </c>
      <c r="F22" s="59">
        <f>+F20+F14</f>
        <v>5580056.46</v>
      </c>
      <c r="G22" s="59">
        <f>+G20+G14</f>
        <v>195688.36000000022</v>
      </c>
      <c r="H22" s="60">
        <f>+G22/D22</f>
        <v>0.0363437930627366</v>
      </c>
    </row>
    <row r="23" ht="13.5" thickTop="1">
      <c r="B23" s="58"/>
    </row>
    <row r="24" ht="12.75">
      <c r="D24" s="33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4" sqref="G14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129</v>
      </c>
      <c r="B4" s="1"/>
      <c r="C4" s="1"/>
      <c r="D4" s="1"/>
      <c r="E4" s="1"/>
      <c r="F4" s="1"/>
      <c r="G4" s="1"/>
      <c r="H4" s="1"/>
    </row>
    <row r="5" spans="1:8" ht="12.75">
      <c r="A5" s="1" t="s">
        <v>130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8" ht="12.75">
      <c r="A10" s="93" t="s">
        <v>126</v>
      </c>
      <c r="B10" s="43"/>
      <c r="C10" s="66"/>
      <c r="D10" s="66"/>
      <c r="E10" s="66"/>
      <c r="F10" s="66"/>
      <c r="G10" s="66"/>
      <c r="H10" s="66"/>
    </row>
    <row r="11" spans="1:8" ht="12.75">
      <c r="A11" s="9" t="s">
        <v>6</v>
      </c>
      <c r="B11" s="58">
        <v>357930997</v>
      </c>
      <c r="C11" s="82"/>
      <c r="D11" s="19"/>
      <c r="E11" s="51"/>
      <c r="F11" s="19"/>
      <c r="G11" s="77"/>
      <c r="H11" s="56"/>
    </row>
    <row r="12" spans="1:8" ht="12.75">
      <c r="A12" s="9" t="s">
        <v>123</v>
      </c>
      <c r="B12" s="76">
        <v>60</v>
      </c>
      <c r="C12" s="50">
        <v>709</v>
      </c>
      <c r="D12" s="19">
        <f>+C12*B12</f>
        <v>42540</v>
      </c>
      <c r="E12" s="71">
        <f>+'Transportation Sch 449 and 459'!$F$25</f>
        <v>709</v>
      </c>
      <c r="F12" s="19">
        <f>+E12*B12</f>
        <v>42540</v>
      </c>
      <c r="G12" s="77">
        <f>+F12-D12</f>
        <v>0</v>
      </c>
      <c r="H12" s="56">
        <f>+G12/D12</f>
        <v>0</v>
      </c>
    </row>
    <row r="13" spans="1:8" ht="12.75">
      <c r="A13" s="9" t="s">
        <v>131</v>
      </c>
      <c r="B13" s="54">
        <v>622292</v>
      </c>
      <c r="C13" s="82">
        <v>1.53</v>
      </c>
      <c r="D13" s="19">
        <f>+C13*B13</f>
        <v>952106.76</v>
      </c>
      <c r="E13" s="51">
        <f>+'Transportation Sch 449 and 459'!$F$34</f>
        <v>1.59</v>
      </c>
      <c r="F13" s="19">
        <f>+E13*B13</f>
        <v>989444.28</v>
      </c>
      <c r="G13" s="77">
        <f>+F13-D13</f>
        <v>37337.52000000002</v>
      </c>
      <c r="H13" s="56">
        <f>+G13/D13</f>
        <v>0.039215686274509824</v>
      </c>
    </row>
    <row r="14" spans="1:8" ht="13.5" thickBot="1">
      <c r="A14" s="94" t="s">
        <v>127</v>
      </c>
      <c r="D14" s="59">
        <f>SUM(D12:D13)</f>
        <v>994646.76</v>
      </c>
      <c r="F14" s="59">
        <f>SUM(F12:F13)</f>
        <v>1031984.28</v>
      </c>
      <c r="G14" s="59">
        <f>SUM(G12:G13)</f>
        <v>37337.52000000002</v>
      </c>
      <c r="H14" s="60">
        <f>+G14/D14</f>
        <v>0.03753847245227041</v>
      </c>
    </row>
    <row r="15" ht="13.5" thickTop="1"/>
    <row r="16" spans="1:8" ht="13.5" thickBot="1">
      <c r="A16" t="s">
        <v>128</v>
      </c>
      <c r="D16" s="59">
        <f>+D14</f>
        <v>994646.76</v>
      </c>
      <c r="F16" s="59">
        <f>+F14</f>
        <v>1031984.28</v>
      </c>
      <c r="G16" s="59">
        <f>+G14</f>
        <v>37337.52000000002</v>
      </c>
      <c r="H16" s="60">
        <f>+G16/D16</f>
        <v>0.03753847245227041</v>
      </c>
    </row>
    <row r="17" ht="13.5" thickTop="1">
      <c r="B17" s="58"/>
    </row>
    <row r="18" ht="12.75">
      <c r="D18" s="33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4" sqref="G14"/>
    </sheetView>
  </sheetViews>
  <sheetFormatPr defaultColWidth="9.140625" defaultRowHeight="12.75"/>
  <cols>
    <col min="1" max="1" width="38.57421875" style="0" customWidth="1"/>
    <col min="2" max="2" width="14.00390625" style="0" bestFit="1" customWidth="1"/>
    <col min="3" max="3" width="10.7109375" style="0" bestFit="1" customWidth="1"/>
    <col min="4" max="4" width="15.00390625" style="0" bestFit="1" customWidth="1"/>
    <col min="5" max="5" width="10.7109375" style="0" bestFit="1" customWidth="1"/>
    <col min="6" max="6" width="13.421875" style="0" bestFit="1" customWidth="1"/>
    <col min="7" max="7" width="9.7109375" style="0" bestFit="1" customWidth="1"/>
    <col min="8" max="8" width="7.00390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132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7" spans="2:8" ht="12.75">
      <c r="B7" s="39"/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2:8" ht="12.75">
      <c r="B8" s="43"/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 t="s">
        <v>48</v>
      </c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6" ht="13.5" thickBot="1">
      <c r="A10" s="21" t="s">
        <v>72</v>
      </c>
      <c r="B10" s="34">
        <v>128379640</v>
      </c>
      <c r="C10" s="55"/>
      <c r="D10" s="24">
        <v>909678.36</v>
      </c>
      <c r="E10" s="55"/>
      <c r="F10" s="24">
        <f>+D10</f>
        <v>909678.36</v>
      </c>
    </row>
    <row r="11" ht="13.5" thickTop="1">
      <c r="B11" s="58"/>
    </row>
    <row r="12" spans="1:6" ht="13.5" thickBot="1">
      <c r="A12" s="21" t="s">
        <v>118</v>
      </c>
      <c r="B12" s="58"/>
      <c r="D12" s="24">
        <v>429988.1688594201</v>
      </c>
      <c r="F12" s="24">
        <f>+D12</f>
        <v>429988.1688594201</v>
      </c>
    </row>
    <row r="13" spans="1:6" ht="14.25" thickBot="1" thickTop="1">
      <c r="A13" s="21" t="s">
        <v>119</v>
      </c>
      <c r="B13" s="58"/>
      <c r="F13" s="24">
        <f>+D24*D15</f>
        <v>99426.25670559208</v>
      </c>
    </row>
    <row r="14" ht="13.5" thickTop="1">
      <c r="B14" s="58"/>
    </row>
    <row r="15" spans="1:8" ht="13.5" thickBot="1">
      <c r="A15" t="s">
        <v>61</v>
      </c>
      <c r="D15" s="59">
        <f>SUM(D12,D10)</f>
        <v>1339666.5288594202</v>
      </c>
      <c r="F15" s="59">
        <f>SUM(F10,F12:F13)</f>
        <v>1439092.7855650124</v>
      </c>
      <c r="G15" s="59">
        <f>+F15-D15</f>
        <v>99426.25670559215</v>
      </c>
      <c r="H15" s="60">
        <f>+G15/D15</f>
        <v>0.07421716864885977</v>
      </c>
    </row>
    <row r="16" ht="13.5" thickTop="1"/>
    <row r="17" ht="12.75">
      <c r="D17" s="33"/>
    </row>
    <row r="18" spans="2:7" ht="12.75">
      <c r="B18" s="58"/>
      <c r="F18" s="33"/>
      <c r="G18" s="55"/>
    </row>
    <row r="19" spans="2:7" ht="12.75">
      <c r="B19" s="58"/>
      <c r="F19" s="33"/>
      <c r="G19" s="55"/>
    </row>
    <row r="20" spans="1:4" ht="12.75">
      <c r="A20" s="21" t="s">
        <v>133</v>
      </c>
      <c r="D20" s="33">
        <f>+'Small Firm Resale'!F19</f>
        <v>457442.6812635774</v>
      </c>
    </row>
    <row r="21" spans="1:4" ht="12.75">
      <c r="A21" s="21" t="s">
        <v>134</v>
      </c>
      <c r="D21" s="33">
        <f>+D20+D15</f>
        <v>1797109.2101229976</v>
      </c>
    </row>
    <row r="22" spans="1:4" ht="12.75">
      <c r="A22" s="21"/>
      <c r="D22" s="127"/>
    </row>
    <row r="23" spans="1:4" ht="12.75">
      <c r="A23" t="s">
        <v>135</v>
      </c>
      <c r="D23" s="119">
        <v>133376.3573281176</v>
      </c>
    </row>
    <row r="24" spans="1:4" ht="12.75">
      <c r="A24" s="14" t="s">
        <v>12</v>
      </c>
      <c r="D24" s="134">
        <f>+D23/D21</f>
        <v>0.07421716864885972</v>
      </c>
    </row>
    <row r="26" ht="12.75">
      <c r="D26" s="33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34">
      <selection activeCell="G14" sqref="G14"/>
    </sheetView>
  </sheetViews>
  <sheetFormatPr defaultColWidth="9.140625" defaultRowHeight="12.75"/>
  <cols>
    <col min="1" max="1" width="4.57421875" style="135" bestFit="1" customWidth="1"/>
    <col min="2" max="2" width="39.00390625" style="135" bestFit="1" customWidth="1"/>
    <col min="3" max="3" width="20.57421875" style="135" bestFit="1" customWidth="1"/>
    <col min="4" max="4" width="13.8515625" style="135" bestFit="1" customWidth="1"/>
    <col min="5" max="5" width="16.421875" style="135" customWidth="1"/>
    <col min="6" max="6" width="15.421875" style="135" bestFit="1" customWidth="1"/>
    <col min="7" max="7" width="16.7109375" style="135" bestFit="1" customWidth="1"/>
    <col min="8" max="8" width="13.8515625" style="135" bestFit="1" customWidth="1"/>
    <col min="9" max="9" width="14.140625" style="135" customWidth="1"/>
    <col min="10" max="10" width="13.28125" style="135" bestFit="1" customWidth="1"/>
    <col min="11" max="11" width="11.57421875" style="135" bestFit="1" customWidth="1"/>
    <col min="12" max="12" width="12.8515625" style="135" bestFit="1" customWidth="1"/>
    <col min="13" max="13" width="8.00390625" style="135" bestFit="1" customWidth="1"/>
    <col min="14" max="14" width="12.57421875" style="135" bestFit="1" customWidth="1"/>
    <col min="15" max="16384" width="9.140625" style="135" customWidth="1"/>
  </cols>
  <sheetData>
    <row r="1" spans="2:12" ht="12.75">
      <c r="B1" s="136" t="s">
        <v>0</v>
      </c>
      <c r="C1" s="136"/>
      <c r="D1" s="136"/>
      <c r="E1" s="136"/>
      <c r="F1" s="136"/>
      <c r="H1" s="136"/>
      <c r="I1" s="136"/>
      <c r="J1" s="136"/>
      <c r="K1" s="136" t="s">
        <v>136</v>
      </c>
      <c r="L1" s="136"/>
    </row>
    <row r="2" spans="2:12" ht="12.75">
      <c r="B2" s="136" t="s">
        <v>137</v>
      </c>
      <c r="C2" s="136"/>
      <c r="D2" s="136"/>
      <c r="E2" s="136"/>
      <c r="F2" s="136"/>
      <c r="H2" s="136"/>
      <c r="I2" s="136"/>
      <c r="J2" s="136"/>
      <c r="K2" s="136" t="s">
        <v>136</v>
      </c>
      <c r="L2" s="136"/>
    </row>
    <row r="3" spans="2:12" ht="12.75">
      <c r="B3" s="136" t="s">
        <v>138</v>
      </c>
      <c r="C3" s="136"/>
      <c r="D3" s="136"/>
      <c r="E3" s="136"/>
      <c r="F3" s="136"/>
      <c r="H3" s="136"/>
      <c r="I3" s="136"/>
      <c r="J3" s="136"/>
      <c r="K3" s="136" t="s">
        <v>136</v>
      </c>
      <c r="L3" s="136"/>
    </row>
    <row r="5" spans="1:5" s="139" customFormat="1" ht="25.5">
      <c r="A5" s="137" t="s">
        <v>139</v>
      </c>
      <c r="B5" s="137"/>
      <c r="C5" s="138" t="s">
        <v>48</v>
      </c>
      <c r="D5" s="138" t="s">
        <v>140</v>
      </c>
      <c r="E5" s="137"/>
    </row>
    <row r="6" spans="1:2" ht="12.75">
      <c r="A6" s="140">
        <v>1</v>
      </c>
      <c r="B6" s="141" t="s">
        <v>141</v>
      </c>
    </row>
    <row r="7" spans="1:3" ht="12.75">
      <c r="A7" s="140">
        <f aca="true" t="shared" si="0" ref="A7:A38">+A6+1</f>
        <v>2</v>
      </c>
      <c r="B7" s="142" t="s">
        <v>142</v>
      </c>
      <c r="C7" s="143">
        <f>+'Residential Sch 7'!$D$10</f>
        <v>10495072.07104895</v>
      </c>
    </row>
    <row r="8" spans="1:3" ht="12.75">
      <c r="A8" s="140">
        <f t="shared" si="0"/>
        <v>3</v>
      </c>
      <c r="B8" s="142" t="s">
        <v>143</v>
      </c>
      <c r="C8" s="143">
        <f>+'Residential Sch 7'!$D$11</f>
        <v>3216.4338235294113</v>
      </c>
    </row>
    <row r="9" spans="1:3" ht="13.5" thickBot="1">
      <c r="A9" s="140">
        <f t="shared" si="0"/>
        <v>4</v>
      </c>
      <c r="C9" s="144">
        <f>SUM(C7:C8)</f>
        <v>10498288.50487248</v>
      </c>
    </row>
    <row r="10" spans="1:3" ht="13.5" thickTop="1">
      <c r="A10" s="140">
        <f t="shared" si="0"/>
        <v>5</v>
      </c>
      <c r="C10" s="143"/>
    </row>
    <row r="11" spans="1:3" ht="12.75">
      <c r="A11" s="140">
        <f t="shared" si="0"/>
        <v>6</v>
      </c>
      <c r="B11" s="141" t="s">
        <v>144</v>
      </c>
      <c r="C11" s="143"/>
    </row>
    <row r="12" spans="1:5" ht="12.75">
      <c r="A12" s="140">
        <f t="shared" si="0"/>
        <v>7</v>
      </c>
      <c r="B12" s="142" t="s">
        <v>145</v>
      </c>
      <c r="C12" s="143">
        <f>SUM(D12:E12)</f>
        <v>5357297988.156485</v>
      </c>
      <c r="D12" s="143">
        <f>+'Residential Sch 7'!$C$14</f>
        <v>0</v>
      </c>
      <c r="E12" s="143">
        <f>+'Residential Sch 7'!$B$14</f>
        <v>5357297988.156485</v>
      </c>
    </row>
    <row r="13" spans="1:5" ht="12.75">
      <c r="A13" s="140">
        <f t="shared" si="0"/>
        <v>8</v>
      </c>
      <c r="B13" s="142" t="s">
        <v>146</v>
      </c>
      <c r="C13" s="143">
        <f>SUM(D13:E13)</f>
        <v>4399402669.265277</v>
      </c>
      <c r="D13" s="143">
        <f>+'Residential Sch 7'!$C$16</f>
        <v>86881239.42596033</v>
      </c>
      <c r="E13" s="143">
        <f>SUM('Residential Sch 7'!$B$15:$B$16)</f>
        <v>4312521429.839316</v>
      </c>
    </row>
    <row r="14" spans="1:5" ht="13.5" thickBot="1">
      <c r="A14" s="140">
        <f t="shared" si="0"/>
        <v>9</v>
      </c>
      <c r="C14" s="144">
        <f>SUM(C12:C13)</f>
        <v>9756700657.42176</v>
      </c>
      <c r="D14" s="144">
        <f>SUM(D12:D13)</f>
        <v>86881239.42596033</v>
      </c>
      <c r="E14" s="144">
        <f>SUM(E12:E13)</f>
        <v>9669819417.9958</v>
      </c>
    </row>
    <row r="15" spans="1:10" ht="13.5" thickTop="1">
      <c r="A15" s="140">
        <f t="shared" si="0"/>
        <v>10</v>
      </c>
      <c r="J15" s="145"/>
    </row>
    <row r="16" spans="1:5" ht="12.75">
      <c r="A16" s="140">
        <f t="shared" si="0"/>
        <v>11</v>
      </c>
      <c r="B16" s="146" t="s">
        <v>147</v>
      </c>
      <c r="C16" s="147"/>
      <c r="D16" s="147"/>
      <c r="E16" s="148"/>
    </row>
    <row r="17" spans="1:2" ht="12.75">
      <c r="A17" s="140">
        <f t="shared" si="0"/>
        <v>12</v>
      </c>
      <c r="B17" s="135" t="s">
        <v>148</v>
      </c>
    </row>
    <row r="18" spans="1:5" ht="12.75">
      <c r="A18" s="140">
        <f t="shared" si="0"/>
        <v>13</v>
      </c>
      <c r="B18" s="142" t="s">
        <v>142</v>
      </c>
      <c r="C18" s="149">
        <f>+'Residential Sch 7'!$E$10</f>
        <v>5.5</v>
      </c>
      <c r="D18" s="149"/>
      <c r="E18" s="149"/>
    </row>
    <row r="19" spans="1:5" ht="12.75">
      <c r="A19" s="140">
        <f t="shared" si="0"/>
        <v>14</v>
      </c>
      <c r="B19" s="142" t="s">
        <v>143</v>
      </c>
      <c r="C19" s="149">
        <f>+'Residential Sch 7'!$E$11</f>
        <v>13.6</v>
      </c>
      <c r="D19" s="149"/>
      <c r="E19" s="149"/>
    </row>
    <row r="20" ht="12.75">
      <c r="A20" s="140">
        <f t="shared" si="0"/>
        <v>15</v>
      </c>
    </row>
    <row r="21" spans="1:2" ht="12.75">
      <c r="A21" s="140">
        <f t="shared" si="0"/>
        <v>16</v>
      </c>
      <c r="B21" s="135" t="s">
        <v>149</v>
      </c>
    </row>
    <row r="22" spans="1:5" ht="12.75">
      <c r="A22" s="140">
        <f t="shared" si="0"/>
        <v>17</v>
      </c>
      <c r="B22" s="142" t="s">
        <v>145</v>
      </c>
      <c r="C22" s="150">
        <f>+'Residential Sch 7'!$E$14</f>
        <v>0.062727</v>
      </c>
      <c r="D22" s="150"/>
      <c r="E22" s="150"/>
    </row>
    <row r="23" spans="1:5" ht="12.75">
      <c r="A23" s="140">
        <f t="shared" si="0"/>
        <v>18</v>
      </c>
      <c r="B23" s="142" t="s">
        <v>146</v>
      </c>
      <c r="C23" s="150">
        <f>+'Residential Sch 7'!$E$16</f>
        <v>0.07914399999999999</v>
      </c>
      <c r="D23" s="150"/>
      <c r="E23" s="150"/>
    </row>
    <row r="24" spans="1:6" ht="12.75">
      <c r="A24" s="140">
        <f t="shared" si="0"/>
        <v>19</v>
      </c>
      <c r="B24" s="142" t="s">
        <v>60</v>
      </c>
      <c r="C24" s="150">
        <f>+'Residential Sch 7'!$E$19</f>
        <v>0.002336</v>
      </c>
      <c r="D24" s="150"/>
      <c r="E24" s="151" t="s">
        <v>150</v>
      </c>
      <c r="F24" s="152">
        <f>((C23+C24)-(C22+C24))/(C22+C24)</f>
        <v>0.25232466993529323</v>
      </c>
    </row>
    <row r="25" spans="1:2" ht="12.75">
      <c r="A25" s="140">
        <f t="shared" si="0"/>
        <v>20</v>
      </c>
      <c r="B25" s="141" t="s">
        <v>151</v>
      </c>
    </row>
    <row r="26" spans="1:3" ht="12.75">
      <c r="A26" s="140">
        <f t="shared" si="0"/>
        <v>21</v>
      </c>
      <c r="B26" s="142" t="s">
        <v>142</v>
      </c>
      <c r="C26" s="153">
        <f>+C18*C7</f>
        <v>57722896.39076923</v>
      </c>
    </row>
    <row r="27" spans="1:3" ht="12.75">
      <c r="A27" s="140">
        <f t="shared" si="0"/>
        <v>22</v>
      </c>
      <c r="B27" s="142" t="s">
        <v>143</v>
      </c>
      <c r="C27" s="153">
        <f>+C8*C19</f>
        <v>43743.49999999999</v>
      </c>
    </row>
    <row r="28" spans="1:3" ht="12.75">
      <c r="A28" s="140">
        <f t="shared" si="0"/>
        <v>23</v>
      </c>
      <c r="B28" s="154" t="s">
        <v>152</v>
      </c>
      <c r="C28" s="155">
        <f>SUM(C26:C27)</f>
        <v>57766639.89076923</v>
      </c>
    </row>
    <row r="29" spans="1:2" ht="12.75">
      <c r="A29" s="140">
        <f t="shared" si="0"/>
        <v>24</v>
      </c>
      <c r="B29" s="135" t="s">
        <v>153</v>
      </c>
    </row>
    <row r="30" spans="1:3" ht="12.75">
      <c r="A30" s="140">
        <f t="shared" si="0"/>
        <v>25</v>
      </c>
      <c r="B30" s="142" t="s">
        <v>145</v>
      </c>
      <c r="C30" s="153">
        <f>+C12*C22</f>
        <v>336047230.90309185</v>
      </c>
    </row>
    <row r="31" spans="1:3" ht="12.75">
      <c r="A31" s="140">
        <f t="shared" si="0"/>
        <v>26</v>
      </c>
      <c r="B31" s="142" t="s">
        <v>146</v>
      </c>
      <c r="C31" s="153">
        <f>+C13*C23</f>
        <v>348186324.85633105</v>
      </c>
    </row>
    <row r="32" spans="1:3" ht="12.75">
      <c r="A32" s="140">
        <f t="shared" si="0"/>
        <v>27</v>
      </c>
      <c r="B32" s="142" t="s">
        <v>60</v>
      </c>
      <c r="C32" s="153">
        <f>+C14*C24</f>
        <v>22791652.73573723</v>
      </c>
    </row>
    <row r="33" spans="1:3" ht="12.75">
      <c r="A33" s="140">
        <f t="shared" si="0"/>
        <v>28</v>
      </c>
      <c r="B33" s="156" t="s">
        <v>154</v>
      </c>
      <c r="C33" s="153">
        <f>SUM(C28:C32)</f>
        <v>764791848.3859293</v>
      </c>
    </row>
    <row r="34" ht="12.75">
      <c r="A34" s="140">
        <f t="shared" si="0"/>
        <v>29</v>
      </c>
    </row>
    <row r="35" spans="1:5" ht="12.75">
      <c r="A35" s="140">
        <f t="shared" si="0"/>
        <v>30</v>
      </c>
      <c r="B35" s="146" t="s">
        <v>155</v>
      </c>
      <c r="C35" s="147"/>
      <c r="D35" s="147"/>
      <c r="E35" s="148"/>
    </row>
    <row r="36" spans="1:5" ht="12.75">
      <c r="A36" s="140">
        <f t="shared" si="0"/>
        <v>31</v>
      </c>
      <c r="B36" s="157"/>
      <c r="C36" s="157"/>
      <c r="D36" s="157"/>
      <c r="E36" s="157"/>
    </row>
    <row r="37" spans="1:3" ht="12.75">
      <c r="A37" s="140">
        <f t="shared" si="0"/>
        <v>32</v>
      </c>
      <c r="B37" s="141" t="s">
        <v>144</v>
      </c>
      <c r="C37" s="143"/>
    </row>
    <row r="38" spans="1:5" ht="12.75">
      <c r="A38" s="140">
        <f t="shared" si="0"/>
        <v>33</v>
      </c>
      <c r="B38" s="154" t="s">
        <v>156</v>
      </c>
      <c r="C38" s="143">
        <f>SUM(D38:E38)</f>
        <v>943012109.44261</v>
      </c>
      <c r="D38" s="143">
        <f>+'Residential Sch 7'!$C$14</f>
        <v>0</v>
      </c>
      <c r="E38" s="143">
        <v>943012109.44261</v>
      </c>
    </row>
    <row r="39" spans="1:5" ht="12.75">
      <c r="A39" s="140">
        <f aca="true" t="shared" si="1" ref="A39:A69">+A38+1</f>
        <v>34</v>
      </c>
      <c r="B39" s="142" t="s">
        <v>157</v>
      </c>
      <c r="C39" s="143">
        <f>SUM(D39:E39)</f>
        <v>3456390559.8226666</v>
      </c>
      <c r="D39" s="143">
        <f>D13</f>
        <v>86881239.42596033</v>
      </c>
      <c r="E39" s="143">
        <v>3369509320.396706</v>
      </c>
    </row>
    <row r="40" spans="1:5" ht="13.5" thickBot="1">
      <c r="A40" s="140">
        <f t="shared" si="1"/>
        <v>35</v>
      </c>
      <c r="C40" s="144">
        <f>SUM(C38:C39)</f>
        <v>4399402669.265277</v>
      </c>
      <c r="D40" s="144">
        <f>SUM(D38:D39)</f>
        <v>86881239.42596033</v>
      </c>
      <c r="E40" s="144">
        <f>SUM(E38:E39)</f>
        <v>4312521429.839316</v>
      </c>
    </row>
    <row r="41" spans="1:5" ht="13.5" thickTop="1">
      <c r="A41" s="140">
        <f t="shared" si="1"/>
        <v>36</v>
      </c>
      <c r="B41" s="157"/>
      <c r="C41" s="157"/>
      <c r="D41" s="157"/>
      <c r="E41" s="157"/>
    </row>
    <row r="42" spans="1:5" ht="12.75">
      <c r="A42" s="140">
        <f t="shared" si="1"/>
        <v>37</v>
      </c>
      <c r="B42" s="157"/>
      <c r="C42" s="157"/>
      <c r="D42" s="157"/>
      <c r="E42" s="157"/>
    </row>
    <row r="43" spans="1:5" ht="12.75">
      <c r="A43" s="140">
        <f t="shared" si="1"/>
        <v>38</v>
      </c>
      <c r="B43" s="157"/>
      <c r="C43" s="157"/>
      <c r="D43" s="157"/>
      <c r="E43" s="157"/>
    </row>
    <row r="44" spans="1:5" ht="12.75">
      <c r="A44" s="140">
        <f t="shared" si="1"/>
        <v>39</v>
      </c>
      <c r="B44" s="158" t="s">
        <v>148</v>
      </c>
      <c r="C44" s="159"/>
      <c r="E44" s="157"/>
    </row>
    <row r="45" spans="1:6" ht="12.75">
      <c r="A45" s="140">
        <f t="shared" si="1"/>
        <v>40</v>
      </c>
      <c r="B45" s="160" t="s">
        <v>142</v>
      </c>
      <c r="C45" s="161">
        <f>ROUND('Basic Charge Worksheet'!$B$9,1)</f>
        <v>6.5</v>
      </c>
      <c r="D45" s="162"/>
      <c r="E45" s="156" t="s">
        <v>158</v>
      </c>
      <c r="F45" s="141"/>
    </row>
    <row r="46" spans="1:5" ht="12.75">
      <c r="A46" s="140">
        <f t="shared" si="1"/>
        <v>41</v>
      </c>
      <c r="B46" s="163" t="s">
        <v>143</v>
      </c>
      <c r="C46" s="164">
        <f>ROUND(C19/C18*C45,1)</f>
        <v>16.1</v>
      </c>
      <c r="D46" s="162"/>
      <c r="E46" s="141" t="s">
        <v>159</v>
      </c>
    </row>
    <row r="47" ht="12.75">
      <c r="A47" s="140">
        <f t="shared" si="1"/>
        <v>42</v>
      </c>
    </row>
    <row r="48" spans="1:6" ht="12.75">
      <c r="A48" s="140">
        <f t="shared" si="1"/>
        <v>43</v>
      </c>
      <c r="B48" s="141" t="s">
        <v>160</v>
      </c>
      <c r="C48" s="95">
        <v>72340396.96170604</v>
      </c>
      <c r="E48" s="141" t="s">
        <v>161</v>
      </c>
      <c r="F48" s="141"/>
    </row>
    <row r="49" spans="1:3" ht="12.75">
      <c r="A49" s="140">
        <f t="shared" si="1"/>
        <v>44</v>
      </c>
      <c r="B49" s="135" t="s">
        <v>162</v>
      </c>
      <c r="C49" s="95">
        <f>+C48+C33</f>
        <v>837132245.3476354</v>
      </c>
    </row>
    <row r="50" spans="1:3" ht="12.75">
      <c r="A50" s="140">
        <f t="shared" si="1"/>
        <v>45</v>
      </c>
      <c r="B50" s="141" t="s">
        <v>163</v>
      </c>
      <c r="C50" s="165">
        <f>+C48/C33</f>
        <v>0.09458834729263697</v>
      </c>
    </row>
    <row r="51" ht="12.75">
      <c r="A51" s="140">
        <f t="shared" si="1"/>
        <v>46</v>
      </c>
    </row>
    <row r="52" spans="1:2" ht="12.75">
      <c r="A52" s="140">
        <f t="shared" si="1"/>
        <v>47</v>
      </c>
      <c r="B52" s="141" t="s">
        <v>151</v>
      </c>
    </row>
    <row r="53" spans="1:3" ht="12.75">
      <c r="A53" s="140">
        <f t="shared" si="1"/>
        <v>48</v>
      </c>
      <c r="B53" s="142" t="s">
        <v>142</v>
      </c>
      <c r="C53" s="153">
        <f>+C45*C7</f>
        <v>68217968.46181817</v>
      </c>
    </row>
    <row r="54" spans="1:3" ht="12.75">
      <c r="A54" s="140">
        <f t="shared" si="1"/>
        <v>49</v>
      </c>
      <c r="B54" s="142" t="s">
        <v>143</v>
      </c>
      <c r="C54" s="153">
        <f>+C46*C8</f>
        <v>51784.584558823524</v>
      </c>
    </row>
    <row r="55" spans="1:3" ht="12.75">
      <c r="A55" s="140">
        <f t="shared" si="1"/>
        <v>50</v>
      </c>
      <c r="B55" s="154" t="s">
        <v>152</v>
      </c>
      <c r="C55" s="155">
        <f>SUM(C53:C54)</f>
        <v>68269753.046377</v>
      </c>
    </row>
    <row r="56" spans="1:3" ht="12.75">
      <c r="A56" s="140">
        <f t="shared" si="1"/>
        <v>51</v>
      </c>
      <c r="B56" s="154"/>
      <c r="C56" s="153"/>
    </row>
    <row r="57" spans="1:3" ht="12.75">
      <c r="A57" s="140">
        <f t="shared" si="1"/>
        <v>52</v>
      </c>
      <c r="B57" s="142" t="s">
        <v>164</v>
      </c>
      <c r="C57" s="153">
        <f>+C49-C55</f>
        <v>768862492.3012583</v>
      </c>
    </row>
    <row r="58" spans="1:3" ht="12.75">
      <c r="A58" s="140">
        <f t="shared" si="1"/>
        <v>53</v>
      </c>
      <c r="B58" s="142"/>
      <c r="C58" s="153"/>
    </row>
    <row r="59" spans="1:3" ht="12.75">
      <c r="A59" s="140">
        <f t="shared" si="1"/>
        <v>54</v>
      </c>
      <c r="B59" s="158" t="s">
        <v>149</v>
      </c>
      <c r="C59" s="159"/>
    </row>
    <row r="60" spans="1:8" ht="12.75">
      <c r="A60" s="140">
        <f t="shared" si="1"/>
        <v>55</v>
      </c>
      <c r="B60" s="166" t="s">
        <v>165</v>
      </c>
      <c r="C60" s="167">
        <f>ROUND(C22*(1.1)*(C57/SUM(C30:C32)),6)</f>
        <v>0.075034</v>
      </c>
      <c r="E60" s="156" t="s">
        <v>166</v>
      </c>
      <c r="H60" s="168"/>
    </row>
    <row r="61" spans="1:8" ht="12.75">
      <c r="A61" s="140">
        <f t="shared" si="1"/>
        <v>56</v>
      </c>
      <c r="B61" s="169" t="s">
        <v>167</v>
      </c>
      <c r="C61" s="170">
        <f>ROUND((C57-C60*(C12+C38))/C39,6)</f>
        <v>0.085675</v>
      </c>
      <c r="D61" s="165">
        <f>(C61-C60)/C60</f>
        <v>0.14181571021137082</v>
      </c>
      <c r="E61" s="156" t="s">
        <v>168</v>
      </c>
      <c r="H61" s="168"/>
    </row>
    <row r="62" ht="12.75">
      <c r="A62" s="140">
        <f t="shared" si="1"/>
        <v>57</v>
      </c>
    </row>
    <row r="63" spans="1:2" ht="12.75">
      <c r="A63" s="140">
        <f t="shared" si="1"/>
        <v>58</v>
      </c>
      <c r="B63" s="135" t="s">
        <v>153</v>
      </c>
    </row>
    <row r="64" spans="1:4" ht="12.75">
      <c r="A64" s="140">
        <f t="shared" si="1"/>
        <v>59</v>
      </c>
      <c r="B64" s="142" t="s">
        <v>169</v>
      </c>
      <c r="C64" s="95">
        <f>C60*(C12+C38)</f>
        <v>472737467.8632505</v>
      </c>
      <c r="D64" s="95">
        <f>SUM('Residential Sch 7'!$H$14:$H$15)</f>
        <v>472737467.8632505</v>
      </c>
    </row>
    <row r="65" spans="1:4" ht="12.75">
      <c r="A65" s="140">
        <f t="shared" si="1"/>
        <v>60</v>
      </c>
      <c r="B65" s="142" t="s">
        <v>157</v>
      </c>
      <c r="C65" s="95">
        <f>C61*C39</f>
        <v>296126261.21280694</v>
      </c>
      <c r="D65" s="150"/>
    </row>
    <row r="66" spans="1:4" ht="12.75">
      <c r="A66" s="140">
        <f t="shared" si="1"/>
        <v>61</v>
      </c>
      <c r="B66" s="154"/>
      <c r="D66" s="95"/>
    </row>
    <row r="67" spans="1:7" ht="12.75">
      <c r="A67" s="140">
        <f t="shared" si="1"/>
        <v>62</v>
      </c>
      <c r="B67" s="135" t="s">
        <v>170</v>
      </c>
      <c r="C67" s="153">
        <f>+C65+C64+C55</f>
        <v>837133482.1224344</v>
      </c>
      <c r="D67" s="95"/>
      <c r="G67" s="153"/>
    </row>
    <row r="68" spans="1:7" ht="12.75">
      <c r="A68" s="140">
        <f t="shared" si="1"/>
        <v>63</v>
      </c>
      <c r="B68" s="135" t="s">
        <v>171</v>
      </c>
      <c r="C68" s="153">
        <f>+C49-C67</f>
        <v>-1236.774798989296</v>
      </c>
      <c r="G68" s="153"/>
    </row>
    <row r="69" spans="1:7" ht="12.75">
      <c r="A69" s="140">
        <f t="shared" si="1"/>
        <v>64</v>
      </c>
      <c r="G69" s="153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71" r:id="rId1"/>
  <headerFooter alignWithMargins="0">
    <oddHeader>&amp;RExhibit No. ___(JAH-23)
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99" customWidth="1"/>
    <col min="2" max="2" width="40.00390625" style="99" bestFit="1" customWidth="1"/>
    <col min="3" max="3" width="21.00390625" style="99" bestFit="1" customWidth="1"/>
    <col min="4" max="5" width="14.8515625" style="99" customWidth="1"/>
    <col min="6" max="6" width="14.28125" style="99" customWidth="1"/>
    <col min="7" max="7" width="15.140625" style="99" bestFit="1" customWidth="1"/>
    <col min="8" max="8" width="14.7109375" style="99" bestFit="1" customWidth="1"/>
    <col min="9" max="9" width="15.8515625" style="99" bestFit="1" customWidth="1"/>
    <col min="10" max="10" width="13.57421875" style="99" bestFit="1" customWidth="1"/>
    <col min="11" max="11" width="12.28125" style="99" bestFit="1" customWidth="1"/>
    <col min="12" max="12" width="13.140625" style="99" bestFit="1" customWidth="1"/>
    <col min="13" max="16384" width="9.140625" style="99" customWidth="1"/>
  </cols>
  <sheetData>
    <row r="1" spans="2:9" ht="12.75">
      <c r="B1" s="171" t="s">
        <v>0</v>
      </c>
      <c r="C1" s="171"/>
      <c r="D1" s="171"/>
      <c r="E1" s="171"/>
      <c r="F1" s="171"/>
      <c r="G1" s="171"/>
      <c r="H1" s="172"/>
      <c r="I1" s="172"/>
    </row>
    <row r="2" spans="2:9" ht="12.75">
      <c r="B2" s="171" t="s">
        <v>137</v>
      </c>
      <c r="C2" s="171"/>
      <c r="D2" s="171"/>
      <c r="E2" s="171"/>
      <c r="F2" s="171"/>
      <c r="G2" s="171"/>
      <c r="H2" s="172"/>
      <c r="I2" s="172"/>
    </row>
    <row r="3" spans="2:9" ht="12.75">
      <c r="B3" s="171" t="s">
        <v>15</v>
      </c>
      <c r="C3" s="171"/>
      <c r="D3" s="171"/>
      <c r="E3" s="171"/>
      <c r="F3" s="171"/>
      <c r="G3" s="171"/>
      <c r="H3" s="172"/>
      <c r="I3" s="172"/>
    </row>
    <row r="4" spans="2:9" ht="12.75">
      <c r="B4" s="171" t="s">
        <v>63</v>
      </c>
      <c r="C4" s="171"/>
      <c r="D4" s="171"/>
      <c r="E4" s="171"/>
      <c r="F4" s="171"/>
      <c r="G4" s="171"/>
      <c r="H4" s="172"/>
      <c r="I4" s="172"/>
    </row>
    <row r="5" spans="8:9" ht="12.75">
      <c r="H5" s="172"/>
      <c r="I5" s="172"/>
    </row>
    <row r="6" spans="1:5" s="172" customFormat="1" ht="25.5">
      <c r="A6" s="173" t="s">
        <v>139</v>
      </c>
      <c r="B6" s="173"/>
      <c r="C6" s="138" t="s">
        <v>48</v>
      </c>
      <c r="D6" s="173" t="s">
        <v>172</v>
      </c>
      <c r="E6" s="173" t="s">
        <v>173</v>
      </c>
    </row>
    <row r="7" spans="1:2" ht="12.75">
      <c r="A7" s="174">
        <v>1</v>
      </c>
      <c r="B7" s="175" t="s">
        <v>141</v>
      </c>
    </row>
    <row r="8" spans="1:3" ht="12.75">
      <c r="A8" s="174">
        <f>+A7+1</f>
        <v>2</v>
      </c>
      <c r="B8" s="176" t="s">
        <v>142</v>
      </c>
      <c r="C8" s="97">
        <f>+'Secondary Sch 24'!$D$10</f>
        <v>954004.2297902098</v>
      </c>
    </row>
    <row r="9" spans="1:3" ht="12.75">
      <c r="A9" s="174">
        <f>+A8+1</f>
        <v>3</v>
      </c>
      <c r="B9" s="176" t="s">
        <v>143</v>
      </c>
      <c r="C9" s="97">
        <f>+'Secondary Sch 24'!$D$11</f>
        <v>351858.924304996</v>
      </c>
    </row>
    <row r="10" spans="1:3" ht="13.5" thickBot="1">
      <c r="A10" s="174">
        <f>+A9+1</f>
        <v>4</v>
      </c>
      <c r="C10" s="177">
        <f>SUM(C8:C9)</f>
        <v>1305863.1540952057</v>
      </c>
    </row>
    <row r="11" spans="1:5" ht="13.5" thickTop="1">
      <c r="A11" s="174">
        <f>+A10+1</f>
        <v>5</v>
      </c>
      <c r="B11" s="175" t="s">
        <v>144</v>
      </c>
      <c r="C11" s="97"/>
      <c r="D11" s="97"/>
      <c r="E11" s="97"/>
    </row>
    <row r="12" spans="1:5" ht="12.75">
      <c r="A12" s="174">
        <f>+A11+1</f>
        <v>6</v>
      </c>
      <c r="B12" s="178" t="s">
        <v>174</v>
      </c>
      <c r="C12" s="97">
        <f>SUM(D12:E12)</f>
        <v>2382776164.6929</v>
      </c>
      <c r="D12" s="97">
        <f>+'Secondary Sch 24'!$B$14</f>
        <v>1257189864.3315</v>
      </c>
      <c r="E12" s="97">
        <f>+'Secondary Sch 24'!$B$15</f>
        <v>1125586300.3614001</v>
      </c>
    </row>
    <row r="13" spans="1:5" ht="12.75">
      <c r="A13" s="174"/>
      <c r="B13" s="176" t="s">
        <v>175</v>
      </c>
      <c r="C13" s="97">
        <f>SUM(D13:E13)</f>
        <v>561941.5017706435</v>
      </c>
      <c r="D13" s="97">
        <f>+'Secondary Sch 24'!$C$14</f>
        <v>8390946.054473223</v>
      </c>
      <c r="E13" s="97">
        <f>+'Secondary Sch 24'!$C$15</f>
        <v>-7829004.55270258</v>
      </c>
    </row>
    <row r="14" spans="1:5" ht="13.5" thickBot="1">
      <c r="A14" s="174">
        <f>+A12+1</f>
        <v>7</v>
      </c>
      <c r="B14" s="99" t="s">
        <v>48</v>
      </c>
      <c r="C14" s="177">
        <f>SUM(C12:C13)</f>
        <v>2383338106.1946707</v>
      </c>
      <c r="D14" s="177">
        <f>SUM(D12:D13)</f>
        <v>1265580810.3859732</v>
      </c>
      <c r="E14" s="177">
        <f>SUM(E12:E13)</f>
        <v>1117757295.8086975</v>
      </c>
    </row>
    <row r="15" spans="1:12" ht="13.5" thickTop="1">
      <c r="A15" s="174">
        <f aca="true" t="shared" si="0" ref="A15:A39">+A14+1</f>
        <v>8</v>
      </c>
      <c r="C15" s="179"/>
      <c r="D15" s="179"/>
      <c r="E15" s="179"/>
      <c r="J15" s="179"/>
      <c r="K15" s="179"/>
      <c r="L15" s="179"/>
    </row>
    <row r="16" ht="12.75">
      <c r="A16" s="174">
        <f t="shared" si="0"/>
        <v>9</v>
      </c>
    </row>
    <row r="17" spans="1:5" ht="12.75">
      <c r="A17" s="174">
        <f t="shared" si="0"/>
        <v>10</v>
      </c>
      <c r="B17" s="180" t="str">
        <f>+'Residential Schedule 7'!B16</f>
        <v>Current Base Rates Effective 10-1-03</v>
      </c>
      <c r="C17" s="181"/>
      <c r="D17" s="181"/>
      <c r="E17" s="182"/>
    </row>
    <row r="18" spans="1:2" ht="12.75">
      <c r="A18" s="174">
        <f t="shared" si="0"/>
        <v>11</v>
      </c>
      <c r="B18" s="99" t="s">
        <v>148</v>
      </c>
    </row>
    <row r="19" spans="1:3" ht="12.75">
      <c r="A19" s="174">
        <f t="shared" si="0"/>
        <v>12</v>
      </c>
      <c r="B19" s="176" t="s">
        <v>142</v>
      </c>
      <c r="C19" s="183">
        <f>+'Secondary Sch 24'!$E$10</f>
        <v>5.5</v>
      </c>
    </row>
    <row r="20" spans="1:3" ht="12.75">
      <c r="A20" s="174">
        <f t="shared" si="0"/>
        <v>13</v>
      </c>
      <c r="B20" s="176" t="s">
        <v>143</v>
      </c>
      <c r="C20" s="183">
        <f>+'Secondary Sch 24'!$E$11</f>
        <v>13.6</v>
      </c>
    </row>
    <row r="21" ht="12.75">
      <c r="A21" s="174">
        <f t="shared" si="0"/>
        <v>14</v>
      </c>
    </row>
    <row r="22" spans="1:2" ht="12.75">
      <c r="A22" s="174">
        <f t="shared" si="0"/>
        <v>15</v>
      </c>
      <c r="B22" s="99" t="s">
        <v>149</v>
      </c>
    </row>
    <row r="23" spans="1:5" ht="12.75">
      <c r="A23" s="174">
        <f t="shared" si="0"/>
        <v>16</v>
      </c>
      <c r="B23" s="176" t="s">
        <v>176</v>
      </c>
      <c r="D23" s="184">
        <f>+'Secondary Sch 24'!$E$14</f>
        <v>0.06754500000000001</v>
      </c>
      <c r="E23" s="184">
        <f>+'Secondary Sch 24'!$E$15</f>
        <v>0.064967</v>
      </c>
    </row>
    <row r="24" spans="1:3" ht="12.75">
      <c r="A24" s="174">
        <f t="shared" si="0"/>
        <v>17</v>
      </c>
      <c r="B24" s="176" t="s">
        <v>60</v>
      </c>
      <c r="C24" s="184">
        <f>+'Secondary Sch 24'!$E$18</f>
        <v>0.0023569999999999997</v>
      </c>
    </row>
    <row r="25" spans="1:2" ht="12.75">
      <c r="A25" s="174">
        <f t="shared" si="0"/>
        <v>18</v>
      </c>
      <c r="B25" s="175" t="s">
        <v>151</v>
      </c>
    </row>
    <row r="26" spans="1:3" ht="12.75">
      <c r="A26" s="174">
        <f t="shared" si="0"/>
        <v>19</v>
      </c>
      <c r="B26" s="176" t="s">
        <v>142</v>
      </c>
      <c r="C26" s="185">
        <f>+C8*C19</f>
        <v>5247023.263846153</v>
      </c>
    </row>
    <row r="27" spans="1:3" ht="12.75">
      <c r="A27" s="174">
        <f t="shared" si="0"/>
        <v>20</v>
      </c>
      <c r="B27" s="176" t="s">
        <v>143</v>
      </c>
      <c r="C27" s="185">
        <f>+C9*C20</f>
        <v>4785281.370547946</v>
      </c>
    </row>
    <row r="28" spans="1:3" ht="12.75">
      <c r="A28" s="174">
        <f t="shared" si="0"/>
        <v>21</v>
      </c>
      <c r="B28" s="178" t="s">
        <v>152</v>
      </c>
      <c r="C28" s="186">
        <f>SUM(C26:C27)</f>
        <v>10032304.634394098</v>
      </c>
    </row>
    <row r="29" spans="1:2" ht="12.75">
      <c r="A29" s="174">
        <f t="shared" si="0"/>
        <v>22</v>
      </c>
      <c r="B29" s="99" t="s">
        <v>153</v>
      </c>
    </row>
    <row r="30" spans="1:5" ht="12.75">
      <c r="A30" s="174">
        <f t="shared" si="0"/>
        <v>23</v>
      </c>
      <c r="B30" s="176" t="s">
        <v>176</v>
      </c>
      <c r="C30" s="185">
        <f>SUM(D30:E30)</f>
        <v>158100994.07432422</v>
      </c>
      <c r="D30" s="96">
        <f>+D14*D23</f>
        <v>85483655.83752057</v>
      </c>
      <c r="E30" s="96">
        <f>+E14*E23</f>
        <v>72617338.23680365</v>
      </c>
    </row>
    <row r="31" spans="1:5" ht="12.75">
      <c r="A31" s="174">
        <f t="shared" si="0"/>
        <v>24</v>
      </c>
      <c r="B31" s="176" t="s">
        <v>60</v>
      </c>
      <c r="C31" s="185">
        <f>+C24*C14</f>
        <v>5617527.916300838</v>
      </c>
      <c r="D31" s="96"/>
      <c r="E31" s="96"/>
    </row>
    <row r="32" spans="1:6" ht="12.75">
      <c r="A32" s="174">
        <f t="shared" si="0"/>
        <v>25</v>
      </c>
      <c r="B32" s="99" t="s">
        <v>154</v>
      </c>
      <c r="C32" s="185">
        <f>SUM(C30,C28,C31)</f>
        <v>173750826.62501916</v>
      </c>
      <c r="D32" s="96"/>
      <c r="E32" s="96"/>
      <c r="F32" s="185"/>
    </row>
    <row r="33" ht="12.75">
      <c r="A33" s="174">
        <f t="shared" si="0"/>
        <v>26</v>
      </c>
    </row>
    <row r="34" spans="1:5" ht="12.75">
      <c r="A34" s="174">
        <f t="shared" si="0"/>
        <v>27</v>
      </c>
      <c r="B34" s="180" t="str">
        <f>+'Residential Schedule 7'!B35</f>
        <v>Proposed Rates Effective 2005</v>
      </c>
      <c r="C34" s="181"/>
      <c r="D34" s="181"/>
      <c r="E34" s="182"/>
    </row>
    <row r="35" spans="1:5" ht="12.75">
      <c r="A35" s="174">
        <f t="shared" si="0"/>
        <v>28</v>
      </c>
      <c r="B35" s="187"/>
      <c r="C35" s="187"/>
      <c r="D35" s="187"/>
      <c r="E35" s="187"/>
    </row>
    <row r="36" spans="1:5" ht="12.75">
      <c r="A36" s="174">
        <f t="shared" si="0"/>
        <v>29</v>
      </c>
      <c r="B36" s="158" t="s">
        <v>148</v>
      </c>
      <c r="C36" s="159"/>
      <c r="E36" s="188"/>
    </row>
    <row r="37" spans="1:5" ht="12.75">
      <c r="A37" s="174">
        <f t="shared" si="0"/>
        <v>30</v>
      </c>
      <c r="B37" s="160" t="s">
        <v>142</v>
      </c>
      <c r="C37" s="189">
        <f>+'Residential Schedule 7'!C45</f>
        <v>6.5</v>
      </c>
      <c r="D37" s="190"/>
      <c r="E37" s="191" t="s">
        <v>177</v>
      </c>
    </row>
    <row r="38" spans="1:5" ht="12.75">
      <c r="A38" s="174">
        <f t="shared" si="0"/>
        <v>31</v>
      </c>
      <c r="B38" s="163" t="s">
        <v>143</v>
      </c>
      <c r="C38" s="192">
        <f>+'Residential Schedule 7'!C46</f>
        <v>16.1</v>
      </c>
      <c r="D38" s="190"/>
      <c r="E38" s="191" t="s">
        <v>177</v>
      </c>
    </row>
    <row r="39" ht="12.75">
      <c r="A39" s="174">
        <f t="shared" si="0"/>
        <v>32</v>
      </c>
    </row>
    <row r="40" spans="1:6" ht="12.75">
      <c r="A40" s="174">
        <f>+A41+1</f>
        <v>34</v>
      </c>
      <c r="B40" s="175" t="s">
        <v>160</v>
      </c>
      <c r="C40" s="96">
        <v>8269070.727511048</v>
      </c>
      <c r="E40" s="141" t="s">
        <v>161</v>
      </c>
      <c r="F40" s="141"/>
    </row>
    <row r="41" spans="1:3" ht="12.75">
      <c r="A41" s="174">
        <f>+A39+1</f>
        <v>33</v>
      </c>
      <c r="B41" s="99" t="s">
        <v>162</v>
      </c>
      <c r="C41" s="96">
        <f>+C40+C32</f>
        <v>182019897.3525302</v>
      </c>
    </row>
    <row r="42" spans="1:3" ht="12.75">
      <c r="A42" s="174">
        <f>+A40+1</f>
        <v>35</v>
      </c>
      <c r="B42" s="175" t="s">
        <v>178</v>
      </c>
      <c r="C42" s="193">
        <f>+C40/C32</f>
        <v>0.047591547551925996</v>
      </c>
    </row>
    <row r="43" ht="12.75">
      <c r="A43" s="174">
        <f aca="true" t="shared" si="1" ref="A43:A61">+A42+1</f>
        <v>36</v>
      </c>
    </row>
    <row r="44" spans="1:2" ht="12.75">
      <c r="A44" s="174">
        <f t="shared" si="1"/>
        <v>37</v>
      </c>
      <c r="B44" s="175" t="s">
        <v>151</v>
      </c>
    </row>
    <row r="45" spans="1:3" ht="12.75">
      <c r="A45" s="174">
        <f t="shared" si="1"/>
        <v>38</v>
      </c>
      <c r="B45" s="176" t="s">
        <v>142</v>
      </c>
      <c r="C45" s="185">
        <f>+C37*C8</f>
        <v>6201027.493636364</v>
      </c>
    </row>
    <row r="46" spans="1:3" ht="12.75">
      <c r="A46" s="174">
        <f t="shared" si="1"/>
        <v>39</v>
      </c>
      <c r="B46" s="176" t="s">
        <v>143</v>
      </c>
      <c r="C46" s="185">
        <f>+C38*C9</f>
        <v>5664928.681310436</v>
      </c>
    </row>
    <row r="47" spans="1:3" ht="12.75">
      <c r="A47" s="174">
        <f t="shared" si="1"/>
        <v>40</v>
      </c>
      <c r="B47" s="178" t="s">
        <v>152</v>
      </c>
      <c r="C47" s="186">
        <f>SUM(C45:C46)</f>
        <v>11865956.1749468</v>
      </c>
    </row>
    <row r="48" spans="1:3" ht="12.75">
      <c r="A48" s="174">
        <f t="shared" si="1"/>
        <v>41</v>
      </c>
      <c r="B48" s="178"/>
      <c r="C48" s="185"/>
    </row>
    <row r="49" spans="1:3" ht="12.75">
      <c r="A49" s="174">
        <f t="shared" si="1"/>
        <v>42</v>
      </c>
      <c r="B49" s="176" t="s">
        <v>164</v>
      </c>
      <c r="C49" s="185">
        <f>+C41-C47</f>
        <v>170153941.1775834</v>
      </c>
    </row>
    <row r="50" spans="1:4" ht="12.75">
      <c r="A50" s="174">
        <f t="shared" si="1"/>
        <v>43</v>
      </c>
      <c r="B50" s="176"/>
      <c r="C50" s="185"/>
      <c r="D50" s="135"/>
    </row>
    <row r="51" spans="1:7" ht="12.75">
      <c r="A51" s="174">
        <f t="shared" si="1"/>
        <v>44</v>
      </c>
      <c r="B51" s="158" t="s">
        <v>149</v>
      </c>
      <c r="C51" s="159"/>
      <c r="D51" s="135"/>
      <c r="E51" s="156" t="s">
        <v>179</v>
      </c>
      <c r="F51" s="174"/>
      <c r="G51" s="174"/>
    </row>
    <row r="52" spans="1:7" ht="12.75">
      <c r="A52" s="174">
        <f t="shared" si="1"/>
        <v>45</v>
      </c>
      <c r="B52" s="166" t="s">
        <v>180</v>
      </c>
      <c r="C52" s="167">
        <f>ROUND(C53*(D23/E23),6)</f>
        <v>0.072695</v>
      </c>
      <c r="D52" s="135"/>
      <c r="E52" s="152">
        <f>D23/E23</f>
        <v>1.0396816845475396</v>
      </c>
      <c r="F52" s="193"/>
      <c r="G52" s="193"/>
    </row>
    <row r="53" spans="1:4" ht="12.75">
      <c r="A53" s="174">
        <f t="shared" si="1"/>
        <v>46</v>
      </c>
      <c r="B53" s="169" t="s">
        <v>181</v>
      </c>
      <c r="C53" s="170">
        <f>ROUND(C49/(E14+D14*(D23/E23)),6)</f>
        <v>0.06992</v>
      </c>
      <c r="D53" s="135"/>
    </row>
    <row r="54" spans="1:7" ht="12.75">
      <c r="A54" s="174">
        <f t="shared" si="1"/>
        <v>47</v>
      </c>
      <c r="G54" s="194"/>
    </row>
    <row r="55" spans="1:7" ht="12.75">
      <c r="A55" s="174">
        <f t="shared" si="1"/>
        <v>48</v>
      </c>
      <c r="B55" s="99" t="s">
        <v>153</v>
      </c>
      <c r="G55" s="194"/>
    </row>
    <row r="56" ht="12.75">
      <c r="A56" s="174">
        <f t="shared" si="1"/>
        <v>49</v>
      </c>
    </row>
    <row r="57" spans="1:4" ht="12.75">
      <c r="A57" s="174">
        <f t="shared" si="1"/>
        <v>50</v>
      </c>
      <c r="B57" s="176" t="s">
        <v>176</v>
      </c>
      <c r="C57" s="96">
        <f>+C52*D14+C53*E14</f>
        <v>170154987.13395244</v>
      </c>
      <c r="D57" s="184"/>
    </row>
    <row r="58" spans="1:4" ht="12.75">
      <c r="A58" s="174">
        <f t="shared" si="1"/>
        <v>51</v>
      </c>
      <c r="B58" s="178"/>
      <c r="D58" s="96"/>
    </row>
    <row r="59" spans="1:4" ht="12.75">
      <c r="A59" s="174">
        <f t="shared" si="1"/>
        <v>52</v>
      </c>
      <c r="B59" s="99" t="s">
        <v>170</v>
      </c>
      <c r="C59" s="185">
        <f>+C57+C47</f>
        <v>182020943.30889922</v>
      </c>
      <c r="D59" s="185"/>
    </row>
    <row r="60" spans="1:3" ht="12.75">
      <c r="A60" s="174">
        <f t="shared" si="1"/>
        <v>53</v>
      </c>
      <c r="B60" s="99" t="s">
        <v>171</v>
      </c>
      <c r="C60" s="185">
        <f>+C59-C41</f>
        <v>1045.9563690125942</v>
      </c>
    </row>
    <row r="61" ht="12.75">
      <c r="A61" s="174">
        <f t="shared" si="1"/>
        <v>54</v>
      </c>
    </row>
    <row r="62" spans="6:8" ht="12.75">
      <c r="F62" s="135"/>
      <c r="G62" s="135"/>
      <c r="H62" s="153"/>
    </row>
    <row r="63" spans="6:8" ht="12.75">
      <c r="F63" s="135"/>
      <c r="G63" s="153"/>
      <c r="H63" s="135"/>
    </row>
    <row r="64" spans="6:8" ht="12.75">
      <c r="F64" s="135"/>
      <c r="G64" s="135"/>
      <c r="H64" s="153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7" r:id="rId1"/>
  <headerFooter alignWithMargins="0">
    <oddHeader>&amp;RExhibit No. ___(JAH-23)
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="90" zoomScaleNormal="90" workbookViewId="0" topLeftCell="A63">
      <selection activeCell="G14" sqref="G14"/>
    </sheetView>
  </sheetViews>
  <sheetFormatPr defaultColWidth="9.140625" defaultRowHeight="12.75"/>
  <cols>
    <col min="1" max="1" width="4.8515625" style="99" bestFit="1" customWidth="1"/>
    <col min="2" max="2" width="44.140625" style="99" bestFit="1" customWidth="1"/>
    <col min="3" max="3" width="15.00390625" style="99" bestFit="1" customWidth="1"/>
    <col min="4" max="5" width="13.28125" style="99" bestFit="1" customWidth="1"/>
    <col min="6" max="6" width="6.421875" style="99" customWidth="1"/>
    <col min="7" max="7" width="48.140625" style="99" bestFit="1" customWidth="1"/>
    <col min="8" max="16384" width="9.140625" style="99" customWidth="1"/>
  </cols>
  <sheetData>
    <row r="1" spans="2:7" ht="12.75">
      <c r="B1" s="171" t="s">
        <v>0</v>
      </c>
      <c r="C1" s="171"/>
      <c r="D1" s="171"/>
      <c r="E1" s="171"/>
      <c r="F1" s="171"/>
      <c r="G1" s="171"/>
    </row>
    <row r="2" spans="2:7" ht="12.75">
      <c r="B2" s="171" t="s">
        <v>137</v>
      </c>
      <c r="C2" s="171"/>
      <c r="D2" s="171"/>
      <c r="E2" s="171"/>
      <c r="F2" s="171"/>
      <c r="G2" s="171"/>
    </row>
    <row r="3" spans="2:7" ht="12.75">
      <c r="B3" s="171" t="s">
        <v>15</v>
      </c>
      <c r="C3" s="171"/>
      <c r="D3" s="171"/>
      <c r="E3" s="171"/>
      <c r="F3" s="171"/>
      <c r="G3" s="171"/>
    </row>
    <row r="4" spans="2:7" ht="12.75">
      <c r="B4" s="171" t="s">
        <v>68</v>
      </c>
      <c r="C4" s="171"/>
      <c r="D4" s="171"/>
      <c r="E4" s="171"/>
      <c r="F4" s="171"/>
      <c r="G4" s="171"/>
    </row>
    <row r="5" ht="12.75"/>
    <row r="6" spans="1:5" s="172" customFormat="1" ht="25.5">
      <c r="A6" s="173" t="s">
        <v>139</v>
      </c>
      <c r="B6" s="173"/>
      <c r="C6" s="138" t="s">
        <v>48</v>
      </c>
      <c r="D6" s="173" t="s">
        <v>182</v>
      </c>
      <c r="E6" s="173" t="s">
        <v>183</v>
      </c>
    </row>
    <row r="7" spans="1:5" ht="13.5" thickBot="1">
      <c r="A7" s="174">
        <v>1</v>
      </c>
      <c r="B7" s="175" t="s">
        <v>141</v>
      </c>
      <c r="C7" s="177">
        <f>+'Secondary Sch 25'!$D$10</f>
        <v>87939.87429718864</v>
      </c>
      <c r="D7" s="97"/>
      <c r="E7" s="97"/>
    </row>
    <row r="8" spans="1:5" ht="13.5" thickTop="1">
      <c r="A8" s="174">
        <f>+A7+1</f>
        <v>2</v>
      </c>
      <c r="B8" s="175" t="s">
        <v>144</v>
      </c>
      <c r="C8" s="97"/>
      <c r="D8" s="97"/>
      <c r="E8" s="97"/>
    </row>
    <row r="9" spans="1:5" ht="12.75">
      <c r="A9" s="174">
        <f aca="true" t="shared" si="0" ref="A9:A72">+A8+1</f>
        <v>3</v>
      </c>
      <c r="B9" s="176" t="s">
        <v>184</v>
      </c>
      <c r="C9" s="97">
        <f>SUM(D9:E9)</f>
        <v>1443691610.3191</v>
      </c>
      <c r="D9" s="97">
        <f>+'Secondary Sch 25'!$D$12</f>
        <v>725287982.5006</v>
      </c>
      <c r="E9" s="97">
        <f>+'Secondary Sch 25'!$D$13</f>
        <v>718403627.8185</v>
      </c>
    </row>
    <row r="10" spans="1:5" ht="12.75">
      <c r="A10" s="174">
        <f t="shared" si="0"/>
        <v>4</v>
      </c>
      <c r="B10" s="176" t="s">
        <v>185</v>
      </c>
      <c r="C10" s="97">
        <f>+'Secondary Sch 25'!$B$14</f>
        <v>1408084335.5730999</v>
      </c>
      <c r="D10" s="97"/>
      <c r="E10" s="97"/>
    </row>
    <row r="11" spans="1:5" ht="12.75">
      <c r="A11" s="174">
        <f t="shared" si="0"/>
        <v>5</v>
      </c>
      <c r="B11" s="178" t="s">
        <v>186</v>
      </c>
      <c r="C11" s="97">
        <f>+'Secondary Sch 25'!$C$14</f>
        <v>-2777652.650990819</v>
      </c>
      <c r="D11" s="97"/>
      <c r="E11" s="97"/>
    </row>
    <row r="12" spans="1:5" ht="13.5" thickBot="1">
      <c r="A12" s="174">
        <f t="shared" si="0"/>
        <v>6</v>
      </c>
      <c r="C12" s="177">
        <f>SUM(C9:C11)</f>
        <v>2848998293.2412086</v>
      </c>
      <c r="D12" s="97"/>
      <c r="E12" s="97"/>
    </row>
    <row r="13" spans="1:5" ht="13.5" thickTop="1">
      <c r="A13" s="174">
        <f t="shared" si="0"/>
        <v>7</v>
      </c>
      <c r="B13" s="175" t="s">
        <v>187</v>
      </c>
      <c r="C13" s="97"/>
      <c r="D13" s="97"/>
      <c r="E13" s="97"/>
    </row>
    <row r="14" spans="1:5" ht="12.75">
      <c r="A14" s="174">
        <f t="shared" si="0"/>
        <v>8</v>
      </c>
      <c r="B14" s="176" t="s">
        <v>188</v>
      </c>
      <c r="C14" s="97">
        <f>SUM(D14:E14)</f>
        <v>4082201.201703973</v>
      </c>
      <c r="D14" s="97">
        <v>2023407.6200112926</v>
      </c>
      <c r="E14" s="97">
        <v>2058793.5816926805</v>
      </c>
    </row>
    <row r="15" spans="1:5" ht="12.75">
      <c r="A15" s="174">
        <f t="shared" si="0"/>
        <v>9</v>
      </c>
      <c r="B15" s="178" t="s">
        <v>189</v>
      </c>
      <c r="C15" s="97">
        <f>SUM(D15:E15)</f>
        <v>4287493.58933934</v>
      </c>
      <c r="D15" s="97">
        <f>+'Secondary Sch 25'!$D$17</f>
        <v>2125410.9204204204</v>
      </c>
      <c r="E15" s="97">
        <f>+'Secondary Sch 25'!$D$18</f>
        <v>2162082.66891892</v>
      </c>
    </row>
    <row r="16" spans="1:3" ht="13.5" thickBot="1">
      <c r="A16" s="174">
        <f t="shared" si="0"/>
        <v>10</v>
      </c>
      <c r="C16" s="177">
        <f>SUM(C14:C15)</f>
        <v>8369694.791043313</v>
      </c>
    </row>
    <row r="17" spans="1:5" ht="13.5" thickTop="1">
      <c r="A17" s="174">
        <f t="shared" si="0"/>
        <v>11</v>
      </c>
      <c r="B17" s="191" t="s">
        <v>190</v>
      </c>
      <c r="C17" s="97"/>
      <c r="D17" s="97"/>
      <c r="E17" s="97"/>
    </row>
    <row r="18" spans="1:7" ht="12.75">
      <c r="A18" s="174">
        <f t="shared" si="0"/>
        <v>12</v>
      </c>
      <c r="B18" s="176" t="s">
        <v>191</v>
      </c>
      <c r="C18" s="97">
        <f>+'Secondary Sch 25'!$D$21</f>
        <v>745499708.1545074</v>
      </c>
      <c r="D18" s="97"/>
      <c r="E18" s="97"/>
      <c r="G18" s="183"/>
    </row>
    <row r="19" spans="1:5" ht="13.5" thickBot="1">
      <c r="A19" s="174">
        <f t="shared" si="0"/>
        <v>13</v>
      </c>
      <c r="C19" s="177">
        <f>SUM(C18:C18)</f>
        <v>745499708.1545074</v>
      </c>
      <c r="D19" s="97"/>
      <c r="E19" s="97"/>
    </row>
    <row r="20" spans="1:5" ht="13.5" thickTop="1">
      <c r="A20" s="174">
        <f t="shared" si="0"/>
        <v>14</v>
      </c>
      <c r="D20" s="97"/>
      <c r="E20" s="97"/>
    </row>
    <row r="21" spans="1:5" ht="12.75">
      <c r="A21" s="174">
        <f t="shared" si="0"/>
        <v>15</v>
      </c>
      <c r="B21" s="180" t="s">
        <v>147</v>
      </c>
      <c r="C21" s="181"/>
      <c r="D21" s="181"/>
      <c r="E21" s="182"/>
    </row>
    <row r="22" spans="1:5" ht="12.75">
      <c r="A22" s="174">
        <f t="shared" si="0"/>
        <v>16</v>
      </c>
      <c r="B22" s="195" t="s">
        <v>192</v>
      </c>
      <c r="C22" s="187"/>
      <c r="D22" s="187"/>
      <c r="E22" s="187"/>
    </row>
    <row r="23" spans="1:2" ht="12.75">
      <c r="A23" s="174">
        <f t="shared" si="0"/>
        <v>17</v>
      </c>
      <c r="B23" s="176" t="s">
        <v>148</v>
      </c>
    </row>
    <row r="24" spans="1:5" ht="12.75">
      <c r="A24" s="174">
        <f t="shared" si="0"/>
        <v>18</v>
      </c>
      <c r="B24" s="196" t="s">
        <v>193</v>
      </c>
      <c r="C24" s="183">
        <f>+'Secondary Sch 25'!$E$10</f>
        <v>24.9</v>
      </c>
      <c r="D24" s="183"/>
      <c r="E24" s="183"/>
    </row>
    <row r="25" spans="1:2" ht="12.75">
      <c r="A25" s="174">
        <f t="shared" si="0"/>
        <v>19</v>
      </c>
      <c r="B25" s="176" t="s">
        <v>149</v>
      </c>
    </row>
    <row r="26" spans="1:5" ht="12.75">
      <c r="A26" s="174">
        <f t="shared" si="0"/>
        <v>20</v>
      </c>
      <c r="B26" s="196" t="s">
        <v>184</v>
      </c>
      <c r="D26" s="184">
        <f>+'Secondary Sch 25'!$E$12</f>
        <v>0.069616</v>
      </c>
      <c r="E26" s="184">
        <f>+'Secondary Sch 25'!$E$13</f>
        <v>0.062652</v>
      </c>
    </row>
    <row r="27" spans="1:5" ht="12.75">
      <c r="A27" s="174">
        <f t="shared" si="0"/>
        <v>21</v>
      </c>
      <c r="B27" s="196" t="s">
        <v>185</v>
      </c>
      <c r="C27" s="184">
        <f>+'Secondary Sch 25'!$E$14</f>
        <v>0.05226</v>
      </c>
      <c r="D27" s="184"/>
      <c r="E27" s="184"/>
    </row>
    <row r="28" spans="1:5" ht="12.75">
      <c r="A28" s="174"/>
      <c r="B28" s="196" t="s">
        <v>60</v>
      </c>
      <c r="C28" s="184">
        <f>+'Secondary Sch 25'!$E$23</f>
        <v>0.00234</v>
      </c>
      <c r="D28" s="184"/>
      <c r="E28" s="184"/>
    </row>
    <row r="29" spans="1:2" ht="12.75">
      <c r="A29" s="174">
        <f>+A27+1</f>
        <v>22</v>
      </c>
      <c r="B29" s="178" t="s">
        <v>194</v>
      </c>
    </row>
    <row r="30" spans="1:5" ht="12.75">
      <c r="A30" s="174">
        <f t="shared" si="0"/>
        <v>23</v>
      </c>
      <c r="B30" s="197" t="s">
        <v>188</v>
      </c>
      <c r="D30" s="183">
        <v>0</v>
      </c>
      <c r="E30" s="183">
        <v>0</v>
      </c>
    </row>
    <row r="31" spans="1:5" ht="12.75">
      <c r="A31" s="174">
        <f t="shared" si="0"/>
        <v>24</v>
      </c>
      <c r="B31" s="197" t="s">
        <v>189</v>
      </c>
      <c r="C31" s="183"/>
      <c r="D31" s="183">
        <f>+'Secondary Sch 25'!$E$17</f>
        <v>6.66</v>
      </c>
      <c r="E31" s="183">
        <f>+'Secondary Sch 25'!$E$18</f>
        <v>4.44</v>
      </c>
    </row>
    <row r="32" spans="1:5" ht="12.75">
      <c r="A32" s="174">
        <f t="shared" si="0"/>
        <v>25</v>
      </c>
      <c r="B32" s="176" t="s">
        <v>195</v>
      </c>
      <c r="C32" s="198">
        <f>+'Secondary Sch 25'!$E$21</f>
        <v>0.00233</v>
      </c>
      <c r="D32" s="198"/>
      <c r="E32" s="198"/>
    </row>
    <row r="33" ht="12.75">
      <c r="A33" s="174">
        <f t="shared" si="0"/>
        <v>26</v>
      </c>
    </row>
    <row r="34" spans="1:2" ht="12.75">
      <c r="A34" s="174">
        <f t="shared" si="0"/>
        <v>27</v>
      </c>
      <c r="B34" s="99" t="s">
        <v>196</v>
      </c>
    </row>
    <row r="35" spans="1:7" ht="12.75">
      <c r="A35" s="174">
        <f t="shared" si="0"/>
        <v>28</v>
      </c>
      <c r="B35" s="178" t="s">
        <v>151</v>
      </c>
      <c r="C35" s="186">
        <f>+C24*C7</f>
        <v>2189702.869999997</v>
      </c>
      <c r="G35" s="96"/>
    </row>
    <row r="36" spans="1:7" ht="12.75">
      <c r="A36" s="174">
        <f t="shared" si="0"/>
        <v>29</v>
      </c>
      <c r="B36" s="176" t="s">
        <v>153</v>
      </c>
      <c r="C36" s="185"/>
      <c r="G36" s="96"/>
    </row>
    <row r="37" spans="1:7" ht="12.75">
      <c r="A37" s="174">
        <f t="shared" si="0"/>
        <v>30</v>
      </c>
      <c r="B37" s="196" t="s">
        <v>184</v>
      </c>
      <c r="C37" s="185">
        <f>SUM(D37:E37)</f>
        <v>95501072.27984643</v>
      </c>
      <c r="D37" s="96">
        <f>+D26*D9</f>
        <v>50491648.189761765</v>
      </c>
      <c r="E37" s="96">
        <f>+E26*E9</f>
        <v>45009424.090084665</v>
      </c>
      <c r="G37" s="96"/>
    </row>
    <row r="38" spans="1:7" ht="12.75">
      <c r="A38" s="174">
        <f t="shared" si="0"/>
        <v>31</v>
      </c>
      <c r="B38" s="196" t="s">
        <v>185</v>
      </c>
      <c r="C38" s="185">
        <f>SUM(C10:C11)*C27</f>
        <v>73441327.24950942</v>
      </c>
      <c r="D38" s="96"/>
      <c r="E38" s="96"/>
      <c r="G38" s="96"/>
    </row>
    <row r="39" spans="1:7" ht="12.75">
      <c r="A39" s="174">
        <f t="shared" si="0"/>
        <v>32</v>
      </c>
      <c r="B39" s="199" t="s">
        <v>197</v>
      </c>
      <c r="C39" s="186">
        <f>SUM(C37:C38)</f>
        <v>168942399.52935585</v>
      </c>
      <c r="D39" s="96"/>
      <c r="E39" s="96"/>
      <c r="G39" s="96"/>
    </row>
    <row r="40" spans="1:7" ht="12.75">
      <c r="A40" s="174"/>
      <c r="B40" s="200" t="s">
        <v>60</v>
      </c>
      <c r="C40" s="186">
        <f>+C28*C12</f>
        <v>6666656.006184428</v>
      </c>
      <c r="D40" s="96"/>
      <c r="E40" s="96"/>
      <c r="G40" s="96"/>
    </row>
    <row r="41" spans="1:7" ht="12.75">
      <c r="A41" s="174">
        <f>+A39+1</f>
        <v>33</v>
      </c>
      <c r="B41" s="178" t="s">
        <v>198</v>
      </c>
      <c r="C41" s="186">
        <f>SUM(D41:E41)</f>
        <v>23754883.78000001</v>
      </c>
      <c r="D41" s="96">
        <f>+D31*D15</f>
        <v>14155236.73</v>
      </c>
      <c r="E41" s="96">
        <f>+E31*E15</f>
        <v>9599647.050000006</v>
      </c>
      <c r="G41" s="96"/>
    </row>
    <row r="42" spans="1:7" ht="12.75">
      <c r="A42" s="174">
        <f t="shared" si="0"/>
        <v>34</v>
      </c>
      <c r="B42" s="176" t="s">
        <v>199</v>
      </c>
      <c r="C42" s="186">
        <f>+C32*C19</f>
        <v>1737014.3200000022</v>
      </c>
      <c r="G42" s="96"/>
    </row>
    <row r="43" spans="1:7" ht="13.5" thickBot="1">
      <c r="A43" s="174">
        <f t="shared" si="0"/>
        <v>35</v>
      </c>
      <c r="B43" s="99" t="s">
        <v>154</v>
      </c>
      <c r="C43" s="201">
        <f>SUM(C42,C41,C39,C35,C40)</f>
        <v>203290656.50554028</v>
      </c>
      <c r="G43" s="185"/>
    </row>
    <row r="44" spans="1:3" ht="13.5" thickTop="1">
      <c r="A44" s="174">
        <f t="shared" si="0"/>
        <v>36</v>
      </c>
      <c r="C44" s="185"/>
    </row>
    <row r="45" spans="1:5" ht="12.75">
      <c r="A45" s="174">
        <f t="shared" si="0"/>
        <v>37</v>
      </c>
      <c r="B45" s="180" t="s">
        <v>155</v>
      </c>
      <c r="C45" s="181"/>
      <c r="D45" s="181"/>
      <c r="E45" s="182"/>
    </row>
    <row r="46" spans="1:5" ht="12.75">
      <c r="A46" s="174">
        <f t="shared" si="0"/>
        <v>38</v>
      </c>
      <c r="B46" s="187"/>
      <c r="C46" s="187"/>
      <c r="D46" s="202"/>
      <c r="E46" s="187"/>
    </row>
    <row r="47" spans="1:7" ht="12.75">
      <c r="A47" s="174">
        <f t="shared" si="0"/>
        <v>39</v>
      </c>
      <c r="B47" s="195" t="s">
        <v>200</v>
      </c>
      <c r="C47" s="98">
        <v>7464256.462496042</v>
      </c>
      <c r="D47" s="202"/>
      <c r="G47" s="141" t="s">
        <v>161</v>
      </c>
    </row>
    <row r="48" spans="1:5" ht="12.75">
      <c r="A48" s="174">
        <f t="shared" si="0"/>
        <v>40</v>
      </c>
      <c r="B48" s="195" t="s">
        <v>201</v>
      </c>
      <c r="C48" s="203">
        <f>+C43+'Secondary Voltage Schedule 29'!C49</f>
        <v>204205358.03691077</v>
      </c>
      <c r="D48" s="202"/>
      <c r="E48" s="187"/>
    </row>
    <row r="49" spans="1:5" ht="12.75">
      <c r="A49" s="174">
        <f t="shared" si="0"/>
        <v>41</v>
      </c>
      <c r="B49" s="187"/>
      <c r="C49" s="187"/>
      <c r="D49" s="202"/>
      <c r="E49" s="187"/>
    </row>
    <row r="50" spans="1:6" ht="12.75">
      <c r="A50" s="174">
        <f t="shared" si="0"/>
        <v>42</v>
      </c>
      <c r="B50" s="175" t="s">
        <v>160</v>
      </c>
      <c r="C50" s="96">
        <f>+C47/C48*C43</f>
        <v>7430821.655092247</v>
      </c>
      <c r="D50" s="185"/>
      <c r="F50" s="204"/>
    </row>
    <row r="51" spans="1:3" ht="12.75">
      <c r="A51" s="174">
        <f t="shared" si="0"/>
        <v>43</v>
      </c>
      <c r="B51" s="175" t="s">
        <v>202</v>
      </c>
      <c r="C51" s="96">
        <f>+C50+C43</f>
        <v>210721478.16063252</v>
      </c>
    </row>
    <row r="52" spans="1:7" ht="12.75">
      <c r="A52" s="174">
        <f t="shared" si="0"/>
        <v>44</v>
      </c>
      <c r="B52" s="175" t="s">
        <v>178</v>
      </c>
      <c r="C52" s="193">
        <f>+C50/C43</f>
        <v>0.036552696433885215</v>
      </c>
      <c r="D52" s="193">
        <f>+C52*2</f>
        <v>0.07310539286777043</v>
      </c>
      <c r="G52" s="156" t="s">
        <v>203</v>
      </c>
    </row>
    <row r="53" ht="12.75">
      <c r="A53" s="174">
        <f t="shared" si="0"/>
        <v>45</v>
      </c>
    </row>
    <row r="54" spans="1:5" ht="12.75">
      <c r="A54" s="174">
        <f t="shared" si="0"/>
        <v>46</v>
      </c>
      <c r="B54" s="158" t="s">
        <v>148</v>
      </c>
      <c r="C54" s="159"/>
      <c r="E54" s="188"/>
    </row>
    <row r="55" spans="1:7" ht="12.75">
      <c r="A55" s="174">
        <f t="shared" si="0"/>
        <v>47</v>
      </c>
      <c r="B55" s="163" t="s">
        <v>204</v>
      </c>
      <c r="C55" s="205">
        <f>ROUND('Basic Charge Worksheet'!$D$9,1)</f>
        <v>33.4</v>
      </c>
      <c r="D55" s="190"/>
      <c r="E55" s="190"/>
      <c r="G55" s="156" t="s">
        <v>158</v>
      </c>
    </row>
    <row r="56" ht="12.75">
      <c r="A56" s="174">
        <f t="shared" si="0"/>
        <v>48</v>
      </c>
    </row>
    <row r="57" spans="1:2" ht="12.75">
      <c r="A57" s="174">
        <f t="shared" si="0"/>
        <v>49</v>
      </c>
      <c r="B57" s="175" t="s">
        <v>151</v>
      </c>
    </row>
    <row r="58" spans="1:3" ht="12.75">
      <c r="A58" s="174">
        <f t="shared" si="0"/>
        <v>50</v>
      </c>
      <c r="B58" s="178" t="s">
        <v>152</v>
      </c>
      <c r="C58" s="186">
        <f>+C55*C7</f>
        <v>2937191.8015261004</v>
      </c>
    </row>
    <row r="59" spans="1:3" ht="12.75">
      <c r="A59" s="174">
        <f t="shared" si="0"/>
        <v>51</v>
      </c>
      <c r="B59" s="178"/>
      <c r="C59" s="185"/>
    </row>
    <row r="60" spans="1:7" ht="12.75">
      <c r="A60" s="174">
        <f t="shared" si="0"/>
        <v>52</v>
      </c>
      <c r="B60" s="206" t="s">
        <v>205</v>
      </c>
      <c r="C60" s="207"/>
      <c r="D60" s="208" t="s">
        <v>182</v>
      </c>
      <c r="E60" s="209" t="s">
        <v>183</v>
      </c>
      <c r="F60" s="204"/>
      <c r="G60" s="191" t="s">
        <v>365</v>
      </c>
    </row>
    <row r="61" spans="1:7" ht="12.75">
      <c r="A61" s="174">
        <f t="shared" si="0"/>
        <v>53</v>
      </c>
      <c r="B61" s="160" t="s">
        <v>207</v>
      </c>
      <c r="C61" s="210">
        <v>0</v>
      </c>
      <c r="D61" s="210">
        <v>0</v>
      </c>
      <c r="E61" s="211">
        <v>0</v>
      </c>
      <c r="G61" s="178"/>
    </row>
    <row r="62" spans="1:7" ht="12.75">
      <c r="A62" s="174">
        <f t="shared" si="0"/>
        <v>54</v>
      </c>
      <c r="B62" s="163" t="s">
        <v>189</v>
      </c>
      <c r="C62" s="212"/>
      <c r="D62" s="213">
        <f>ROUND((D31/E31)*E62,2)</f>
        <v>7.49</v>
      </c>
      <c r="E62" s="214">
        <f>ROUND((C51-C58-C85-C70)/(E15+D15*(D31/E31)),2)</f>
        <v>4.99</v>
      </c>
      <c r="G62" s="175"/>
    </row>
    <row r="63" spans="1:3" ht="12.75">
      <c r="A63" s="174">
        <f t="shared" si="0"/>
        <v>55</v>
      </c>
      <c r="B63" s="178"/>
      <c r="C63" s="185"/>
    </row>
    <row r="64" spans="1:3" ht="12.75">
      <c r="A64" s="174">
        <f t="shared" si="0"/>
        <v>56</v>
      </c>
      <c r="B64" s="191" t="s">
        <v>208</v>
      </c>
      <c r="C64" s="185"/>
    </row>
    <row r="65" spans="1:3" ht="12.75">
      <c r="A65" s="174">
        <f t="shared" si="0"/>
        <v>57</v>
      </c>
      <c r="B65" s="176" t="s">
        <v>189</v>
      </c>
      <c r="C65" s="186">
        <f>+D62*D15+E15*E62</f>
        <v>26708120.311854362</v>
      </c>
    </row>
    <row r="66" spans="1:5" ht="12.75">
      <c r="A66" s="174">
        <f t="shared" si="0"/>
        <v>58</v>
      </c>
      <c r="B66" s="178"/>
      <c r="C66" s="185"/>
      <c r="E66" s="183"/>
    </row>
    <row r="67" spans="1:7" ht="12.75">
      <c r="A67" s="174">
        <f t="shared" si="0"/>
        <v>59</v>
      </c>
      <c r="B67" s="206" t="s">
        <v>209</v>
      </c>
      <c r="C67" s="215">
        <f>(D52+1)*C42</f>
        <v>1863999.4342805455</v>
      </c>
      <c r="D67" s="185"/>
      <c r="G67" s="175" t="s">
        <v>206</v>
      </c>
    </row>
    <row r="68" spans="1:3" ht="12.75">
      <c r="A68" s="174">
        <f t="shared" si="0"/>
        <v>60</v>
      </c>
      <c r="B68" s="163" t="s">
        <v>191</v>
      </c>
      <c r="C68" s="216">
        <f>ROUND(C67/C18,5)</f>
        <v>0.0025</v>
      </c>
    </row>
    <row r="69" spans="1:3" ht="12.75">
      <c r="A69" s="174">
        <f t="shared" si="0"/>
        <v>61</v>
      </c>
      <c r="B69" s="178"/>
      <c r="C69" s="185"/>
    </row>
    <row r="70" spans="1:3" ht="12.75">
      <c r="A70" s="174">
        <f t="shared" si="0"/>
        <v>62</v>
      </c>
      <c r="B70" s="191" t="s">
        <v>210</v>
      </c>
      <c r="C70" s="186">
        <f>+C68*C19</f>
        <v>1863749.2703862686</v>
      </c>
    </row>
    <row r="71" spans="1:6" ht="12.75">
      <c r="A71" s="174">
        <f t="shared" si="0"/>
        <v>63</v>
      </c>
      <c r="F71" s="100"/>
    </row>
    <row r="72" spans="1:3" ht="12.75">
      <c r="A72" s="174">
        <f t="shared" si="0"/>
        <v>64</v>
      </c>
      <c r="B72" s="176" t="s">
        <v>164</v>
      </c>
      <c r="C72" s="185">
        <f>+C51-C58-C65-C70</f>
        <v>179212416.77686578</v>
      </c>
    </row>
    <row r="73" spans="1:3" ht="12.75">
      <c r="A73" s="174">
        <f aca="true" t="shared" si="1" ref="A73:A88">+A72+1</f>
        <v>65</v>
      </c>
      <c r="B73" s="176" t="s">
        <v>184</v>
      </c>
      <c r="C73" s="185">
        <f>+C83</f>
        <v>102493745.06166646</v>
      </c>
    </row>
    <row r="74" spans="1:3" ht="12.75">
      <c r="A74" s="174">
        <f t="shared" si="1"/>
        <v>66</v>
      </c>
      <c r="B74" s="176" t="s">
        <v>211</v>
      </c>
      <c r="C74" s="96">
        <f>+C72-C73</f>
        <v>76718671.71519932</v>
      </c>
    </row>
    <row r="75" spans="1:3" ht="12.75">
      <c r="A75" s="174">
        <f t="shared" si="1"/>
        <v>67</v>
      </c>
      <c r="B75" s="176" t="s">
        <v>12</v>
      </c>
      <c r="C75" s="193"/>
    </row>
    <row r="76" spans="1:3" ht="12.75">
      <c r="A76" s="174">
        <f t="shared" si="1"/>
        <v>68</v>
      </c>
      <c r="B76" s="176" t="s">
        <v>212</v>
      </c>
      <c r="C76" s="184"/>
    </row>
    <row r="77" spans="1:3" ht="12.75">
      <c r="A77" s="174">
        <f t="shared" si="1"/>
        <v>69</v>
      </c>
      <c r="B77" s="176"/>
      <c r="C77" s="185"/>
    </row>
    <row r="78" spans="1:6" ht="12.75">
      <c r="A78" s="174">
        <f t="shared" si="1"/>
        <v>70</v>
      </c>
      <c r="B78" s="158" t="s">
        <v>149</v>
      </c>
      <c r="C78" s="217"/>
      <c r="D78" s="217" t="s">
        <v>182</v>
      </c>
      <c r="E78" s="159" t="s">
        <v>183</v>
      </c>
      <c r="F78" s="100"/>
    </row>
    <row r="79" spans="1:7" ht="12.75">
      <c r="A79" s="174">
        <f t="shared" si="1"/>
        <v>71</v>
      </c>
      <c r="B79" s="160" t="s">
        <v>184</v>
      </c>
      <c r="C79" s="218"/>
      <c r="D79" s="218">
        <f>ROUND((D26+C28)*(1+$C52),6)</f>
        <v>0.074586</v>
      </c>
      <c r="E79" s="167">
        <f>ROUND((E26+C28)*(1+$C52),6)</f>
        <v>0.067368</v>
      </c>
      <c r="F79" s="100"/>
      <c r="G79" s="191" t="s">
        <v>213</v>
      </c>
    </row>
    <row r="80" spans="1:7" ht="12.75">
      <c r="A80" s="174">
        <f t="shared" si="1"/>
        <v>72</v>
      </c>
      <c r="B80" s="163" t="s">
        <v>71</v>
      </c>
      <c r="C80" s="219"/>
      <c r="D80" s="219">
        <f>ROUND(C27+C28,6)-0.000008</f>
        <v>0.054592</v>
      </c>
      <c r="E80" s="170">
        <f>ROUND(+D80,6)</f>
        <v>0.054592</v>
      </c>
      <c r="F80" s="100"/>
      <c r="G80" s="191" t="s">
        <v>366</v>
      </c>
    </row>
    <row r="81" ht="12.75">
      <c r="A81" s="174">
        <f t="shared" si="1"/>
        <v>73</v>
      </c>
    </row>
    <row r="82" spans="1:2" ht="12.75">
      <c r="A82" s="174">
        <f t="shared" si="1"/>
        <v>74</v>
      </c>
      <c r="B82" s="99" t="s">
        <v>153</v>
      </c>
    </row>
    <row r="83" spans="1:3" ht="12.75">
      <c r="A83" s="174">
        <f t="shared" si="1"/>
        <v>75</v>
      </c>
      <c r="B83" s="99" t="s">
        <v>184</v>
      </c>
      <c r="C83" s="96">
        <f>+D79*D9+E79*E9</f>
        <v>102493745.06166646</v>
      </c>
    </row>
    <row r="84" spans="1:3" ht="12.75">
      <c r="A84" s="174">
        <f t="shared" si="1"/>
        <v>76</v>
      </c>
      <c r="B84" s="99" t="s">
        <v>214</v>
      </c>
      <c r="C84" s="96">
        <f>+D80*SUM(C10,C11)</f>
        <v>76718502.43408379</v>
      </c>
    </row>
    <row r="85" spans="1:3" ht="12.75">
      <c r="A85" s="174">
        <f t="shared" si="1"/>
        <v>77</v>
      </c>
      <c r="B85" s="176" t="s">
        <v>176</v>
      </c>
      <c r="C85" s="220">
        <f>SUM(C83:C84)</f>
        <v>179212247.49575025</v>
      </c>
    </row>
    <row r="86" spans="1:2" ht="12.75">
      <c r="A86" s="174">
        <f t="shared" si="1"/>
        <v>78</v>
      </c>
      <c r="B86" s="178"/>
    </row>
    <row r="87" spans="1:3" ht="12.75">
      <c r="A87" s="174">
        <f t="shared" si="1"/>
        <v>79</v>
      </c>
      <c r="B87" s="99" t="s">
        <v>170</v>
      </c>
      <c r="C87" s="185">
        <f>+C85+C70+C65+C58</f>
        <v>210721308.879517</v>
      </c>
    </row>
    <row r="88" spans="1:3" ht="12.75">
      <c r="A88" s="174">
        <f t="shared" si="1"/>
        <v>80</v>
      </c>
      <c r="B88" s="99" t="s">
        <v>171</v>
      </c>
      <c r="C88" s="185">
        <f>+C87-C51</f>
        <v>-169.2811155319214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56" r:id="rId3"/>
  <headerFooter alignWithMargins="0">
    <oddHeader>&amp;RExhibit No. ___(JAH-23)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4" sqref="G14"/>
    </sheetView>
  </sheetViews>
  <sheetFormatPr defaultColWidth="9.140625" defaultRowHeight="12.75"/>
  <cols>
    <col min="1" max="1" width="21.0039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8515625" style="0" bestFit="1" customWidth="1"/>
    <col min="10" max="10" width="7.851562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+'Summary Proforma Proposed'!A3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</row>
    <row r="7" spans="2:8" ht="12.75">
      <c r="B7" s="37" t="s">
        <v>40</v>
      </c>
      <c r="C7" s="38"/>
      <c r="D7" s="39"/>
      <c r="E7" s="40" t="s">
        <v>41</v>
      </c>
      <c r="F7" s="41"/>
      <c r="G7" s="42" t="s">
        <v>42</v>
      </c>
      <c r="H7" s="41"/>
    </row>
    <row r="8" spans="3:10" ht="12.75">
      <c r="C8" s="30" t="s">
        <v>43</v>
      </c>
      <c r="D8" s="43"/>
      <c r="E8" s="44" t="s">
        <v>44</v>
      </c>
      <c r="F8" s="45"/>
      <c r="G8" s="46" t="s">
        <v>45</v>
      </c>
      <c r="H8" s="45"/>
      <c r="I8" s="37" t="s">
        <v>46</v>
      </c>
      <c r="J8" s="39"/>
    </row>
    <row r="9" spans="1:10" ht="12.75">
      <c r="A9" s="47"/>
      <c r="B9" s="47"/>
      <c r="C9" s="47" t="s">
        <v>47</v>
      </c>
      <c r="D9" s="47" t="s">
        <v>48</v>
      </c>
      <c r="E9" s="48" t="s">
        <v>49</v>
      </c>
      <c r="F9" s="49" t="s">
        <v>50</v>
      </c>
      <c r="G9" s="47" t="s">
        <v>49</v>
      </c>
      <c r="H9" s="49" t="s">
        <v>50</v>
      </c>
      <c r="I9" s="48" t="s">
        <v>51</v>
      </c>
      <c r="J9" s="49" t="s">
        <v>52</v>
      </c>
    </row>
    <row r="10" spans="1:10" ht="12.75">
      <c r="A10" s="21" t="s">
        <v>53</v>
      </c>
      <c r="B10" s="120">
        <v>10495072.07104895</v>
      </c>
      <c r="C10" s="120"/>
      <c r="D10" s="120">
        <f>+B10</f>
        <v>10495072.07104895</v>
      </c>
      <c r="E10" s="121">
        <v>5.5</v>
      </c>
      <c r="F10" s="119">
        <f>+E10*D10</f>
        <v>57722896.39076923</v>
      </c>
      <c r="G10" s="122">
        <f>+'Residential Schedule 7'!$C$45</f>
        <v>6.5</v>
      </c>
      <c r="H10" s="119">
        <f>+G10*B10</f>
        <v>68217968.46181817</v>
      </c>
      <c r="I10" s="33">
        <f>+H10-F10</f>
        <v>10495072.071048945</v>
      </c>
      <c r="J10" s="123">
        <f>+I10/F10</f>
        <v>0.1818181818181817</v>
      </c>
    </row>
    <row r="11" spans="1:10" ht="12.75">
      <c r="A11" t="s">
        <v>54</v>
      </c>
      <c r="B11" s="120">
        <v>3216.4338235294113</v>
      </c>
      <c r="C11" s="120"/>
      <c r="D11" s="120">
        <f>+B11</f>
        <v>3216.4338235294113</v>
      </c>
      <c r="E11" s="121">
        <v>13.6</v>
      </c>
      <c r="F11" s="119">
        <f>+E11*D11</f>
        <v>43743.49999999999</v>
      </c>
      <c r="G11" s="122">
        <f>+'Residential Schedule 7'!$C$46</f>
        <v>16.1</v>
      </c>
      <c r="H11" s="119">
        <f>+G11*B11</f>
        <v>51784.584558823524</v>
      </c>
      <c r="I11" s="33">
        <f>+H11-F11</f>
        <v>8041.084558823532</v>
      </c>
      <c r="J11" s="123">
        <f>+I11/F11</f>
        <v>0.18382352941176477</v>
      </c>
    </row>
    <row r="12" spans="1:10" ht="12.75">
      <c r="A12" t="s">
        <v>55</v>
      </c>
      <c r="B12" s="124">
        <f>SUM(B10:B11)</f>
        <v>10498288.50487248</v>
      </c>
      <c r="C12" s="124"/>
      <c r="D12" s="124">
        <f>SUM(D10:D11)</f>
        <v>10498288.50487248</v>
      </c>
      <c r="F12" s="125">
        <f>SUM(F10:F11)</f>
        <v>57766639.89076923</v>
      </c>
      <c r="H12" s="125">
        <f>SUM(H10:H11)</f>
        <v>68269753.046377</v>
      </c>
      <c r="I12" s="125">
        <f>SUM(I10:I11)</f>
        <v>10503113.15560777</v>
      </c>
      <c r="J12" s="126">
        <f>+I12/F12</f>
        <v>0.18181970035764716</v>
      </c>
    </row>
    <row r="13" spans="6:8" ht="12.75">
      <c r="F13" s="119"/>
      <c r="H13" s="119"/>
    </row>
    <row r="14" spans="1:10" ht="12.75">
      <c r="A14" t="s">
        <v>56</v>
      </c>
      <c r="B14" s="127">
        <v>5357297988.156485</v>
      </c>
      <c r="C14" s="127"/>
      <c r="D14" s="127">
        <f>+C14+B14</f>
        <v>5357297988.156485</v>
      </c>
      <c r="E14" s="128">
        <v>0.062727</v>
      </c>
      <c r="F14" s="119">
        <f>+E14*D14</f>
        <v>336047230.90309185</v>
      </c>
      <c r="G14" s="128">
        <f>+'Residential Schedule 7'!$C$60</f>
        <v>0.075034</v>
      </c>
      <c r="H14" s="119">
        <f>+G14*D14</f>
        <v>401979497.2433337</v>
      </c>
      <c r="I14" s="33">
        <f>+H14-F14</f>
        <v>65932266.34024185</v>
      </c>
      <c r="J14" s="123">
        <f>+I14/F14</f>
        <v>0.19619940376552358</v>
      </c>
    </row>
    <row r="15" spans="1:10" ht="12.75">
      <c r="A15" t="s">
        <v>57</v>
      </c>
      <c r="B15" s="127">
        <v>943012109.44261</v>
      </c>
      <c r="C15" s="127"/>
      <c r="D15" s="127">
        <f>+C15+B15</f>
        <v>943012109.44261</v>
      </c>
      <c r="E15" s="128">
        <v>0.07914399999999999</v>
      </c>
      <c r="F15" s="119">
        <f>+E15*D15</f>
        <v>74633750.38972592</v>
      </c>
      <c r="G15" s="128">
        <f>+'Residential Schedule 7'!$C$60</f>
        <v>0.075034</v>
      </c>
      <c r="H15" s="119">
        <f>+G15*D15</f>
        <v>70757970.6199168</v>
      </c>
      <c r="I15" s="33">
        <f>+H15-F15</f>
        <v>-3875779.769809127</v>
      </c>
      <c r="J15" s="123">
        <f>+I15/F15</f>
        <v>-0.051930658041039114</v>
      </c>
    </row>
    <row r="16" spans="1:10" ht="12.75">
      <c r="A16" s="14" t="s">
        <v>58</v>
      </c>
      <c r="B16" s="127">
        <v>3369509320.396706</v>
      </c>
      <c r="C16" s="127">
        <v>86881239.42596033</v>
      </c>
      <c r="D16" s="127">
        <f>+C16+B16</f>
        <v>3456390559.8226666</v>
      </c>
      <c r="E16" s="128">
        <v>0.07914399999999999</v>
      </c>
      <c r="F16" s="119">
        <f>+E16*D16</f>
        <v>273552574.4666051</v>
      </c>
      <c r="G16" s="128">
        <f>+'Residential Schedule 7'!$C$61</f>
        <v>0.085675</v>
      </c>
      <c r="H16" s="119">
        <f>+G16*D16</f>
        <v>296126261.21280694</v>
      </c>
      <c r="I16" s="33">
        <f>+H16-F16</f>
        <v>22573686.746201813</v>
      </c>
      <c r="J16" s="123">
        <f>+I16/F16</f>
        <v>0.08252046901849784</v>
      </c>
    </row>
    <row r="17" spans="1:10" ht="12.75">
      <c r="A17" t="s">
        <v>59</v>
      </c>
      <c r="B17" s="124">
        <f>SUM(B14:B16)</f>
        <v>9669819417.9958</v>
      </c>
      <c r="C17" s="124">
        <f>SUM(C14:C16)</f>
        <v>86881239.42596033</v>
      </c>
      <c r="D17" s="124">
        <f>SUM(D14:D16)</f>
        <v>9756700657.42176</v>
      </c>
      <c r="F17" s="125">
        <f>SUM(F14:F16)</f>
        <v>684233555.7594229</v>
      </c>
      <c r="H17" s="125">
        <f>SUM(H14:H16)</f>
        <v>768863729.0760574</v>
      </c>
      <c r="I17" s="125">
        <f>SUM(I14:I16)</f>
        <v>84630173.31663454</v>
      </c>
      <c r="J17" s="126">
        <f>+I17/F17</f>
        <v>0.12368609023084887</v>
      </c>
    </row>
    <row r="18" spans="2:10" ht="12.75">
      <c r="B18" s="129"/>
      <c r="C18" s="129"/>
      <c r="D18" s="129"/>
      <c r="F18" s="130"/>
      <c r="H18" s="130"/>
      <c r="I18" s="130"/>
      <c r="J18" s="131"/>
    </row>
    <row r="19" spans="1:10" ht="12.75">
      <c r="A19" t="s">
        <v>60</v>
      </c>
      <c r="B19" s="129"/>
      <c r="C19" s="129"/>
      <c r="D19" s="124">
        <f>+D17</f>
        <v>9756700657.42176</v>
      </c>
      <c r="E19" s="128">
        <v>0.002336</v>
      </c>
      <c r="F19" s="125">
        <f>+E19*D19</f>
        <v>22791652.73573723</v>
      </c>
      <c r="G19" s="128">
        <v>0</v>
      </c>
      <c r="H19" s="125">
        <f>+G19*D19</f>
        <v>0</v>
      </c>
      <c r="I19" s="125">
        <f>+H19-F19</f>
        <v>-22791652.73573723</v>
      </c>
      <c r="J19" s="126">
        <f>+I19/F19</f>
        <v>-1</v>
      </c>
    </row>
    <row r="21" spans="1:10" ht="13.5" thickBot="1">
      <c r="A21" t="s">
        <v>61</v>
      </c>
      <c r="B21" s="57"/>
      <c r="C21" s="57"/>
      <c r="D21" s="58"/>
      <c r="F21" s="59">
        <f>SUM(F12,F17,F19)</f>
        <v>764791848.3859293</v>
      </c>
      <c r="H21" s="59">
        <f>SUM(H12,H17,H19)</f>
        <v>837133482.1224344</v>
      </c>
      <c r="I21" s="59">
        <f>SUM(I12,I17,I19)</f>
        <v>72341633.73650508</v>
      </c>
      <c r="J21" s="132">
        <f>+I21/F21</f>
        <v>0.0945899644317339</v>
      </c>
    </row>
    <row r="22" ht="13.5" thickTop="1"/>
    <row r="23" ht="12.75">
      <c r="F23" s="33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6"/>
  <sheetViews>
    <sheetView zoomScale="85" zoomScaleNormal="85" workbookViewId="0" topLeftCell="A58">
      <selection activeCell="G14" sqref="G14"/>
    </sheetView>
  </sheetViews>
  <sheetFormatPr defaultColWidth="9.140625" defaultRowHeight="12.75"/>
  <cols>
    <col min="1" max="1" width="4.57421875" style="135" customWidth="1"/>
    <col min="2" max="2" width="46.00390625" style="135" bestFit="1" customWidth="1"/>
    <col min="3" max="3" width="11.57421875" style="135" bestFit="1" customWidth="1"/>
    <col min="4" max="4" width="14.7109375" style="135" bestFit="1" customWidth="1"/>
    <col min="5" max="5" width="12.57421875" style="135" bestFit="1" customWidth="1"/>
    <col min="6" max="6" width="9.140625" style="135" customWidth="1"/>
    <col min="7" max="7" width="41.00390625" style="135" bestFit="1" customWidth="1"/>
    <col min="8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15</v>
      </c>
      <c r="C3" s="136"/>
      <c r="D3" s="136"/>
      <c r="E3" s="136"/>
    </row>
    <row r="4" spans="2:5" ht="12.75">
      <c r="B4" s="136" t="s">
        <v>82</v>
      </c>
      <c r="C4" s="136"/>
      <c r="D4" s="136"/>
      <c r="E4" s="136"/>
    </row>
    <row r="6" spans="1:5" s="139" customFormat="1" ht="25.5">
      <c r="A6" s="137" t="s">
        <v>139</v>
      </c>
      <c r="B6" s="137"/>
      <c r="C6" s="137" t="s">
        <v>48</v>
      </c>
      <c r="D6" s="137" t="s">
        <v>172</v>
      </c>
      <c r="E6" s="137" t="s">
        <v>173</v>
      </c>
    </row>
    <row r="7" spans="1:5" s="139" customFormat="1" ht="12.75">
      <c r="A7" s="140">
        <v>1</v>
      </c>
      <c r="B7" s="141" t="s">
        <v>141</v>
      </c>
      <c r="C7" s="111"/>
      <c r="D7" s="111"/>
      <c r="E7" s="111"/>
    </row>
    <row r="8" spans="1:5" s="139" customFormat="1" ht="12.75">
      <c r="A8" s="140">
        <f aca="true" t="shared" si="0" ref="A8:A30">+A7+1</f>
        <v>2</v>
      </c>
      <c r="B8" s="142" t="s">
        <v>142</v>
      </c>
      <c r="C8" s="143">
        <f>+'Secondary Sch 29'!$D$10</f>
        <v>2191.9527272727273</v>
      </c>
      <c r="D8" s="111"/>
      <c r="E8" s="111"/>
    </row>
    <row r="9" spans="1:5" s="139" customFormat="1" ht="12.75">
      <c r="A9" s="140">
        <f t="shared" si="0"/>
        <v>3</v>
      </c>
      <c r="B9" s="142" t="s">
        <v>143</v>
      </c>
      <c r="C9" s="143">
        <f>+'Secondary Sch 29'!$D$11</f>
        <v>5087.546961325864</v>
      </c>
      <c r="D9" s="111"/>
      <c r="E9" s="111"/>
    </row>
    <row r="10" spans="1:5" ht="13.5" thickBot="1">
      <c r="A10" s="140">
        <f t="shared" si="0"/>
        <v>4</v>
      </c>
      <c r="B10" s="141"/>
      <c r="C10" s="144">
        <f>SUM(C8:C9)</f>
        <v>7279.499688598591</v>
      </c>
      <c r="D10" s="111"/>
      <c r="E10" s="111"/>
    </row>
    <row r="11" spans="1:5" ht="13.5" thickTop="1">
      <c r="A11" s="140">
        <f t="shared" si="0"/>
        <v>5</v>
      </c>
      <c r="B11" s="141" t="s">
        <v>144</v>
      </c>
      <c r="C11" s="143"/>
      <c r="D11" s="143"/>
      <c r="E11" s="143"/>
    </row>
    <row r="12" spans="1:5" ht="12.75">
      <c r="A12" s="140">
        <f t="shared" si="0"/>
        <v>6</v>
      </c>
      <c r="B12" s="142" t="s">
        <v>184</v>
      </c>
      <c r="C12" s="143">
        <f>SUM(D12:E12)</f>
        <v>13804007.298500001</v>
      </c>
      <c r="D12" s="143">
        <f>+'Secondary Sch 29'!$B$14</f>
        <v>1692450.5580999998</v>
      </c>
      <c r="E12" s="143">
        <f>+'Secondary Sch 29'!$B$16</f>
        <v>12111556.740400001</v>
      </c>
    </row>
    <row r="13" spans="1:5" ht="12.75">
      <c r="A13" s="140">
        <f t="shared" si="0"/>
        <v>7</v>
      </c>
      <c r="B13" s="142" t="s">
        <v>185</v>
      </c>
      <c r="C13" s="143">
        <f>SUM(D13:E13)</f>
        <v>919225.6115</v>
      </c>
      <c r="D13" s="143">
        <f>+'Secondary Sch 29'!$B$15</f>
        <v>66057.1333</v>
      </c>
      <c r="E13" s="143">
        <f>+'Secondary Sch 29'!$B$17</f>
        <v>853168.4782</v>
      </c>
    </row>
    <row r="14" spans="1:5" ht="12.75">
      <c r="A14" s="140">
        <f t="shared" si="0"/>
        <v>8</v>
      </c>
      <c r="B14" s="178" t="s">
        <v>186</v>
      </c>
      <c r="C14" s="143">
        <f>SUM(D14:E14)</f>
        <v>341834.19113265636</v>
      </c>
      <c r="D14" s="143">
        <f>+'Secondary Sch 29'!$C$15</f>
        <v>151247.37039957766</v>
      </c>
      <c r="E14" s="143">
        <f>+'Secondary Sch 29'!$C$17</f>
        <v>190586.8207330787</v>
      </c>
    </row>
    <row r="15" spans="1:5" ht="13.5" thickBot="1">
      <c r="A15" s="140">
        <f t="shared" si="0"/>
        <v>9</v>
      </c>
      <c r="C15" s="144">
        <f>SUM(C12:C14)</f>
        <v>15065067.10113266</v>
      </c>
      <c r="D15" s="144">
        <f>SUM(D12:D14)</f>
        <v>1909755.0617995774</v>
      </c>
      <c r="E15" s="144">
        <f>SUM(E12:E14)</f>
        <v>13155312.039333079</v>
      </c>
    </row>
    <row r="16" spans="1:5" ht="13.5" thickTop="1">
      <c r="A16" s="140">
        <f t="shared" si="0"/>
        <v>10</v>
      </c>
      <c r="B16" s="141" t="s">
        <v>187</v>
      </c>
      <c r="C16" s="143"/>
      <c r="D16" s="143"/>
      <c r="E16" s="143"/>
    </row>
    <row r="17" spans="1:5" ht="12.75">
      <c r="A17" s="140">
        <f t="shared" si="0"/>
        <v>11</v>
      </c>
      <c r="B17" s="154" t="s">
        <v>188</v>
      </c>
      <c r="C17" s="143">
        <f>SUM(D17:E17)</f>
        <v>17056.937680184776</v>
      </c>
      <c r="D17" s="143">
        <v>3395.6724335560502</v>
      </c>
      <c r="E17" s="143">
        <v>13661.265246628725</v>
      </c>
    </row>
    <row r="18" spans="1:5" ht="12.75">
      <c r="A18" s="140">
        <f t="shared" si="0"/>
        <v>12</v>
      </c>
      <c r="B18" s="154" t="s">
        <v>189</v>
      </c>
      <c r="C18" s="143">
        <f>SUM(D18:E18)</f>
        <v>10243.781613931036</v>
      </c>
      <c r="D18" s="143">
        <v>2025.126126126126</v>
      </c>
      <c r="E18" s="143">
        <v>8218.65548780491</v>
      </c>
    </row>
    <row r="19" spans="1:5" ht="13.5" thickBot="1">
      <c r="A19" s="140">
        <f t="shared" si="0"/>
        <v>13</v>
      </c>
      <c r="C19" s="144">
        <f>SUM(C17:C18)</f>
        <v>27300.719294115814</v>
      </c>
      <c r="D19" s="144">
        <f>SUM(D17:D18)</f>
        <v>5420.798559682176</v>
      </c>
      <c r="E19" s="144">
        <f>SUM(E17:E18)</f>
        <v>21879.920734433636</v>
      </c>
    </row>
    <row r="20" spans="1:5" ht="14.25" thickBot="1" thickTop="1">
      <c r="A20" s="140">
        <f t="shared" si="0"/>
        <v>14</v>
      </c>
      <c r="C20" s="144"/>
      <c r="D20" s="221"/>
      <c r="E20" s="221"/>
    </row>
    <row r="21" spans="1:3" ht="14.25" thickBot="1" thickTop="1">
      <c r="A21" s="140">
        <f t="shared" si="0"/>
        <v>15</v>
      </c>
      <c r="B21" s="142" t="s">
        <v>191</v>
      </c>
      <c r="C21" s="144">
        <f>+'Secondary Sch 29'!$D$24</f>
        <v>393795.8333333334</v>
      </c>
    </row>
    <row r="22" ht="13.5" thickTop="1">
      <c r="A22" s="140">
        <f t="shared" si="0"/>
        <v>16</v>
      </c>
    </row>
    <row r="23" spans="1:5" ht="12.75">
      <c r="A23" s="140">
        <f t="shared" si="0"/>
        <v>17</v>
      </c>
      <c r="B23" s="146" t="str">
        <f>+'Residential Schedule 7'!B16</f>
        <v>Current Base Rates Effective 10-1-03</v>
      </c>
      <c r="C23" s="147"/>
      <c r="D23" s="147"/>
      <c r="E23" s="148"/>
    </row>
    <row r="24" spans="1:5" ht="12.75">
      <c r="A24" s="140">
        <f t="shared" si="0"/>
        <v>18</v>
      </c>
      <c r="B24" s="222" t="s">
        <v>192</v>
      </c>
      <c r="C24" s="157"/>
      <c r="D24" s="157"/>
      <c r="E24" s="157"/>
    </row>
    <row r="25" spans="1:2" ht="12.75">
      <c r="A25" s="140">
        <f t="shared" si="0"/>
        <v>19</v>
      </c>
      <c r="B25" s="142" t="s">
        <v>148</v>
      </c>
    </row>
    <row r="26" spans="1:5" ht="12.75">
      <c r="A26" s="140">
        <f t="shared" si="0"/>
        <v>20</v>
      </c>
      <c r="B26" s="223" t="s">
        <v>142</v>
      </c>
      <c r="C26" s="149">
        <f>+'Secondary Sch 29'!$E$10</f>
        <v>5.5</v>
      </c>
      <c r="E26" s="149"/>
    </row>
    <row r="27" spans="1:5" ht="12.75">
      <c r="A27" s="140">
        <f t="shared" si="0"/>
        <v>21</v>
      </c>
      <c r="B27" s="223" t="s">
        <v>143</v>
      </c>
      <c r="C27" s="149">
        <f>+'Secondary Sch 29'!$E$11</f>
        <v>18.1</v>
      </c>
      <c r="D27" s="149"/>
      <c r="E27" s="149"/>
    </row>
    <row r="28" spans="1:2" ht="12.75">
      <c r="A28" s="140">
        <f t="shared" si="0"/>
        <v>22</v>
      </c>
      <c r="B28" s="142" t="s">
        <v>149</v>
      </c>
    </row>
    <row r="29" spans="1:5" ht="12.75">
      <c r="A29" s="140">
        <f t="shared" si="0"/>
        <v>23</v>
      </c>
      <c r="B29" s="223" t="s">
        <v>184</v>
      </c>
      <c r="D29" s="150">
        <f>+'Secondary Sch 29'!$E$14</f>
        <v>0.069616</v>
      </c>
      <c r="E29" s="150">
        <f>+'Secondary Sch 29'!$E$16</f>
        <v>0.047359</v>
      </c>
    </row>
    <row r="30" spans="1:5" ht="12.75">
      <c r="A30" s="140">
        <f t="shared" si="0"/>
        <v>24</v>
      </c>
      <c r="B30" s="223" t="s">
        <v>185</v>
      </c>
      <c r="D30" s="150">
        <f>+'Secondary Sch 29'!$E$15</f>
        <v>0.054356999999999996</v>
      </c>
      <c r="E30" s="150">
        <f>+'Secondary Sch 29'!$E$17</f>
        <v>0.041171</v>
      </c>
    </row>
    <row r="31" spans="1:5" ht="12.75">
      <c r="A31" s="140"/>
      <c r="B31" s="223" t="s">
        <v>60</v>
      </c>
      <c r="C31" s="150">
        <f>+'Secondary Sch 29'!$E$26</f>
        <v>0.0015249999999999999</v>
      </c>
      <c r="D31" s="150"/>
      <c r="E31" s="150"/>
    </row>
    <row r="32" spans="1:2" ht="12.75">
      <c r="A32" s="140">
        <f>+A30+1</f>
        <v>25</v>
      </c>
      <c r="B32" s="154" t="s">
        <v>194</v>
      </c>
    </row>
    <row r="33" spans="1:5" ht="12.75">
      <c r="A33" s="140">
        <f aca="true" t="shared" si="1" ref="A33:A45">+A32+1</f>
        <v>26</v>
      </c>
      <c r="B33" s="224" t="s">
        <v>188</v>
      </c>
      <c r="D33" s="149">
        <v>0</v>
      </c>
      <c r="E33" s="149">
        <f>+D33</f>
        <v>0</v>
      </c>
    </row>
    <row r="34" spans="1:5" ht="12.75">
      <c r="A34" s="140">
        <f t="shared" si="1"/>
        <v>27</v>
      </c>
      <c r="B34" s="224" t="s">
        <v>189</v>
      </c>
      <c r="D34" s="149">
        <f>+'Secondary Sch 29'!$E$20</f>
        <v>6.66</v>
      </c>
      <c r="E34" s="149">
        <f>+'Secondary Sch 29'!$E$21</f>
        <v>3.28</v>
      </c>
    </row>
    <row r="35" spans="1:5" ht="12.75">
      <c r="A35" s="140">
        <f t="shared" si="1"/>
        <v>28</v>
      </c>
      <c r="B35" s="142" t="s">
        <v>195</v>
      </c>
      <c r="C35" s="225">
        <f>+'Secondary Sch 29'!$E$24</f>
        <v>0.0024</v>
      </c>
      <c r="D35" s="225"/>
      <c r="E35" s="225"/>
    </row>
    <row r="36" spans="1:5" ht="12.75">
      <c r="A36" s="140">
        <f t="shared" si="1"/>
        <v>29</v>
      </c>
      <c r="B36" s="223"/>
      <c r="D36" s="225"/>
      <c r="E36" s="225"/>
    </row>
    <row r="37" spans="1:5" ht="12.75">
      <c r="A37" s="140">
        <f t="shared" si="1"/>
        <v>30</v>
      </c>
      <c r="B37" s="141" t="s">
        <v>215</v>
      </c>
      <c r="D37" s="225"/>
      <c r="E37" s="225"/>
    </row>
    <row r="38" spans="1:2" ht="12.75">
      <c r="A38" s="140">
        <f t="shared" si="1"/>
        <v>31</v>
      </c>
      <c r="B38" s="154" t="s">
        <v>151</v>
      </c>
    </row>
    <row r="39" spans="1:3" ht="12.75">
      <c r="A39" s="140">
        <f t="shared" si="1"/>
        <v>32</v>
      </c>
      <c r="B39" s="223" t="s">
        <v>142</v>
      </c>
      <c r="C39" s="153">
        <f>+C8*C26</f>
        <v>12055.74</v>
      </c>
    </row>
    <row r="40" spans="1:3" ht="12.75">
      <c r="A40" s="140">
        <f t="shared" si="1"/>
        <v>33</v>
      </c>
      <c r="B40" s="223" t="s">
        <v>143</v>
      </c>
      <c r="C40" s="153">
        <f>+C9*C27</f>
        <v>92084.59999999814</v>
      </c>
    </row>
    <row r="41" spans="1:3" ht="12.75">
      <c r="A41" s="140">
        <f t="shared" si="1"/>
        <v>34</v>
      </c>
      <c r="B41" s="226" t="s">
        <v>152</v>
      </c>
      <c r="C41" s="155">
        <f>SUM(C39:C40)</f>
        <v>104140.33999999815</v>
      </c>
    </row>
    <row r="42" spans="1:2" ht="12.75">
      <c r="A42" s="140">
        <f t="shared" si="1"/>
        <v>35</v>
      </c>
      <c r="B42" s="142" t="s">
        <v>153</v>
      </c>
    </row>
    <row r="43" spans="1:5" ht="12.75">
      <c r="A43" s="140">
        <f t="shared" si="1"/>
        <v>36</v>
      </c>
      <c r="B43" s="223" t="s">
        <v>184</v>
      </c>
      <c r="C43" s="153">
        <f>SUM(D43:E43)</f>
        <v>691412.8537212933</v>
      </c>
      <c r="D43" s="95">
        <f>+D29*D12</f>
        <v>117821.63805268958</v>
      </c>
      <c r="E43" s="95">
        <f>+E29*E12</f>
        <v>573591.2156686037</v>
      </c>
    </row>
    <row r="44" spans="1:5" ht="12.75">
      <c r="A44" s="140">
        <f t="shared" si="1"/>
        <v>37</v>
      </c>
      <c r="B44" s="223" t="s">
        <v>185</v>
      </c>
      <c r="C44" s="153">
        <f>SUM(D44:E44)</f>
        <v>54784.470319971726</v>
      </c>
      <c r="D44" s="95">
        <f>SUM(D13:D14)*D30</f>
        <v>11812.020907597942</v>
      </c>
      <c r="E44" s="95">
        <f>SUM(E13:E14)*E30</f>
        <v>42972.44941237378</v>
      </c>
    </row>
    <row r="45" spans="1:3" ht="12.75">
      <c r="A45" s="140">
        <f t="shared" si="1"/>
        <v>38</v>
      </c>
      <c r="B45" s="227" t="s">
        <v>216</v>
      </c>
      <c r="C45" s="155">
        <f>SUM(C43:C44)</f>
        <v>746197.324041265</v>
      </c>
    </row>
    <row r="46" spans="1:3" ht="12.75">
      <c r="A46" s="140"/>
      <c r="B46" s="227" t="s">
        <v>60</v>
      </c>
      <c r="C46" s="228">
        <f>+C15*C31</f>
        <v>22974.227329227302</v>
      </c>
    </row>
    <row r="47" spans="1:5" ht="12.75">
      <c r="A47" s="140">
        <f>+A45+1</f>
        <v>39</v>
      </c>
      <c r="B47" s="154" t="s">
        <v>217</v>
      </c>
      <c r="C47" s="95">
        <f>SUM(D47:E47)</f>
        <v>40444.5300000001</v>
      </c>
      <c r="D47" s="95">
        <f>+D34*D18</f>
        <v>13487.34</v>
      </c>
      <c r="E47" s="95">
        <f>+E34*E18</f>
        <v>26957.190000000104</v>
      </c>
    </row>
    <row r="48" spans="1:3" ht="12.75">
      <c r="A48" s="140">
        <f aca="true" t="shared" si="2" ref="A48:A56">+A47+1</f>
        <v>40</v>
      </c>
      <c r="B48" s="142" t="s">
        <v>199</v>
      </c>
      <c r="C48" s="155">
        <f>+C35*C21</f>
        <v>945.11</v>
      </c>
    </row>
    <row r="49" spans="1:3" ht="13.5" thickBot="1">
      <c r="A49" s="140">
        <f t="shared" si="2"/>
        <v>41</v>
      </c>
      <c r="B49" s="142" t="s">
        <v>154</v>
      </c>
      <c r="C49" s="229">
        <f>SUM(C48,C47,C45,C41,C46)</f>
        <v>914701.5313704904</v>
      </c>
    </row>
    <row r="50" spans="1:3" ht="13.5" thickTop="1">
      <c r="A50" s="140">
        <f t="shared" si="2"/>
        <v>42</v>
      </c>
      <c r="C50" s="153"/>
    </row>
    <row r="51" spans="1:5" ht="12.75">
      <c r="A51" s="140">
        <f t="shared" si="2"/>
        <v>43</v>
      </c>
      <c r="B51" s="180" t="str">
        <f>+'Residential Schedule 7'!B35</f>
        <v>Proposed Rates Effective 2005</v>
      </c>
      <c r="C51" s="147"/>
      <c r="D51" s="147"/>
      <c r="E51" s="148"/>
    </row>
    <row r="52" spans="1:5" ht="12.75">
      <c r="A52" s="140">
        <f t="shared" si="2"/>
        <v>44</v>
      </c>
      <c r="B52" s="157"/>
      <c r="C52" s="157"/>
      <c r="D52" s="157"/>
      <c r="E52" s="157"/>
    </row>
    <row r="53" spans="1:3" ht="12.75">
      <c r="A53" s="140">
        <f t="shared" si="2"/>
        <v>45</v>
      </c>
      <c r="B53" s="158" t="s">
        <v>148</v>
      </c>
      <c r="C53" s="159"/>
    </row>
    <row r="54" spans="1:7" ht="12.75">
      <c r="A54" s="140">
        <f t="shared" si="2"/>
        <v>46</v>
      </c>
      <c r="B54" s="160" t="s">
        <v>142</v>
      </c>
      <c r="C54" s="189">
        <f>'Secondary Voltage Schedule 24'!C37</f>
        <v>6.5</v>
      </c>
      <c r="G54" s="141" t="s">
        <v>218</v>
      </c>
    </row>
    <row r="55" spans="1:7" ht="12.75">
      <c r="A55" s="140">
        <f t="shared" si="2"/>
        <v>47</v>
      </c>
      <c r="B55" s="163" t="s">
        <v>143</v>
      </c>
      <c r="C55" s="192">
        <f>ROUND(+C27/C26*C54,1)</f>
        <v>21.4</v>
      </c>
      <c r="D55" s="162"/>
      <c r="E55" s="162"/>
      <c r="G55" s="141" t="s">
        <v>219</v>
      </c>
    </row>
    <row r="56" ht="12.75">
      <c r="A56" s="140">
        <f t="shared" si="2"/>
        <v>48</v>
      </c>
    </row>
    <row r="57" spans="1:3" ht="12.75">
      <c r="A57" s="140">
        <f>+A59+1</f>
        <v>51</v>
      </c>
      <c r="B57" s="141" t="s">
        <v>178</v>
      </c>
      <c r="C57" s="165">
        <f>+'Secondary Voltage Schedule 25'!C52</f>
        <v>0.036552696433885215</v>
      </c>
    </row>
    <row r="58" spans="1:3" ht="12.75">
      <c r="A58" s="140">
        <f>+A56+1</f>
        <v>49</v>
      </c>
      <c r="B58" s="141" t="s">
        <v>220</v>
      </c>
      <c r="C58" s="96">
        <f>C49*(1+C57)</f>
        <v>948136.3387742859</v>
      </c>
    </row>
    <row r="59" spans="1:4" ht="12.75">
      <c r="A59" s="140">
        <f aca="true" t="shared" si="3" ref="A59:A91">+A58+1</f>
        <v>50</v>
      </c>
      <c r="B59" s="141" t="s">
        <v>160</v>
      </c>
      <c r="C59" s="95">
        <f>+'Secondary Voltage Schedule 25'!C47-'Secondary Voltage Schedule 25'!C50</f>
        <v>33434.80740379542</v>
      </c>
      <c r="D59" s="153"/>
    </row>
    <row r="60" ht="12.75">
      <c r="A60" s="140">
        <f t="shared" si="3"/>
        <v>51</v>
      </c>
    </row>
    <row r="61" spans="1:2" ht="12.75">
      <c r="A61" s="140">
        <f t="shared" si="3"/>
        <v>52</v>
      </c>
      <c r="B61" s="141" t="s">
        <v>151</v>
      </c>
    </row>
    <row r="62" spans="1:3" ht="12.75">
      <c r="A62" s="140">
        <f t="shared" si="3"/>
        <v>53</v>
      </c>
      <c r="B62" s="142" t="s">
        <v>142</v>
      </c>
      <c r="C62" s="95">
        <f>+C54*C8</f>
        <v>14247.692727272728</v>
      </c>
    </row>
    <row r="63" spans="1:3" ht="12.75">
      <c r="A63" s="140">
        <f t="shared" si="3"/>
        <v>54</v>
      </c>
      <c r="B63" s="142" t="s">
        <v>143</v>
      </c>
      <c r="C63" s="95">
        <f>+C55*C9</f>
        <v>108873.50497237348</v>
      </c>
    </row>
    <row r="64" spans="1:3" ht="12.75">
      <c r="A64" s="140">
        <f t="shared" si="3"/>
        <v>55</v>
      </c>
      <c r="B64" s="154" t="s">
        <v>152</v>
      </c>
      <c r="C64" s="155">
        <f>SUM(C62:C63)</f>
        <v>123121.19769964622</v>
      </c>
    </row>
    <row r="65" spans="1:3" ht="12.75">
      <c r="A65" s="140">
        <f t="shared" si="3"/>
        <v>56</v>
      </c>
      <c r="B65" s="142"/>
      <c r="C65" s="153"/>
    </row>
    <row r="66" spans="1:7" ht="12.75">
      <c r="A66" s="140">
        <f t="shared" si="3"/>
        <v>57</v>
      </c>
      <c r="B66" s="206" t="s">
        <v>205</v>
      </c>
      <c r="C66" s="207">
        <f>'Proforma Demand Revenue'!$M$7</f>
        <v>74597.48025154999</v>
      </c>
      <c r="D66" s="208" t="s">
        <v>182</v>
      </c>
      <c r="E66" s="209" t="s">
        <v>183</v>
      </c>
      <c r="G66" s="141" t="s">
        <v>221</v>
      </c>
    </row>
    <row r="67" spans="1:7" ht="12.75">
      <c r="A67" s="140">
        <f t="shared" si="3"/>
        <v>58</v>
      </c>
      <c r="B67" s="163" t="s">
        <v>189</v>
      </c>
      <c r="C67" s="212">
        <f>(D67*D18+E18*E67)/C18</f>
        <v>4.4412342188956675</v>
      </c>
      <c r="D67" s="213">
        <f>+'Secondary Voltage Schedule 25'!D62</f>
        <v>7.49</v>
      </c>
      <c r="E67" s="214">
        <f>ROUND(E34*('Secondary Voltage Schedule 25'!E62/'Secondary Voltage Schedule 25'!E31),2)</f>
        <v>3.69</v>
      </c>
      <c r="G67" s="135" t="s">
        <v>222</v>
      </c>
    </row>
    <row r="68" spans="1:3" ht="12.75">
      <c r="A68" s="140">
        <f t="shared" si="3"/>
        <v>59</v>
      </c>
      <c r="B68" s="154"/>
      <c r="C68" s="153"/>
    </row>
    <row r="69" spans="1:3" ht="12.75">
      <c r="A69" s="140">
        <f t="shared" si="3"/>
        <v>60</v>
      </c>
      <c r="B69" s="156" t="s">
        <v>208</v>
      </c>
      <c r="C69" s="153"/>
    </row>
    <row r="70" spans="1:3" ht="12.75">
      <c r="A70" s="140">
        <f t="shared" si="3"/>
        <v>61</v>
      </c>
      <c r="B70" s="101" t="s">
        <v>189</v>
      </c>
      <c r="C70" s="155">
        <f>+C67*SUM(C18)</f>
        <v>45495.0334346848</v>
      </c>
    </row>
    <row r="71" spans="1:3" ht="12.75">
      <c r="A71" s="140">
        <f t="shared" si="3"/>
        <v>62</v>
      </c>
      <c r="B71" s="154"/>
      <c r="C71" s="153"/>
    </row>
    <row r="72" spans="1:7" ht="12.75">
      <c r="A72" s="140">
        <f t="shared" si="3"/>
        <v>63</v>
      </c>
      <c r="B72" s="206" t="s">
        <v>209</v>
      </c>
      <c r="C72" s="215">
        <f>+'Proforma Demand Revenue'!$L$7</f>
        <v>979.6563189266292</v>
      </c>
      <c r="G72" s="141" t="s">
        <v>221</v>
      </c>
    </row>
    <row r="73" spans="1:3" ht="12.75">
      <c r="A73" s="140">
        <f t="shared" si="3"/>
        <v>64</v>
      </c>
      <c r="B73" s="163" t="s">
        <v>191</v>
      </c>
      <c r="C73" s="216">
        <f>ROUND(+C72/C21,5)</f>
        <v>0.00249</v>
      </c>
    </row>
    <row r="74" spans="1:3" ht="12.75">
      <c r="A74" s="140">
        <f t="shared" si="3"/>
        <v>65</v>
      </c>
      <c r="B74" s="154"/>
      <c r="C74" s="153"/>
    </row>
    <row r="75" spans="1:3" ht="12.75">
      <c r="A75" s="140">
        <f t="shared" si="3"/>
        <v>66</v>
      </c>
      <c r="B75" s="156" t="s">
        <v>210</v>
      </c>
      <c r="C75" s="153"/>
    </row>
    <row r="76" spans="1:3" ht="12.75">
      <c r="A76" s="140">
        <f t="shared" si="3"/>
        <v>67</v>
      </c>
      <c r="B76" s="102" t="s">
        <v>191</v>
      </c>
      <c r="C76" s="155">
        <f>+C73*C21</f>
        <v>980.5516250000001</v>
      </c>
    </row>
    <row r="77" spans="1:3" s="104" customFormat="1" ht="12.75">
      <c r="A77" s="140">
        <f t="shared" si="3"/>
        <v>68</v>
      </c>
      <c r="B77" s="102"/>
      <c r="C77" s="103"/>
    </row>
    <row r="78" spans="1:3" ht="12.75">
      <c r="A78" s="140">
        <f t="shared" si="3"/>
        <v>69</v>
      </c>
      <c r="B78" s="142" t="s">
        <v>164</v>
      </c>
      <c r="C78" s="153">
        <f>+C58-C64-C70-C76</f>
        <v>778539.5560149548</v>
      </c>
    </row>
    <row r="79" ht="12.75">
      <c r="A79" s="140">
        <f t="shared" si="3"/>
        <v>70</v>
      </c>
    </row>
    <row r="80" spans="1:5" ht="12.75">
      <c r="A80" s="140">
        <f t="shared" si="3"/>
        <v>71</v>
      </c>
      <c r="B80" s="175" t="s">
        <v>223</v>
      </c>
      <c r="C80" s="193">
        <f>AVERAGE(D80:E80)</f>
        <v>0.662001303727704</v>
      </c>
      <c r="D80" s="193">
        <f>(E34/(E29-E30))/730</f>
        <v>0.7261070919410968</v>
      </c>
      <c r="E80" s="193">
        <f>(D34/(D29-D30))/730</f>
        <v>0.5978955155143113</v>
      </c>
    </row>
    <row r="81" spans="1:3" ht="12.75">
      <c r="A81" s="140">
        <f t="shared" si="3"/>
        <v>72</v>
      </c>
      <c r="B81" s="175" t="s">
        <v>224</v>
      </c>
      <c r="C81" s="184">
        <f>ROUND(E67/(730*C80),6)</f>
        <v>0.007636</v>
      </c>
    </row>
    <row r="82" spans="1:3" s="104" customFormat="1" ht="12.75">
      <c r="A82" s="140">
        <f t="shared" si="3"/>
        <v>73</v>
      </c>
      <c r="B82" s="102"/>
      <c r="C82" s="103"/>
    </row>
    <row r="83" spans="1:6" ht="12.75">
      <c r="A83" s="140">
        <f t="shared" si="3"/>
        <v>74</v>
      </c>
      <c r="B83" s="158" t="s">
        <v>149</v>
      </c>
      <c r="C83" s="217"/>
      <c r="D83" s="208" t="s">
        <v>182</v>
      </c>
      <c r="E83" s="209" t="s">
        <v>183</v>
      </c>
      <c r="F83" s="104"/>
    </row>
    <row r="84" spans="1:7" ht="12.75">
      <c r="A84" s="140">
        <f t="shared" si="3"/>
        <v>75</v>
      </c>
      <c r="B84" s="160" t="s">
        <v>184</v>
      </c>
      <c r="C84" s="230"/>
      <c r="D84" s="218">
        <f>+'Secondary Voltage Schedule 25'!D79</f>
        <v>0.074586</v>
      </c>
      <c r="E84" s="167">
        <f>ROUND((C78-D84*D12-D85*(D13+D14)-E85*(E13+E14))/E12,6)</f>
        <v>0.049201</v>
      </c>
      <c r="F84" s="104"/>
      <c r="G84" s="141" t="s">
        <v>225</v>
      </c>
    </row>
    <row r="85" spans="1:7" ht="12.75">
      <c r="A85" s="140">
        <f t="shared" si="3"/>
        <v>76</v>
      </c>
      <c r="B85" s="163" t="s">
        <v>71</v>
      </c>
      <c r="C85" s="231"/>
      <c r="D85" s="219">
        <f>'Secondary Voltage Schedule 25'!D80</f>
        <v>0.054592</v>
      </c>
      <c r="E85" s="170">
        <f>ROUND(E30*(1+C57),6)</f>
        <v>0.042676</v>
      </c>
      <c r="F85" s="104"/>
      <c r="G85" s="156" t="s">
        <v>226</v>
      </c>
    </row>
    <row r="86" spans="1:7" ht="12.75">
      <c r="A86" s="140">
        <f t="shared" si="3"/>
        <v>77</v>
      </c>
      <c r="F86" s="104"/>
      <c r="G86" s="141" t="s">
        <v>227</v>
      </c>
    </row>
    <row r="87" spans="1:6" ht="12.75">
      <c r="A87" s="140">
        <f t="shared" si="3"/>
        <v>78</v>
      </c>
      <c r="B87" s="135" t="s">
        <v>153</v>
      </c>
      <c r="F87" s="104"/>
    </row>
    <row r="88" spans="1:4" ht="12.75">
      <c r="A88" s="140">
        <f t="shared" si="3"/>
        <v>79</v>
      </c>
      <c r="B88" s="142" t="s">
        <v>176</v>
      </c>
      <c r="C88" s="220">
        <f>E84*E12+SUM(E13,E14)*E85+D84*D12+D85*SUM(D13,D14)</f>
        <v>778540.2091141024</v>
      </c>
      <c r="D88" s="150"/>
    </row>
    <row r="89" spans="1:4" ht="12.75">
      <c r="A89" s="140">
        <f t="shared" si="3"/>
        <v>80</v>
      </c>
      <c r="B89" s="154"/>
      <c r="D89" s="95"/>
    </row>
    <row r="90" spans="1:4" ht="13.5" thickBot="1">
      <c r="A90" s="140">
        <f t="shared" si="3"/>
        <v>81</v>
      </c>
      <c r="B90" s="135" t="s">
        <v>170</v>
      </c>
      <c r="C90" s="229">
        <f>SUM(C88,C76,C64,C70)</f>
        <v>948136.9918734335</v>
      </c>
      <c r="D90" s="153"/>
    </row>
    <row r="91" spans="1:3" ht="13.5" thickTop="1">
      <c r="A91" s="140">
        <f t="shared" si="3"/>
        <v>82</v>
      </c>
      <c r="B91" s="135" t="s">
        <v>171</v>
      </c>
      <c r="C91" s="153">
        <f>+C58-C90</f>
        <v>-0.6530991476029158</v>
      </c>
    </row>
    <row r="92" ht="12.75">
      <c r="A92" s="140"/>
    </row>
    <row r="93" spans="1:3" ht="12.75">
      <c r="A93" s="140"/>
      <c r="B93" s="232"/>
      <c r="C93" s="233"/>
    </row>
    <row r="94" spans="1:3" ht="12.75">
      <c r="A94" s="140"/>
      <c r="B94" s="234"/>
      <c r="C94" s="235"/>
    </row>
    <row r="95" spans="1:3" ht="12.75">
      <c r="A95" s="140"/>
      <c r="B95" s="236"/>
      <c r="C95" s="236"/>
    </row>
    <row r="96" spans="1:3" ht="12.75">
      <c r="A96" s="140"/>
      <c r="B96" s="236"/>
      <c r="C96" s="235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</sheetData>
  <printOptions horizontalCentered="1"/>
  <pageMargins left="1" right="1" top="1" bottom="0.25" header="1" footer="0.5"/>
  <pageSetup cellComments="asDisplayed" horizontalDpi="600" verticalDpi="600" orientation="portrait" scale="60" r:id="rId1"/>
  <headerFooter alignWithMargins="0">
    <oddHeader>&amp;RExhibit No. ___(JAH-23)
Page 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5" zoomScaleNormal="85" workbookViewId="0" topLeftCell="A38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4.28125" style="135" bestFit="1" customWidth="1"/>
    <col min="4" max="4" width="15.28125" style="135" bestFit="1" customWidth="1"/>
    <col min="5" max="5" width="12.57421875" style="135" bestFit="1" customWidth="1"/>
    <col min="6" max="6" width="10.7109375" style="135" customWidth="1"/>
    <col min="7" max="7" width="41.00390625" style="135" bestFit="1" customWidth="1"/>
    <col min="8" max="16384" width="9.140625" style="135" customWidth="1"/>
  </cols>
  <sheetData>
    <row r="1" spans="2:7" ht="12.75">
      <c r="B1" s="136" t="s">
        <v>0</v>
      </c>
      <c r="C1" s="136"/>
      <c r="D1" s="136"/>
      <c r="E1" s="136"/>
      <c r="F1" s="136"/>
      <c r="G1" s="136"/>
    </row>
    <row r="2" spans="2:7" ht="12.75">
      <c r="B2" s="136" t="s">
        <v>137</v>
      </c>
      <c r="C2" s="136"/>
      <c r="D2" s="136"/>
      <c r="E2" s="136"/>
      <c r="F2" s="136"/>
      <c r="G2" s="136"/>
    </row>
    <row r="3" spans="2:7" ht="12.75">
      <c r="B3" s="136" t="s">
        <v>15</v>
      </c>
      <c r="C3" s="136"/>
      <c r="D3" s="136"/>
      <c r="E3" s="136"/>
      <c r="F3" s="136"/>
      <c r="G3" s="136"/>
    </row>
    <row r="4" spans="2:7" ht="12.75">
      <c r="B4" s="136" t="s">
        <v>78</v>
      </c>
      <c r="C4" s="136"/>
      <c r="D4" s="136"/>
      <c r="E4" s="136"/>
      <c r="F4" s="136"/>
      <c r="G4" s="136"/>
    </row>
    <row r="6" spans="1:5" s="139" customFormat="1" ht="25.5">
      <c r="A6" s="137" t="s">
        <v>139</v>
      </c>
      <c r="B6" s="137"/>
      <c r="C6" s="137" t="s">
        <v>48</v>
      </c>
      <c r="D6" s="137" t="s">
        <v>172</v>
      </c>
      <c r="E6" s="137" t="s">
        <v>173</v>
      </c>
    </row>
    <row r="7" spans="1:5" ht="13.5" thickBot="1">
      <c r="A7" s="140">
        <v>1</v>
      </c>
      <c r="B7" s="141" t="s">
        <v>228</v>
      </c>
      <c r="C7" s="144">
        <f>+'Secondary Sch 26'!$D$10</f>
        <v>8698.775601374571</v>
      </c>
      <c r="D7" s="143"/>
      <c r="E7" s="143"/>
    </row>
    <row r="8" spans="1:5" ht="13.5" thickTop="1">
      <c r="A8" s="140">
        <f aca="true" t="shared" si="0" ref="A8:A20">+A7+1</f>
        <v>2</v>
      </c>
      <c r="C8" s="143"/>
      <c r="D8" s="143"/>
      <c r="E8" s="143"/>
    </row>
    <row r="9" spans="1:5" ht="12.75">
      <c r="A9" s="140">
        <f t="shared" si="0"/>
        <v>3</v>
      </c>
      <c r="B9" s="135" t="s">
        <v>6</v>
      </c>
      <c r="C9" s="143">
        <f>+'Secondary Sch 26'!$B$12</f>
        <v>1890378961.9696</v>
      </c>
      <c r="D9" s="143"/>
      <c r="E9" s="143"/>
    </row>
    <row r="10" spans="1:5" ht="12.75">
      <c r="A10" s="140">
        <f t="shared" si="0"/>
        <v>4</v>
      </c>
      <c r="B10" s="135" t="s">
        <v>175</v>
      </c>
      <c r="C10" s="143">
        <f>+'Secondary Sch 26'!$C$12</f>
        <v>-3556768.427363172</v>
      </c>
      <c r="D10" s="143"/>
      <c r="E10" s="143"/>
    </row>
    <row r="11" spans="1:5" ht="13.5" thickBot="1">
      <c r="A11" s="140">
        <f t="shared" si="0"/>
        <v>5</v>
      </c>
      <c r="B11" s="156" t="s">
        <v>59</v>
      </c>
      <c r="C11" s="144">
        <f>SUM(C9:C10)</f>
        <v>1886822193.5422368</v>
      </c>
      <c r="D11" s="143"/>
      <c r="E11" s="143"/>
    </row>
    <row r="12" ht="13.5" thickTop="1">
      <c r="A12" s="140">
        <f t="shared" si="0"/>
        <v>6</v>
      </c>
    </row>
    <row r="13" spans="1:5" ht="13.5" thickBot="1">
      <c r="A13" s="140">
        <f t="shared" si="0"/>
        <v>7</v>
      </c>
      <c r="B13" s="141" t="s">
        <v>187</v>
      </c>
      <c r="C13" s="144">
        <f>SUM(D13:E13)</f>
        <v>4387268.884314232</v>
      </c>
      <c r="D13" s="144">
        <f>+'Secondary Sch 26'!$D$14</f>
        <v>2134139.841514701</v>
      </c>
      <c r="E13" s="144">
        <f>+'Secondary Sch 26'!$D$15</f>
        <v>2253129.0427995306</v>
      </c>
    </row>
    <row r="14" ht="13.5" thickTop="1">
      <c r="A14" s="140">
        <f t="shared" si="0"/>
        <v>8</v>
      </c>
    </row>
    <row r="15" spans="1:3" ht="13.5" thickBot="1">
      <c r="A15" s="140">
        <f t="shared" si="0"/>
        <v>9</v>
      </c>
      <c r="B15" s="156" t="s">
        <v>190</v>
      </c>
      <c r="C15" s="144">
        <f>+'Secondary Sch 26'!$D$18</f>
        <v>934070048.1194694</v>
      </c>
    </row>
    <row r="16" ht="13.5" thickTop="1">
      <c r="A16" s="140">
        <f t="shared" si="0"/>
        <v>10</v>
      </c>
    </row>
    <row r="17" spans="1:5" ht="12.75">
      <c r="A17" s="140">
        <f t="shared" si="0"/>
        <v>11</v>
      </c>
      <c r="B17" s="146" t="s">
        <v>229</v>
      </c>
      <c r="C17" s="147"/>
      <c r="D17" s="147"/>
      <c r="E17" s="148"/>
    </row>
    <row r="18" spans="1:5" ht="12.75">
      <c r="A18" s="140">
        <f t="shared" si="0"/>
        <v>12</v>
      </c>
      <c r="B18" s="222" t="s">
        <v>192</v>
      </c>
      <c r="C18" s="157"/>
      <c r="D18" s="157"/>
      <c r="E18" s="157"/>
    </row>
    <row r="19" spans="1:5" ht="12.75">
      <c r="A19" s="140">
        <f t="shared" si="0"/>
        <v>13</v>
      </c>
      <c r="B19" s="142" t="s">
        <v>148</v>
      </c>
      <c r="C19" s="149">
        <f>+'Secondary Sch 26'!$E$10</f>
        <v>29.1</v>
      </c>
      <c r="D19" s="149"/>
      <c r="E19" s="149"/>
    </row>
    <row r="20" spans="1:5" ht="12.75">
      <c r="A20" s="140">
        <f t="shared" si="0"/>
        <v>14</v>
      </c>
      <c r="B20" s="142" t="s">
        <v>149</v>
      </c>
      <c r="C20" s="150">
        <f>+'Secondary Sch 26'!$E$12</f>
        <v>0.04732</v>
      </c>
      <c r="D20" s="150"/>
      <c r="E20" s="150"/>
    </row>
    <row r="21" spans="1:5" ht="12.75">
      <c r="A21" s="140"/>
      <c r="B21" s="142" t="s">
        <v>60</v>
      </c>
      <c r="C21" s="150">
        <f>+'Secondary Sch 26'!$E$20</f>
        <v>0.002191</v>
      </c>
      <c r="D21" s="149"/>
      <c r="E21" s="149"/>
    </row>
    <row r="22" spans="1:7" ht="12.75">
      <c r="A22" s="140">
        <f>+A20+1</f>
        <v>15</v>
      </c>
      <c r="B22" s="154" t="s">
        <v>194</v>
      </c>
      <c r="D22" s="149">
        <f>+'Secondary Sch 26'!$E$14</f>
        <v>6.92</v>
      </c>
      <c r="E22" s="149">
        <f>+'Secondary Sch 26'!$E$15</f>
        <v>4.6</v>
      </c>
      <c r="F22" s="149"/>
      <c r="G22" s="141" t="s">
        <v>230</v>
      </c>
    </row>
    <row r="23" spans="1:7" ht="12.75">
      <c r="A23" s="140">
        <f>+A22+1</f>
        <v>16</v>
      </c>
      <c r="B23" s="142" t="s">
        <v>195</v>
      </c>
      <c r="C23" s="225">
        <f>+'Secondary Sch 26'!$E$18</f>
        <v>0.0011</v>
      </c>
      <c r="D23" s="225"/>
      <c r="E23" s="225"/>
      <c r="F23" s="152"/>
      <c r="G23" s="141" t="s">
        <v>231</v>
      </c>
    </row>
    <row r="24" spans="1:5" ht="12.75">
      <c r="A24" s="140">
        <f>+A23+1</f>
        <v>17</v>
      </c>
      <c r="B24" s="142"/>
      <c r="D24" s="225"/>
      <c r="E24" s="225"/>
    </row>
    <row r="25" spans="1:2" ht="12.75">
      <c r="A25" s="140">
        <f>+A24+1</f>
        <v>18</v>
      </c>
      <c r="B25" s="156" t="s">
        <v>196</v>
      </c>
    </row>
    <row r="26" spans="1:7" ht="12.75">
      <c r="A26" s="140">
        <f>+A25+1</f>
        <v>19</v>
      </c>
      <c r="B26" s="154" t="s">
        <v>232</v>
      </c>
      <c r="C26" s="228">
        <f>+C19*C7</f>
        <v>253134.37000000002</v>
      </c>
      <c r="D26" s="104"/>
      <c r="E26" s="104"/>
      <c r="G26" s="95"/>
    </row>
    <row r="27" spans="1:7" ht="12.75">
      <c r="A27" s="140">
        <f>+A26+1</f>
        <v>20</v>
      </c>
      <c r="B27" s="154" t="s">
        <v>233</v>
      </c>
      <c r="C27" s="228">
        <f>+C11*C20</f>
        <v>89284426.19841865</v>
      </c>
      <c r="D27" s="104"/>
      <c r="E27" s="104"/>
      <c r="G27" s="95"/>
    </row>
    <row r="28" spans="1:7" ht="12.75">
      <c r="A28" s="140"/>
      <c r="B28" s="142" t="s">
        <v>60</v>
      </c>
      <c r="C28" s="228">
        <f>+C11*C21</f>
        <v>4134027.4260510406</v>
      </c>
      <c r="D28" s="104"/>
      <c r="E28" s="104"/>
      <c r="G28" s="95"/>
    </row>
    <row r="29" spans="1:7" ht="12.75">
      <c r="A29" s="140">
        <f>+A27+1</f>
        <v>21</v>
      </c>
      <c r="B29" s="142" t="s">
        <v>234</v>
      </c>
      <c r="C29" s="228">
        <f>SUM(D29:E29)</f>
        <v>25132641.30015957</v>
      </c>
      <c r="D29" s="228">
        <f>+D22*D13</f>
        <v>14768247.70328173</v>
      </c>
      <c r="E29" s="228">
        <f>+E22*E13</f>
        <v>10364393.59687784</v>
      </c>
      <c r="G29" s="95"/>
    </row>
    <row r="30" spans="1:7" ht="12.75">
      <c r="A30" s="140">
        <f aca="true" t="shared" si="1" ref="A30:A66">+A29+1</f>
        <v>22</v>
      </c>
      <c r="B30" s="142" t="s">
        <v>235</v>
      </c>
      <c r="C30" s="228">
        <f>+C15*C23</f>
        <v>1027477.0529314164</v>
      </c>
      <c r="D30" s="104"/>
      <c r="E30" s="104"/>
      <c r="G30" s="95"/>
    </row>
    <row r="31" spans="1:7" ht="13.5" thickBot="1">
      <c r="A31" s="140">
        <f t="shared" si="1"/>
        <v>23</v>
      </c>
      <c r="B31" s="142" t="s">
        <v>154</v>
      </c>
      <c r="C31" s="229">
        <f>SUM(C30,C29,C27,C26,C28)</f>
        <v>119831706.34756067</v>
      </c>
      <c r="G31" s="153"/>
    </row>
    <row r="32" spans="1:3" ht="13.5" thickTop="1">
      <c r="A32" s="140">
        <f t="shared" si="1"/>
        <v>24</v>
      </c>
      <c r="C32" s="153"/>
    </row>
    <row r="33" spans="1:5" ht="12.75">
      <c r="A33" s="140">
        <f t="shared" si="1"/>
        <v>25</v>
      </c>
      <c r="B33" s="180" t="str">
        <f>+'Residential Schedule 7'!B35</f>
        <v>Proposed Rates Effective 2005</v>
      </c>
      <c r="C33" s="147"/>
      <c r="D33" s="147"/>
      <c r="E33" s="148"/>
    </row>
    <row r="34" spans="1:5" ht="12.75">
      <c r="A34" s="140">
        <f t="shared" si="1"/>
        <v>26</v>
      </c>
      <c r="B34" s="157"/>
      <c r="C34" s="157"/>
      <c r="D34" s="157"/>
      <c r="E34" s="157"/>
    </row>
    <row r="35" spans="1:7" ht="12.75">
      <c r="A35" s="140">
        <f t="shared" si="1"/>
        <v>27</v>
      </c>
      <c r="B35" s="141" t="s">
        <v>236</v>
      </c>
      <c r="C35" s="95">
        <f>+C31+C36</f>
        <v>122570998.45788614</v>
      </c>
      <c r="G35" s="141" t="s">
        <v>161</v>
      </c>
    </row>
    <row r="36" spans="1:4" ht="12.75">
      <c r="A36" s="140">
        <f t="shared" si="1"/>
        <v>28</v>
      </c>
      <c r="B36" s="141" t="s">
        <v>160</v>
      </c>
      <c r="C36" s="95">
        <v>2739292.1103254706</v>
      </c>
      <c r="D36" s="153"/>
    </row>
    <row r="37" spans="1:7" ht="12.75">
      <c r="A37" s="140">
        <f t="shared" si="1"/>
        <v>29</v>
      </c>
      <c r="B37" s="141" t="s">
        <v>178</v>
      </c>
      <c r="C37" s="165">
        <f>+C36/C31</f>
        <v>0.022859493483138843</v>
      </c>
      <c r="D37" s="165">
        <f>+C37*2</f>
        <v>0.045718986966277686</v>
      </c>
      <c r="G37" s="135" t="s">
        <v>237</v>
      </c>
    </row>
    <row r="38" ht="12.75">
      <c r="A38" s="140">
        <f t="shared" si="1"/>
        <v>30</v>
      </c>
    </row>
    <row r="39" spans="1:5" ht="12.75">
      <c r="A39" s="140">
        <f t="shared" si="1"/>
        <v>31</v>
      </c>
      <c r="B39" s="158" t="s">
        <v>148</v>
      </c>
      <c r="C39" s="159"/>
      <c r="E39" s="188"/>
    </row>
    <row r="40" spans="1:7" ht="12.75">
      <c r="A40" s="140">
        <f t="shared" si="1"/>
        <v>32</v>
      </c>
      <c r="B40" s="163" t="s">
        <v>204</v>
      </c>
      <c r="C40" s="205">
        <f>ROUND('Basic Charge Worksheet'!$E$9,0)</f>
        <v>79</v>
      </c>
      <c r="D40" s="162"/>
      <c r="E40" s="162"/>
      <c r="G40" s="156" t="s">
        <v>158</v>
      </c>
    </row>
    <row r="41" ht="12.75">
      <c r="A41" s="140">
        <f t="shared" si="1"/>
        <v>33</v>
      </c>
    </row>
    <row r="42" spans="1:2" ht="12.75">
      <c r="A42" s="140">
        <f t="shared" si="1"/>
        <v>34</v>
      </c>
      <c r="B42" s="141" t="s">
        <v>151</v>
      </c>
    </row>
    <row r="43" spans="1:3" ht="12.75">
      <c r="A43" s="140">
        <f t="shared" si="1"/>
        <v>35</v>
      </c>
      <c r="B43" s="154" t="s">
        <v>152</v>
      </c>
      <c r="C43" s="155">
        <f>+C40*C7</f>
        <v>687203.2725085911</v>
      </c>
    </row>
    <row r="44" spans="1:4" ht="12.75">
      <c r="A44" s="140">
        <f t="shared" si="1"/>
        <v>36</v>
      </c>
      <c r="B44" s="154"/>
      <c r="C44" s="153"/>
      <c r="D44" s="95"/>
    </row>
    <row r="45" spans="1:7" ht="12.75">
      <c r="A45" s="140">
        <f t="shared" si="1"/>
        <v>37</v>
      </c>
      <c r="B45" s="206" t="s">
        <v>205</v>
      </c>
      <c r="C45" s="207">
        <f>(1+D37)*C29</f>
        <v>26281680.2001897</v>
      </c>
      <c r="D45" s="208" t="s">
        <v>182</v>
      </c>
      <c r="E45" s="209" t="s">
        <v>183</v>
      </c>
      <c r="G45" s="135" t="s">
        <v>238</v>
      </c>
    </row>
    <row r="46" spans="1:5" ht="12.75">
      <c r="A46" s="140">
        <f t="shared" si="1"/>
        <v>38</v>
      </c>
      <c r="B46" s="169" t="s">
        <v>239</v>
      </c>
      <c r="C46" s="212">
        <f>C45/C13</f>
        <v>5.990442093520729</v>
      </c>
      <c r="D46" s="213">
        <f>ROUND((D22/E22)*E46,2)</f>
        <v>7.24</v>
      </c>
      <c r="E46" s="214">
        <f>ROUND(C45/(E13+(D22/E22)*D13),2)</f>
        <v>4.81</v>
      </c>
    </row>
    <row r="47" spans="1:3" ht="12.75">
      <c r="A47" s="140">
        <f t="shared" si="1"/>
        <v>39</v>
      </c>
      <c r="B47" s="154"/>
      <c r="C47" s="153"/>
    </row>
    <row r="48" spans="1:3" ht="12.75">
      <c r="A48" s="140">
        <f t="shared" si="1"/>
        <v>40</v>
      </c>
      <c r="B48" s="156" t="s">
        <v>208</v>
      </c>
      <c r="C48" s="153"/>
    </row>
    <row r="49" spans="1:3" ht="12.75">
      <c r="A49" s="140">
        <f t="shared" si="1"/>
        <v>41</v>
      </c>
      <c r="B49" s="102" t="s">
        <v>240</v>
      </c>
      <c r="C49" s="155">
        <f>D46*D13+E13*E46</f>
        <v>26288723.148432177</v>
      </c>
    </row>
    <row r="50" spans="1:3" ht="12.75">
      <c r="A50" s="140">
        <f t="shared" si="1"/>
        <v>42</v>
      </c>
      <c r="B50" s="154"/>
      <c r="C50" s="153"/>
    </row>
    <row r="51" spans="1:7" ht="12.75">
      <c r="A51" s="140">
        <f t="shared" si="1"/>
        <v>43</v>
      </c>
      <c r="B51" s="206" t="s">
        <v>209</v>
      </c>
      <c r="C51" s="215">
        <f>+(1+D37)*C30</f>
        <v>1074452.2629225373</v>
      </c>
      <c r="G51" s="135" t="s">
        <v>238</v>
      </c>
    </row>
    <row r="52" spans="1:3" ht="12.75">
      <c r="A52" s="140">
        <f t="shared" si="1"/>
        <v>44</v>
      </c>
      <c r="B52" s="163" t="s">
        <v>191</v>
      </c>
      <c r="C52" s="216">
        <f>ROUND(C51/C15,5)</f>
        <v>0.00115</v>
      </c>
    </row>
    <row r="53" spans="1:3" ht="12.75">
      <c r="A53" s="140">
        <f t="shared" si="1"/>
        <v>45</v>
      </c>
      <c r="B53" s="154"/>
      <c r="C53" s="153"/>
    </row>
    <row r="54" spans="1:3" ht="12.75">
      <c r="A54" s="140">
        <f t="shared" si="1"/>
        <v>46</v>
      </c>
      <c r="B54" s="156" t="s">
        <v>210</v>
      </c>
      <c r="C54" s="153"/>
    </row>
    <row r="55" spans="1:3" ht="12.75">
      <c r="A55" s="140">
        <f t="shared" si="1"/>
        <v>47</v>
      </c>
      <c r="B55" s="102" t="s">
        <v>191</v>
      </c>
      <c r="C55" s="155">
        <f>+C52*C15</f>
        <v>1074180.5553373897</v>
      </c>
    </row>
    <row r="56" spans="1:6" ht="12.75">
      <c r="A56" s="140">
        <f t="shared" si="1"/>
        <v>48</v>
      </c>
      <c r="F56" s="104"/>
    </row>
    <row r="57" spans="1:3" ht="12.75">
      <c r="A57" s="140">
        <f t="shared" si="1"/>
        <v>49</v>
      </c>
      <c r="B57" s="142" t="s">
        <v>164</v>
      </c>
      <c r="C57" s="153">
        <f>+C35-C43-C49-C55</f>
        <v>94520891.48160799</v>
      </c>
    </row>
    <row r="58" spans="1:3" ht="12.75">
      <c r="A58" s="140">
        <f t="shared" si="1"/>
        <v>50</v>
      </c>
      <c r="B58" s="142"/>
      <c r="C58" s="153"/>
    </row>
    <row r="59" spans="1:6" ht="12.75">
      <c r="A59" s="140">
        <f t="shared" si="1"/>
        <v>51</v>
      </c>
      <c r="B59" s="158" t="s">
        <v>149</v>
      </c>
      <c r="C59" s="159"/>
      <c r="D59" s="150"/>
      <c r="F59" s="104"/>
    </row>
    <row r="60" spans="1:7" ht="12.75">
      <c r="A60" s="140">
        <f t="shared" si="1"/>
        <v>52</v>
      </c>
      <c r="B60" s="163" t="s">
        <v>176</v>
      </c>
      <c r="C60" s="170">
        <f>ROUND(+C57/C11,6)</f>
        <v>0.050095</v>
      </c>
      <c r="D60" s="150">
        <f>+C60-SUM(C20:C21)</f>
        <v>0.0005840000000000012</v>
      </c>
      <c r="E60" s="165">
        <f>+D60/SUM(C20:C21)</f>
        <v>0.011795358607178227</v>
      </c>
      <c r="G60" s="135" t="s">
        <v>241</v>
      </c>
    </row>
    <row r="61" ht="12.75">
      <c r="A61" s="140">
        <f t="shared" si="1"/>
        <v>53</v>
      </c>
    </row>
    <row r="62" spans="1:2" ht="12.75">
      <c r="A62" s="140">
        <f t="shared" si="1"/>
        <v>54</v>
      </c>
      <c r="B62" s="135" t="s">
        <v>153</v>
      </c>
    </row>
    <row r="63" spans="1:3" ht="12.75">
      <c r="A63" s="140">
        <f t="shared" si="1"/>
        <v>55</v>
      </c>
      <c r="B63" s="142" t="s">
        <v>176</v>
      </c>
      <c r="C63" s="237">
        <f>+C60*C11</f>
        <v>94520357.78549835</v>
      </c>
    </row>
    <row r="64" spans="1:2" ht="12.75">
      <c r="A64" s="140">
        <f t="shared" si="1"/>
        <v>56</v>
      </c>
      <c r="B64" s="154"/>
    </row>
    <row r="65" spans="1:3" ht="12.75">
      <c r="A65" s="140">
        <f t="shared" si="1"/>
        <v>57</v>
      </c>
      <c r="B65" s="135" t="s">
        <v>170</v>
      </c>
      <c r="C65" s="153">
        <f>+C63+C55+C49+C43</f>
        <v>122570464.7617765</v>
      </c>
    </row>
    <row r="66" spans="1:3" ht="12.75">
      <c r="A66" s="140">
        <f t="shared" si="1"/>
        <v>58</v>
      </c>
      <c r="B66" s="135" t="s">
        <v>171</v>
      </c>
      <c r="C66" s="153">
        <f>+C65-C35</f>
        <v>-533.6961096376181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59" r:id="rId1"/>
  <headerFooter alignWithMargins="0">
    <oddHeader>&amp;RExhibit No. ___(JAH-23)
Page &amp;P of &amp;N</oddHeader>
  </headerFooter>
  <rowBreaks count="1" manualBreakCount="1">
    <brk id="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5" zoomScaleNormal="85" workbookViewId="0" topLeftCell="A37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4.28125" style="135" bestFit="1" customWidth="1"/>
    <col min="4" max="5" width="12.57421875" style="135" bestFit="1" customWidth="1"/>
    <col min="6" max="6" width="6.8515625" style="135" customWidth="1"/>
    <col min="7" max="7" width="41.00390625" style="135" bestFit="1" customWidth="1"/>
    <col min="8" max="16384" width="9.140625" style="135" customWidth="1"/>
  </cols>
  <sheetData>
    <row r="1" spans="2:7" ht="12.75">
      <c r="B1" s="136" t="s">
        <v>0</v>
      </c>
      <c r="C1" s="136"/>
      <c r="D1" s="136"/>
      <c r="E1" s="136"/>
      <c r="F1" s="136"/>
      <c r="G1" s="136"/>
    </row>
    <row r="2" spans="2:7" ht="12.75">
      <c r="B2" s="136" t="s">
        <v>137</v>
      </c>
      <c r="C2" s="136"/>
      <c r="D2" s="136"/>
      <c r="E2" s="136"/>
      <c r="F2" s="136"/>
      <c r="G2" s="136"/>
    </row>
    <row r="3" spans="2:7" ht="12.75">
      <c r="B3" s="136" t="s">
        <v>21</v>
      </c>
      <c r="C3" s="136"/>
      <c r="D3" s="136"/>
      <c r="E3" s="136"/>
      <c r="F3" s="136"/>
      <c r="G3" s="136"/>
    </row>
    <row r="4" spans="2:7" ht="12.75">
      <c r="B4" s="136" t="s">
        <v>86</v>
      </c>
      <c r="C4" s="136"/>
      <c r="D4" s="136"/>
      <c r="E4" s="136"/>
      <c r="F4" s="136"/>
      <c r="G4" s="136"/>
    </row>
    <row r="6" spans="1:5" s="139" customFormat="1" ht="25.5">
      <c r="A6" s="137" t="s">
        <v>139</v>
      </c>
      <c r="B6" s="137"/>
      <c r="C6" s="137" t="s">
        <v>48</v>
      </c>
      <c r="D6" s="137" t="s">
        <v>172</v>
      </c>
      <c r="E6" s="137" t="s">
        <v>173</v>
      </c>
    </row>
    <row r="7" spans="1:3" ht="13.5" thickBot="1">
      <c r="A7" s="140">
        <v>1</v>
      </c>
      <c r="B7" s="141" t="s">
        <v>141</v>
      </c>
      <c r="C7" s="144">
        <f>+'Primary Sch 31'!$D$10</f>
        <v>6077.528599999999</v>
      </c>
    </row>
    <row r="8" spans="1:3" ht="13.5" thickTop="1">
      <c r="A8" s="140">
        <f aca="true" t="shared" si="0" ref="A8:A20">+A7+1</f>
        <v>2</v>
      </c>
      <c r="C8" s="143"/>
    </row>
    <row r="9" spans="1:3" ht="12.75">
      <c r="A9" s="140">
        <f t="shared" si="0"/>
        <v>3</v>
      </c>
      <c r="B9" s="154" t="s">
        <v>6</v>
      </c>
      <c r="C9" s="143">
        <f>+'Primary Sch 31'!$B$12</f>
        <v>1661414453.1427002</v>
      </c>
    </row>
    <row r="10" spans="1:3" ht="12.75">
      <c r="A10" s="140">
        <f t="shared" si="0"/>
        <v>4</v>
      </c>
      <c r="B10" s="142" t="s">
        <v>175</v>
      </c>
      <c r="C10" s="143">
        <f>+'Primary Sch 31'!$C$12</f>
        <v>-3882862.066197941</v>
      </c>
    </row>
    <row r="11" spans="1:3" ht="13.5" thickBot="1">
      <c r="A11" s="140">
        <f t="shared" si="0"/>
        <v>5</v>
      </c>
      <c r="B11" s="156" t="s">
        <v>59</v>
      </c>
      <c r="C11" s="144">
        <f>SUM(C9:C10)</f>
        <v>1657531591.0765023</v>
      </c>
    </row>
    <row r="12" ht="13.5" thickTop="1">
      <c r="A12" s="140">
        <f t="shared" si="0"/>
        <v>6</v>
      </c>
    </row>
    <row r="13" spans="1:5" ht="13.5" thickBot="1">
      <c r="A13" s="140">
        <f t="shared" si="0"/>
        <v>7</v>
      </c>
      <c r="B13" s="141" t="s">
        <v>187</v>
      </c>
      <c r="C13" s="144">
        <f>SUM(D13:E13)</f>
        <v>3946814.654071696</v>
      </c>
      <c r="D13" s="144">
        <f>+'Primary Sch 31'!$D$14</f>
        <v>1927229.011235914</v>
      </c>
      <c r="E13" s="144">
        <f>+'Primary Sch 31'!$D$15</f>
        <v>2019585.6428357824</v>
      </c>
    </row>
    <row r="14" ht="13.5" thickTop="1">
      <c r="A14" s="140">
        <f t="shared" si="0"/>
        <v>8</v>
      </c>
    </row>
    <row r="15" spans="1:3" ht="13.5" thickBot="1">
      <c r="A15" s="140">
        <f t="shared" si="0"/>
        <v>9</v>
      </c>
      <c r="B15" s="156" t="s">
        <v>190</v>
      </c>
      <c r="C15" s="144">
        <f>+'Primary Sch 31'!$D$18</f>
        <v>919421179.1755927</v>
      </c>
    </row>
    <row r="16" ht="13.5" thickTop="1">
      <c r="A16" s="140">
        <f t="shared" si="0"/>
        <v>10</v>
      </c>
    </row>
    <row r="17" spans="1:5" ht="12.75">
      <c r="A17" s="140">
        <f t="shared" si="0"/>
        <v>11</v>
      </c>
      <c r="B17" s="146" t="s">
        <v>229</v>
      </c>
      <c r="C17" s="147"/>
      <c r="D17" s="147"/>
      <c r="E17" s="148"/>
    </row>
    <row r="18" spans="1:2" ht="12.75">
      <c r="A18" s="140">
        <f t="shared" si="0"/>
        <v>12</v>
      </c>
      <c r="B18" s="135" t="s">
        <v>192</v>
      </c>
    </row>
    <row r="19" spans="1:5" ht="12.75">
      <c r="A19" s="140">
        <f t="shared" si="0"/>
        <v>13</v>
      </c>
      <c r="B19" s="142" t="s">
        <v>232</v>
      </c>
      <c r="C19" s="149">
        <f>+'Primary Sch 31'!$E$10</f>
        <v>200</v>
      </c>
      <c r="D19" s="149"/>
      <c r="E19" s="149"/>
    </row>
    <row r="20" spans="1:5" ht="12.75">
      <c r="A20" s="140">
        <f t="shared" si="0"/>
        <v>14</v>
      </c>
      <c r="B20" s="142" t="s">
        <v>233</v>
      </c>
      <c r="C20" s="150">
        <f>+'Primary Sch 31'!$E$12</f>
        <v>0.042539999999999994</v>
      </c>
      <c r="D20" s="150"/>
      <c r="E20" s="150"/>
    </row>
    <row r="21" spans="1:5" ht="12.75">
      <c r="A21" s="140"/>
      <c r="B21" s="142" t="s">
        <v>60</v>
      </c>
      <c r="C21" s="150">
        <f>+'Primary Sch 31'!$E$20</f>
        <v>0.002045</v>
      </c>
      <c r="D21" s="150"/>
      <c r="E21" s="150"/>
    </row>
    <row r="22" spans="1:5" ht="12.75">
      <c r="A22" s="140">
        <f>+A20+1</f>
        <v>15</v>
      </c>
      <c r="B22" s="154" t="s">
        <v>242</v>
      </c>
      <c r="D22" s="149">
        <f>+'Primary Sch 31'!$E$14</f>
        <v>6.41</v>
      </c>
      <c r="E22" s="149">
        <f>+'Primary Sch 31'!$E$15</f>
        <v>4.27</v>
      </c>
    </row>
    <row r="23" spans="1:5" ht="12.75">
      <c r="A23" s="140">
        <f aca="true" t="shared" si="1" ref="A23:A70">+A22+1</f>
        <v>16</v>
      </c>
      <c r="B23" s="142" t="s">
        <v>243</v>
      </c>
      <c r="C23" s="225">
        <f>+'Primary Sch 31'!$E$18</f>
        <v>0.0008100000000000001</v>
      </c>
      <c r="D23" s="225"/>
      <c r="E23" s="225"/>
    </row>
    <row r="24" ht="12.75">
      <c r="A24" s="140">
        <f t="shared" si="1"/>
        <v>17</v>
      </c>
    </row>
    <row r="25" spans="1:2" ht="12.75">
      <c r="A25" s="140">
        <f t="shared" si="1"/>
        <v>18</v>
      </c>
      <c r="B25" s="135" t="s">
        <v>196</v>
      </c>
    </row>
    <row r="26" spans="1:7" ht="12.75">
      <c r="A26" s="140">
        <f t="shared" si="1"/>
        <v>19</v>
      </c>
      <c r="B26" s="154" t="s">
        <v>244</v>
      </c>
      <c r="C26" s="228">
        <f>+C7*C19</f>
        <v>1215505.7199999997</v>
      </c>
      <c r="D26" s="228"/>
      <c r="E26" s="228"/>
      <c r="F26" s="104"/>
      <c r="G26" s="95"/>
    </row>
    <row r="27" spans="1:7" ht="12.75">
      <c r="A27" s="140">
        <f t="shared" si="1"/>
        <v>20</v>
      </c>
      <c r="B27" s="142" t="s">
        <v>245</v>
      </c>
      <c r="C27" s="228">
        <f>+C11*C20</f>
        <v>70511393.88439439</v>
      </c>
      <c r="D27" s="228"/>
      <c r="E27" s="228"/>
      <c r="F27" s="104"/>
      <c r="G27" s="95"/>
    </row>
    <row r="28" spans="1:7" ht="12.75">
      <c r="A28" s="140">
        <f t="shared" si="1"/>
        <v>21</v>
      </c>
      <c r="B28" s="142" t="s">
        <v>60</v>
      </c>
      <c r="C28" s="228">
        <f>+C11*C21</f>
        <v>3389652.103751447</v>
      </c>
      <c r="D28" s="228"/>
      <c r="E28" s="228"/>
      <c r="F28" s="104"/>
      <c r="G28" s="95"/>
    </row>
    <row r="29" spans="1:7" ht="12.75">
      <c r="A29" s="140">
        <f t="shared" si="1"/>
        <v>22</v>
      </c>
      <c r="B29" s="142" t="s">
        <v>234</v>
      </c>
      <c r="C29" s="228">
        <f>SUM(D29:E29)</f>
        <v>20977168.656930998</v>
      </c>
      <c r="D29" s="228">
        <f>+D13*D22</f>
        <v>12353537.96202221</v>
      </c>
      <c r="E29" s="228">
        <f>+E13*E22</f>
        <v>8623630.69490879</v>
      </c>
      <c r="F29" s="104"/>
      <c r="G29" s="95"/>
    </row>
    <row r="30" spans="1:7" ht="12.75">
      <c r="A30" s="140">
        <f t="shared" si="1"/>
        <v>23</v>
      </c>
      <c r="B30" s="142" t="s">
        <v>235</v>
      </c>
      <c r="C30" s="228">
        <f>+C15*C23</f>
        <v>744731.1551322301</v>
      </c>
      <c r="F30" s="104"/>
      <c r="G30" s="95"/>
    </row>
    <row r="31" spans="1:7" ht="13.5" thickBot="1">
      <c r="A31" s="140">
        <f t="shared" si="1"/>
        <v>24</v>
      </c>
      <c r="B31" s="142" t="s">
        <v>246</v>
      </c>
      <c r="C31" s="229">
        <f>SUM(C30,C29,C27,C26,C28)</f>
        <v>96838451.52020907</v>
      </c>
      <c r="F31" s="153"/>
      <c r="G31" s="153"/>
    </row>
    <row r="32" spans="1:3" ht="13.5" thickTop="1">
      <c r="A32" s="140">
        <f t="shared" si="1"/>
        <v>25</v>
      </c>
      <c r="C32" s="153"/>
    </row>
    <row r="33" spans="1:5" ht="12.75">
      <c r="A33" s="140">
        <f t="shared" si="1"/>
        <v>26</v>
      </c>
      <c r="B33" s="180" t="str">
        <f>+'Residential Schedule 7'!B35</f>
        <v>Proposed Rates Effective 2005</v>
      </c>
      <c r="C33" s="147"/>
      <c r="D33" s="147"/>
      <c r="E33" s="148"/>
    </row>
    <row r="34" spans="1:5" ht="12.75">
      <c r="A34" s="140">
        <f t="shared" si="1"/>
        <v>27</v>
      </c>
      <c r="B34" s="157"/>
      <c r="C34" s="157"/>
      <c r="D34" s="157"/>
      <c r="E34" s="157"/>
    </row>
    <row r="35" spans="1:7" ht="12.75">
      <c r="A35" s="140">
        <f t="shared" si="1"/>
        <v>28</v>
      </c>
      <c r="B35" s="238" t="s">
        <v>247</v>
      </c>
      <c r="C35" s="239">
        <v>7092363.024817578</v>
      </c>
      <c r="D35" s="240"/>
      <c r="E35" s="157"/>
      <c r="G35" s="141" t="s">
        <v>161</v>
      </c>
    </row>
    <row r="36" spans="1:5" ht="12.75">
      <c r="A36" s="140">
        <f t="shared" si="1"/>
        <v>29</v>
      </c>
      <c r="B36" s="238" t="s">
        <v>248</v>
      </c>
      <c r="C36" s="241">
        <f>+C31+'Primary Voltage Schedule 35'!C29</f>
        <v>97038441.54640907</v>
      </c>
      <c r="E36" s="157"/>
    </row>
    <row r="37" spans="1:5" ht="12.75">
      <c r="A37" s="140">
        <f t="shared" si="1"/>
        <v>30</v>
      </c>
      <c r="B37" s="222" t="s">
        <v>12</v>
      </c>
      <c r="C37" s="242">
        <f>+C35/C36</f>
        <v>0.0730881794038873</v>
      </c>
      <c r="D37" s="157"/>
      <c r="E37" s="157"/>
    </row>
    <row r="38" spans="1:5" ht="12.75">
      <c r="A38" s="140">
        <f t="shared" si="1"/>
        <v>31</v>
      </c>
      <c r="B38" s="157"/>
      <c r="C38" s="157"/>
      <c r="D38" s="157"/>
      <c r="E38" s="157"/>
    </row>
    <row r="39" spans="1:4" ht="12.75">
      <c r="A39" s="140">
        <f t="shared" si="1"/>
        <v>32</v>
      </c>
      <c r="B39" s="141" t="s">
        <v>160</v>
      </c>
      <c r="C39" s="95">
        <f>+C37*C31</f>
        <v>7077746.117903684</v>
      </c>
      <c r="D39" s="153"/>
    </row>
    <row r="40" spans="1:3" ht="12.75">
      <c r="A40" s="140">
        <f t="shared" si="1"/>
        <v>33</v>
      </c>
      <c r="B40" s="141" t="s">
        <v>249</v>
      </c>
      <c r="C40" s="95">
        <f>+C31+C39</f>
        <v>103916197.63811275</v>
      </c>
    </row>
    <row r="41" spans="1:3" ht="12.75">
      <c r="A41" s="140">
        <f t="shared" si="1"/>
        <v>34</v>
      </c>
      <c r="B41" s="141" t="s">
        <v>178</v>
      </c>
      <c r="C41" s="165">
        <f>+C39/C31</f>
        <v>0.0730881794038873</v>
      </c>
    </row>
    <row r="42" ht="12.75">
      <c r="A42" s="140">
        <f t="shared" si="1"/>
        <v>35</v>
      </c>
    </row>
    <row r="43" spans="1:5" ht="12.75">
      <c r="A43" s="140">
        <f t="shared" si="1"/>
        <v>36</v>
      </c>
      <c r="B43" s="158" t="s">
        <v>148</v>
      </c>
      <c r="C43" s="159"/>
      <c r="E43" s="243"/>
    </row>
    <row r="44" spans="1:7" ht="12.75">
      <c r="A44" s="140">
        <f t="shared" si="1"/>
        <v>37</v>
      </c>
      <c r="B44" s="163" t="s">
        <v>204</v>
      </c>
      <c r="C44" s="205">
        <f>C19</f>
        <v>200</v>
      </c>
      <c r="D44" s="162"/>
      <c r="E44" s="162"/>
      <c r="G44" s="156" t="s">
        <v>250</v>
      </c>
    </row>
    <row r="45" ht="12.75">
      <c r="A45" s="140">
        <f t="shared" si="1"/>
        <v>38</v>
      </c>
    </row>
    <row r="46" spans="1:2" ht="12.75">
      <c r="A46" s="140">
        <f t="shared" si="1"/>
        <v>39</v>
      </c>
      <c r="B46" s="141" t="s">
        <v>151</v>
      </c>
    </row>
    <row r="47" spans="1:3" ht="12.75">
      <c r="A47" s="140">
        <f t="shared" si="1"/>
        <v>40</v>
      </c>
      <c r="B47" s="154" t="s">
        <v>152</v>
      </c>
      <c r="C47" s="155">
        <f>+C44*C7</f>
        <v>1215505.7199999997</v>
      </c>
    </row>
    <row r="48" spans="1:3" ht="12.75">
      <c r="A48" s="140">
        <f t="shared" si="1"/>
        <v>41</v>
      </c>
      <c r="B48" s="154"/>
      <c r="C48" s="153"/>
    </row>
    <row r="49" spans="1:5" ht="12.75">
      <c r="A49" s="140">
        <f t="shared" si="1"/>
        <v>42</v>
      </c>
      <c r="B49" s="206" t="s">
        <v>205</v>
      </c>
      <c r="C49" s="207">
        <f>'Proforma Demand Revenue'!$M$12</f>
        <v>24110480.867849544</v>
      </c>
      <c r="D49" s="208"/>
      <c r="E49" s="209"/>
    </row>
    <row r="50" spans="1:7" ht="12.75">
      <c r="A50" s="140">
        <f t="shared" si="1"/>
        <v>43</v>
      </c>
      <c r="B50" s="169" t="s">
        <v>251</v>
      </c>
      <c r="C50" s="212">
        <f>ROUND(C49/C13,2)</f>
        <v>6.11</v>
      </c>
      <c r="D50" s="213">
        <f>ROUND((D22/E22)*E50,2)</f>
        <v>7.37</v>
      </c>
      <c r="E50" s="214">
        <f>ROUND(C49/(E13+(D22/E22)*D13),2)</f>
        <v>4.91</v>
      </c>
      <c r="G50" s="175" t="s">
        <v>221</v>
      </c>
    </row>
    <row r="51" spans="1:3" ht="12.75">
      <c r="A51" s="140">
        <f t="shared" si="1"/>
        <v>44</v>
      </c>
      <c r="B51" s="154"/>
      <c r="C51" s="153"/>
    </row>
    <row r="52" spans="1:3" ht="12.75">
      <c r="A52" s="140">
        <f t="shared" si="1"/>
        <v>45</v>
      </c>
      <c r="B52" s="156" t="s">
        <v>208</v>
      </c>
      <c r="C52" s="153"/>
    </row>
    <row r="53" spans="1:3" ht="12.75">
      <c r="A53" s="140">
        <f t="shared" si="1"/>
        <v>46</v>
      </c>
      <c r="B53" s="102" t="s">
        <v>240</v>
      </c>
      <c r="C53" s="155">
        <f>D50*D13+E13*E50</f>
        <v>24119843.31913238</v>
      </c>
    </row>
    <row r="54" spans="1:3" ht="12.75">
      <c r="A54" s="140">
        <f t="shared" si="1"/>
        <v>47</v>
      </c>
      <c r="B54" s="154"/>
      <c r="C54" s="153"/>
    </row>
    <row r="55" spans="1:7" ht="12.75">
      <c r="A55" s="140">
        <f t="shared" si="1"/>
        <v>48</v>
      </c>
      <c r="B55" s="206" t="s">
        <v>209</v>
      </c>
      <c r="C55" s="215">
        <f>'Proforma Demand Revenue'!$L$12</f>
        <v>853618.8824858506</v>
      </c>
      <c r="G55" s="141" t="s">
        <v>221</v>
      </c>
    </row>
    <row r="56" spans="1:3" ht="12.75">
      <c r="A56" s="140">
        <f t="shared" si="1"/>
        <v>49</v>
      </c>
      <c r="B56" s="163" t="s">
        <v>191</v>
      </c>
      <c r="C56" s="216">
        <f>ROUND(C55/C15,5)</f>
        <v>0.00093</v>
      </c>
    </row>
    <row r="57" spans="1:3" ht="12.75">
      <c r="A57" s="140">
        <f t="shared" si="1"/>
        <v>50</v>
      </c>
      <c r="B57" s="154"/>
      <c r="C57" s="153"/>
    </row>
    <row r="58" spans="1:3" ht="12.75">
      <c r="A58" s="140">
        <f t="shared" si="1"/>
        <v>51</v>
      </c>
      <c r="B58" s="156" t="s">
        <v>210</v>
      </c>
      <c r="C58" s="153"/>
    </row>
    <row r="59" spans="1:3" ht="12.75">
      <c r="A59" s="140">
        <f t="shared" si="1"/>
        <v>52</v>
      </c>
      <c r="B59" s="102" t="s">
        <v>191</v>
      </c>
      <c r="C59" s="155">
        <f>+C56*C15</f>
        <v>855061.6966333012</v>
      </c>
    </row>
    <row r="60" spans="1:6" ht="12.75">
      <c r="A60" s="140">
        <f t="shared" si="1"/>
        <v>53</v>
      </c>
      <c r="F60" s="104"/>
    </row>
    <row r="61" spans="1:4" ht="12.75">
      <c r="A61" s="140">
        <f t="shared" si="1"/>
        <v>54</v>
      </c>
      <c r="B61" s="142" t="s">
        <v>164</v>
      </c>
      <c r="C61" s="153">
        <f>+C40-C47-C53-C59</f>
        <v>77725786.90234707</v>
      </c>
      <c r="D61" s="153"/>
    </row>
    <row r="62" spans="1:3" ht="12.75">
      <c r="A62" s="140">
        <f t="shared" si="1"/>
        <v>55</v>
      </c>
      <c r="B62" s="142"/>
      <c r="C62" s="153"/>
    </row>
    <row r="63" spans="1:6" ht="12.75">
      <c r="A63" s="140">
        <f t="shared" si="1"/>
        <v>56</v>
      </c>
      <c r="B63" s="158" t="s">
        <v>149</v>
      </c>
      <c r="C63" s="159"/>
      <c r="D63" s="150"/>
      <c r="F63" s="104"/>
    </row>
    <row r="64" spans="1:7" ht="12.75">
      <c r="A64" s="140">
        <f t="shared" si="1"/>
        <v>57</v>
      </c>
      <c r="B64" s="163" t="s">
        <v>176</v>
      </c>
      <c r="C64" s="170">
        <f>ROUND(+C61/C11,6)</f>
        <v>0.046892</v>
      </c>
      <c r="D64" s="153"/>
      <c r="G64" s="135" t="s">
        <v>241</v>
      </c>
    </row>
    <row r="65" ht="12.75">
      <c r="A65" s="140">
        <f t="shared" si="1"/>
        <v>58</v>
      </c>
    </row>
    <row r="66" spans="1:2" ht="12.75">
      <c r="A66" s="140">
        <f t="shared" si="1"/>
        <v>59</v>
      </c>
      <c r="B66" s="135" t="s">
        <v>153</v>
      </c>
    </row>
    <row r="67" spans="1:3" ht="12.75">
      <c r="A67" s="140">
        <f t="shared" si="1"/>
        <v>60</v>
      </c>
      <c r="B67" s="142" t="s">
        <v>176</v>
      </c>
      <c r="C67" s="237">
        <f>+C64*C11</f>
        <v>77724971.36875935</v>
      </c>
    </row>
    <row r="68" spans="1:2" ht="12.75">
      <c r="A68" s="140">
        <f t="shared" si="1"/>
        <v>61</v>
      </c>
      <c r="B68" s="154"/>
    </row>
    <row r="69" spans="1:3" ht="12.75">
      <c r="A69" s="140">
        <f t="shared" si="1"/>
        <v>62</v>
      </c>
      <c r="B69" s="135" t="s">
        <v>170</v>
      </c>
      <c r="C69" s="153">
        <f>+C67+C59+C53+C47</f>
        <v>103915382.10452503</v>
      </c>
    </row>
    <row r="70" spans="1:3" ht="12.75">
      <c r="A70" s="140">
        <f t="shared" si="1"/>
        <v>63</v>
      </c>
      <c r="B70" s="135" t="s">
        <v>171</v>
      </c>
      <c r="C70" s="153">
        <f>+C69-C40</f>
        <v>-815.5335877239704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4" r:id="rId1"/>
  <headerFooter alignWithMargins="0">
    <oddHeader>&amp;RExhibit No. ___(JAH-23)
Page 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="85" zoomScaleNormal="85" workbookViewId="0" topLeftCell="A34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1.00390625" style="135" bestFit="1" customWidth="1"/>
    <col min="4" max="4" width="13.7109375" style="135" bestFit="1" customWidth="1"/>
    <col min="5" max="5" width="14.7109375" style="135" bestFit="1" customWidth="1"/>
    <col min="6" max="6" width="41.00390625" style="135" bestFit="1" customWidth="1"/>
    <col min="7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21</v>
      </c>
      <c r="C3" s="136"/>
      <c r="D3" s="136"/>
      <c r="E3" s="136"/>
    </row>
    <row r="4" spans="2:5" ht="12.75">
      <c r="B4" s="136" t="s">
        <v>88</v>
      </c>
      <c r="C4" s="136"/>
      <c r="D4" s="136"/>
      <c r="E4" s="136"/>
    </row>
    <row r="6" spans="1:5" s="139" customFormat="1" ht="25.5">
      <c r="A6" s="137" t="s">
        <v>139</v>
      </c>
      <c r="B6" s="137"/>
      <c r="C6" s="137" t="s">
        <v>48</v>
      </c>
      <c r="D6" s="138" t="s">
        <v>252</v>
      </c>
      <c r="E6" s="138" t="s">
        <v>253</v>
      </c>
    </row>
    <row r="7" spans="1:3" ht="13.5" thickBot="1">
      <c r="A7" s="140">
        <v>1</v>
      </c>
      <c r="B7" s="141" t="s">
        <v>141</v>
      </c>
      <c r="C7" s="144">
        <f>+'Primary Sch 35'!$B$10</f>
        <v>12</v>
      </c>
    </row>
    <row r="8" spans="1:3" ht="13.5" thickTop="1">
      <c r="A8" s="140">
        <f aca="true" t="shared" si="0" ref="A8:A18">+A7+1</f>
        <v>2</v>
      </c>
      <c r="C8" s="143"/>
    </row>
    <row r="9" spans="1:3" ht="13.5" thickBot="1">
      <c r="A9" s="140">
        <f t="shared" si="0"/>
        <v>3</v>
      </c>
      <c r="B9" s="141" t="s">
        <v>144</v>
      </c>
      <c r="C9" s="144">
        <f>+'Primary Sch 35'!$B$12</f>
        <v>4966200</v>
      </c>
    </row>
    <row r="10" ht="13.5" thickTop="1">
      <c r="A10" s="140">
        <f t="shared" si="0"/>
        <v>4</v>
      </c>
    </row>
    <row r="11" spans="1:5" ht="13.5" thickBot="1">
      <c r="A11" s="140">
        <f t="shared" si="0"/>
        <v>5</v>
      </c>
      <c r="B11" s="141" t="s">
        <v>187</v>
      </c>
      <c r="C11" s="144">
        <f>SUM(D11:E11)</f>
        <v>9073.797297297298</v>
      </c>
      <c r="D11" s="144">
        <f>+'Primary Sch 35'!$B$14</f>
        <v>1064.7927927927929</v>
      </c>
      <c r="E11" s="144">
        <f>+'Primary Sch 35'!$B$15</f>
        <v>8009.004504504505</v>
      </c>
    </row>
    <row r="12" ht="13.5" thickTop="1">
      <c r="A12" s="140">
        <f t="shared" si="0"/>
        <v>6</v>
      </c>
    </row>
    <row r="13" spans="1:3" ht="13.5" thickBot="1">
      <c r="A13" s="140">
        <f t="shared" si="0"/>
        <v>7</v>
      </c>
      <c r="B13" s="156" t="s">
        <v>190</v>
      </c>
      <c r="C13" s="144">
        <f>+'Primary Sch 35'!$B$18</f>
        <v>2344204.8192771086</v>
      </c>
    </row>
    <row r="14" ht="13.5" thickTop="1">
      <c r="A14" s="140">
        <f t="shared" si="0"/>
        <v>8</v>
      </c>
    </row>
    <row r="15" spans="1:5" ht="12.75">
      <c r="A15" s="140">
        <f t="shared" si="0"/>
        <v>9</v>
      </c>
      <c r="B15" s="146" t="str">
        <f>+'Residential Schedule 7'!B16</f>
        <v>Current Base Rates Effective 10-1-03</v>
      </c>
      <c r="C15" s="147"/>
      <c r="D15" s="147"/>
      <c r="E15" s="148"/>
    </row>
    <row r="16" spans="1:2" ht="12.75">
      <c r="A16" s="140">
        <f t="shared" si="0"/>
        <v>10</v>
      </c>
      <c r="B16" s="135" t="s">
        <v>192</v>
      </c>
    </row>
    <row r="17" spans="1:5" ht="12.75">
      <c r="A17" s="140">
        <f t="shared" si="0"/>
        <v>11</v>
      </c>
      <c r="B17" s="142" t="s">
        <v>232</v>
      </c>
      <c r="C17" s="149">
        <f>+'Primary Sch 35'!$C$10</f>
        <v>200</v>
      </c>
      <c r="D17" s="149"/>
      <c r="E17" s="149"/>
    </row>
    <row r="18" spans="1:5" ht="12.75">
      <c r="A18" s="140">
        <f t="shared" si="0"/>
        <v>12</v>
      </c>
      <c r="B18" s="142" t="s">
        <v>233</v>
      </c>
      <c r="C18" s="150">
        <f>+'Primary Sch 35'!$C$12</f>
        <v>0.033147</v>
      </c>
      <c r="D18" s="150"/>
      <c r="E18" s="150"/>
    </row>
    <row r="19" spans="1:5" ht="12.75">
      <c r="A19" s="140"/>
      <c r="B19" s="142" t="s">
        <v>60</v>
      </c>
      <c r="C19" s="150">
        <f>+'Primary Sch 35'!$C$20</f>
        <v>0.001954</v>
      </c>
      <c r="D19" s="150"/>
      <c r="E19" s="150"/>
    </row>
    <row r="20" spans="1:5" ht="12.75">
      <c r="A20" s="140">
        <f>+A18+1</f>
        <v>13</v>
      </c>
      <c r="B20" s="154" t="s">
        <v>242</v>
      </c>
      <c r="D20" s="149">
        <f>+'Primary Sch 35'!$C$14</f>
        <v>3.33</v>
      </c>
      <c r="E20" s="149">
        <f>+'Primary Sch 35'!$C$15</f>
        <v>2.22</v>
      </c>
    </row>
    <row r="21" spans="1:5" ht="12.75">
      <c r="A21" s="140">
        <f>+A20+1</f>
        <v>14</v>
      </c>
      <c r="B21" s="142" t="s">
        <v>243</v>
      </c>
      <c r="C21" s="225">
        <f>+'Primary Sch 35'!$C$18</f>
        <v>0.00083</v>
      </c>
      <c r="D21" s="225"/>
      <c r="E21" s="225"/>
    </row>
    <row r="22" spans="1:5" ht="12.75">
      <c r="A22" s="140">
        <f>+A21+1</f>
        <v>15</v>
      </c>
      <c r="B22" s="142"/>
      <c r="D22" s="225"/>
      <c r="E22" s="225"/>
    </row>
    <row r="23" spans="1:5" ht="12.75">
      <c r="A23" s="140">
        <f>+A22+1</f>
        <v>16</v>
      </c>
      <c r="B23" s="135" t="s">
        <v>196</v>
      </c>
      <c r="C23" s="104"/>
      <c r="D23" s="104"/>
      <c r="E23" s="104"/>
    </row>
    <row r="24" spans="1:5" ht="12.75">
      <c r="A24" s="140">
        <f>+A23+1</f>
        <v>17</v>
      </c>
      <c r="B24" s="154" t="s">
        <v>244</v>
      </c>
      <c r="C24" s="228">
        <f>+C7*C17</f>
        <v>2400</v>
      </c>
      <c r="D24" s="104"/>
      <c r="E24" s="104"/>
    </row>
    <row r="25" spans="1:5" ht="12.75">
      <c r="A25" s="140">
        <f>+A24+1</f>
        <v>18</v>
      </c>
      <c r="B25" s="142" t="s">
        <v>245</v>
      </c>
      <c r="C25" s="228">
        <f>+C9*C18</f>
        <v>164614.6314</v>
      </c>
      <c r="D25" s="104"/>
      <c r="E25" s="104"/>
    </row>
    <row r="26" spans="1:5" ht="12.75">
      <c r="A26" s="140"/>
      <c r="B26" s="142" t="s">
        <v>60</v>
      </c>
      <c r="C26" s="228">
        <f>+C9*C19</f>
        <v>9703.9548</v>
      </c>
      <c r="D26" s="104"/>
      <c r="E26" s="104"/>
    </row>
    <row r="27" spans="1:5" ht="12.75">
      <c r="A27" s="140">
        <f>+A25+1</f>
        <v>19</v>
      </c>
      <c r="B27" s="142" t="s">
        <v>234</v>
      </c>
      <c r="C27" s="228">
        <f>SUM(D27:E27)</f>
        <v>21325.750000000007</v>
      </c>
      <c r="D27" s="228">
        <f>+D20*D11</f>
        <v>3545.76</v>
      </c>
      <c r="E27" s="228">
        <f>+E20*E11</f>
        <v>17779.990000000005</v>
      </c>
    </row>
    <row r="28" spans="1:5" ht="12.75">
      <c r="A28" s="140">
        <f aca="true" t="shared" si="1" ref="A28:A67">+A27+1</f>
        <v>20</v>
      </c>
      <c r="B28" s="142" t="s">
        <v>235</v>
      </c>
      <c r="C28" s="228">
        <f>+C13*C21</f>
        <v>1945.6900000000003</v>
      </c>
      <c r="D28" s="228"/>
      <c r="E28" s="228"/>
    </row>
    <row r="29" spans="1:6" ht="13.5" thickBot="1">
      <c r="A29" s="140">
        <f t="shared" si="1"/>
        <v>21</v>
      </c>
      <c r="B29" s="142" t="s">
        <v>246</v>
      </c>
      <c r="C29" s="229">
        <f>SUM(C28,C27,C25,C24,C26)</f>
        <v>199990.02620000002</v>
      </c>
      <c r="D29" s="228"/>
      <c r="E29" s="228"/>
      <c r="F29" s="153"/>
    </row>
    <row r="30" spans="1:3" ht="13.5" thickTop="1">
      <c r="A30" s="140">
        <f t="shared" si="1"/>
        <v>22</v>
      </c>
      <c r="C30" s="153"/>
    </row>
    <row r="31" spans="1:5" ht="12.75">
      <c r="A31" s="140">
        <f t="shared" si="1"/>
        <v>23</v>
      </c>
      <c r="B31" s="180" t="str">
        <f>+'Residential Schedule 7'!B35</f>
        <v>Proposed Rates Effective 2005</v>
      </c>
      <c r="C31" s="147"/>
      <c r="D31" s="147"/>
      <c r="E31" s="148"/>
    </row>
    <row r="32" spans="1:5" ht="12.75">
      <c r="A32" s="140">
        <f t="shared" si="1"/>
        <v>24</v>
      </c>
      <c r="B32" s="157"/>
      <c r="C32" s="157"/>
      <c r="D32" s="157"/>
      <c r="E32" s="157"/>
    </row>
    <row r="33" spans="1:3" ht="12.75">
      <c r="A33" s="140">
        <f t="shared" si="1"/>
        <v>25</v>
      </c>
      <c r="B33" s="141" t="s">
        <v>178</v>
      </c>
      <c r="C33" s="165">
        <f>+'Primary Voltage Schedule 31'!C37</f>
        <v>0.0730881794038873</v>
      </c>
    </row>
    <row r="34" spans="1:4" ht="12.75">
      <c r="A34" s="140">
        <f t="shared" si="1"/>
        <v>26</v>
      </c>
      <c r="B34" s="141" t="s">
        <v>160</v>
      </c>
      <c r="C34" s="95">
        <f>+C29*C33</f>
        <v>14616.906913893723</v>
      </c>
      <c r="D34" s="153"/>
    </row>
    <row r="35" spans="1:3" ht="12.75">
      <c r="A35" s="140">
        <f t="shared" si="1"/>
        <v>27</v>
      </c>
      <c r="B35" s="141" t="s">
        <v>254</v>
      </c>
      <c r="C35" s="95">
        <f>+C34+C29</f>
        <v>214606.93311389376</v>
      </c>
    </row>
    <row r="36" ht="12.75">
      <c r="A36" s="140">
        <f t="shared" si="1"/>
        <v>28</v>
      </c>
    </row>
    <row r="37" spans="1:3" ht="12.75">
      <c r="A37" s="140">
        <f t="shared" si="1"/>
        <v>29</v>
      </c>
      <c r="B37" s="158" t="s">
        <v>148</v>
      </c>
      <c r="C37" s="159"/>
    </row>
    <row r="38" spans="1:6" ht="12.75">
      <c r="A38" s="140">
        <f t="shared" si="1"/>
        <v>30</v>
      </c>
      <c r="B38" s="163" t="s">
        <v>204</v>
      </c>
      <c r="C38" s="205">
        <f>+'Primary Voltage Schedule 31'!C44</f>
        <v>200</v>
      </c>
      <c r="D38" s="162"/>
      <c r="F38" s="141" t="s">
        <v>255</v>
      </c>
    </row>
    <row r="39" ht="12.75">
      <c r="A39" s="140">
        <f t="shared" si="1"/>
        <v>31</v>
      </c>
    </row>
    <row r="40" spans="1:2" ht="12.75">
      <c r="A40" s="140">
        <f t="shared" si="1"/>
        <v>32</v>
      </c>
      <c r="B40" s="141" t="s">
        <v>151</v>
      </c>
    </row>
    <row r="41" spans="1:3" ht="12.75">
      <c r="A41" s="140">
        <f t="shared" si="1"/>
        <v>33</v>
      </c>
      <c r="B41" s="154" t="s">
        <v>152</v>
      </c>
      <c r="C41" s="155">
        <f>+C38*C7</f>
        <v>2400</v>
      </c>
    </row>
    <row r="42" spans="1:3" ht="12.75">
      <c r="A42" s="140">
        <f t="shared" si="1"/>
        <v>34</v>
      </c>
      <c r="B42" s="154"/>
      <c r="C42" s="153"/>
    </row>
    <row r="43" spans="1:6" ht="12.75">
      <c r="A43" s="140">
        <f t="shared" si="1"/>
        <v>35</v>
      </c>
      <c r="B43" s="206" t="s">
        <v>205</v>
      </c>
      <c r="C43" s="215">
        <f>+'Proforma Demand Revenue'!$M$13</f>
        <v>24673.244001631367</v>
      </c>
      <c r="F43" s="141" t="s">
        <v>221</v>
      </c>
    </row>
    <row r="44" spans="1:3" ht="12.75">
      <c r="A44" s="140">
        <f t="shared" si="1"/>
        <v>36</v>
      </c>
      <c r="B44" s="244"/>
      <c r="C44" s="245"/>
    </row>
    <row r="45" spans="1:3" ht="12.75">
      <c r="A45" s="140">
        <f t="shared" si="1"/>
        <v>37</v>
      </c>
      <c r="B45" s="166" t="s">
        <v>256</v>
      </c>
      <c r="C45" s="211">
        <f>ROUND(C43/C11,2)</f>
        <v>2.72</v>
      </c>
    </row>
    <row r="46" spans="1:6" ht="12.75">
      <c r="A46" s="140">
        <f t="shared" si="1"/>
        <v>38</v>
      </c>
      <c r="B46" s="160" t="s">
        <v>257</v>
      </c>
      <c r="C46" s="211">
        <f>ROUND(C45*1.5,2)</f>
        <v>4.08</v>
      </c>
      <c r="F46" s="156" t="s">
        <v>258</v>
      </c>
    </row>
    <row r="47" spans="1:3" ht="12.75">
      <c r="A47" s="140">
        <f t="shared" si="1"/>
        <v>39</v>
      </c>
      <c r="B47" s="163" t="s">
        <v>259</v>
      </c>
      <c r="C47" s="164">
        <f>+C45</f>
        <v>2.72</v>
      </c>
    </row>
    <row r="48" spans="1:3" ht="12.75">
      <c r="A48" s="140">
        <f t="shared" si="1"/>
        <v>40</v>
      </c>
      <c r="B48" s="154"/>
      <c r="C48" s="153"/>
    </row>
    <row r="49" spans="1:3" ht="12.75">
      <c r="A49" s="140">
        <f t="shared" si="1"/>
        <v>41</v>
      </c>
      <c r="B49" s="156" t="s">
        <v>208</v>
      </c>
      <c r="C49" s="153"/>
    </row>
    <row r="50" spans="1:4" ht="12.75">
      <c r="A50" s="140">
        <f t="shared" si="1"/>
        <v>42</v>
      </c>
      <c r="B50" s="102" t="s">
        <v>240</v>
      </c>
      <c r="C50" s="155">
        <f>+C46*D11+E11*C47</f>
        <v>26128.846846846853</v>
      </c>
      <c r="D50" s="153"/>
    </row>
    <row r="51" spans="1:3" ht="12.75">
      <c r="A51" s="140">
        <f t="shared" si="1"/>
        <v>43</v>
      </c>
      <c r="B51" s="154"/>
      <c r="C51" s="153"/>
    </row>
    <row r="52" spans="1:6" ht="12.75">
      <c r="A52" s="140">
        <f t="shared" si="1"/>
        <v>44</v>
      </c>
      <c r="B52" s="206" t="s">
        <v>209</v>
      </c>
      <c r="C52" s="215">
        <f>+'Proforma Demand Revenue'!$L$13</f>
        <v>2071.679532695732</v>
      </c>
      <c r="F52" s="141" t="s">
        <v>221</v>
      </c>
    </row>
    <row r="53" spans="1:3" ht="12.75">
      <c r="A53" s="140">
        <f t="shared" si="1"/>
        <v>45</v>
      </c>
      <c r="B53" s="163" t="s">
        <v>191</v>
      </c>
      <c r="C53" s="216">
        <f>ROUND(C52/C13,5)</f>
        <v>0.00088</v>
      </c>
    </row>
    <row r="54" spans="1:3" ht="12.75">
      <c r="A54" s="140">
        <f t="shared" si="1"/>
        <v>46</v>
      </c>
      <c r="B54" s="154"/>
      <c r="C54" s="153"/>
    </row>
    <row r="55" spans="1:3" ht="12.75">
      <c r="A55" s="140">
        <f t="shared" si="1"/>
        <v>47</v>
      </c>
      <c r="B55" s="156" t="s">
        <v>210</v>
      </c>
      <c r="C55" s="153"/>
    </row>
    <row r="56" spans="1:3" ht="12.75">
      <c r="A56" s="140">
        <f t="shared" si="1"/>
        <v>48</v>
      </c>
      <c r="B56" s="102" t="s">
        <v>191</v>
      </c>
      <c r="C56" s="155">
        <f>+C53*C13</f>
        <v>2062.9002409638556</v>
      </c>
    </row>
    <row r="57" spans="1:5" ht="12.75">
      <c r="A57" s="140">
        <f t="shared" si="1"/>
        <v>49</v>
      </c>
      <c r="E57" s="104"/>
    </row>
    <row r="58" spans="1:3" ht="12.75">
      <c r="A58" s="140">
        <f t="shared" si="1"/>
        <v>50</v>
      </c>
      <c r="B58" s="142" t="s">
        <v>164</v>
      </c>
      <c r="C58" s="153">
        <f>+C35-C41-C50-C56</f>
        <v>184015.18602608304</v>
      </c>
    </row>
    <row r="59" spans="1:5" ht="12.75">
      <c r="A59" s="140">
        <f t="shared" si="1"/>
        <v>51</v>
      </c>
      <c r="B59" s="102"/>
      <c r="C59" s="103"/>
      <c r="E59" s="104"/>
    </row>
    <row r="60" spans="1:5" ht="12.75">
      <c r="A60" s="140">
        <f t="shared" si="1"/>
        <v>52</v>
      </c>
      <c r="B60" s="158" t="s">
        <v>149</v>
      </c>
      <c r="C60" s="159"/>
      <c r="D60" s="150"/>
      <c r="E60" s="104"/>
    </row>
    <row r="61" spans="1:6" ht="12.75">
      <c r="A61" s="140">
        <f t="shared" si="1"/>
        <v>53</v>
      </c>
      <c r="B61" s="163" t="s">
        <v>176</v>
      </c>
      <c r="C61" s="170">
        <f>ROUND(+C58/C9,6)</f>
        <v>0.037054</v>
      </c>
      <c r="D61" s="153"/>
      <c r="F61" s="135" t="s">
        <v>241</v>
      </c>
    </row>
    <row r="62" ht="12.75">
      <c r="A62" s="140">
        <f t="shared" si="1"/>
        <v>54</v>
      </c>
    </row>
    <row r="63" spans="1:2" ht="12.75">
      <c r="A63" s="140">
        <f t="shared" si="1"/>
        <v>55</v>
      </c>
      <c r="B63" s="135" t="s">
        <v>153</v>
      </c>
    </row>
    <row r="64" spans="1:3" ht="12.75">
      <c r="A64" s="140">
        <f t="shared" si="1"/>
        <v>56</v>
      </c>
      <c r="B64" s="142" t="s">
        <v>176</v>
      </c>
      <c r="C64" s="237">
        <f>+C61*C9</f>
        <v>184017.57479999997</v>
      </c>
    </row>
    <row r="65" spans="1:2" ht="12.75">
      <c r="A65" s="140">
        <f t="shared" si="1"/>
        <v>57</v>
      </c>
      <c r="B65" s="154"/>
    </row>
    <row r="66" spans="1:3" ht="12.75">
      <c r="A66" s="140">
        <f t="shared" si="1"/>
        <v>58</v>
      </c>
      <c r="B66" s="135" t="s">
        <v>170</v>
      </c>
      <c r="C66" s="153">
        <f>+C64+C56+C50+C41</f>
        <v>214609.32188781069</v>
      </c>
    </row>
    <row r="67" spans="1:3" ht="12.75">
      <c r="A67" s="140">
        <f t="shared" si="1"/>
        <v>59</v>
      </c>
      <c r="B67" s="135" t="s">
        <v>171</v>
      </c>
      <c r="C67" s="153">
        <f>+C66-C35</f>
        <v>2.3887739169294946</v>
      </c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5" r:id="rId1"/>
  <headerFooter alignWithMargins="0">
    <oddHeader>&amp;RExhibit No. ___(JAH-23)
Page &amp;P of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zoomScale="85" zoomScaleNormal="85" workbookViewId="0" topLeftCell="A32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2.57421875" style="135" bestFit="1" customWidth="1"/>
    <col min="4" max="5" width="8.421875" style="135" customWidth="1"/>
    <col min="6" max="6" width="41.00390625" style="135" bestFit="1" customWidth="1"/>
    <col min="7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21</v>
      </c>
      <c r="C3" s="136"/>
      <c r="D3" s="136"/>
      <c r="E3" s="136"/>
    </row>
    <row r="4" spans="2:5" ht="12.75">
      <c r="B4" s="136" t="s">
        <v>92</v>
      </c>
      <c r="C4" s="136"/>
      <c r="D4" s="136"/>
      <c r="E4" s="136"/>
    </row>
    <row r="6" spans="1:5" s="139" customFormat="1" ht="25.5">
      <c r="A6" s="137" t="s">
        <v>139</v>
      </c>
      <c r="B6" s="137"/>
      <c r="C6" s="137" t="s">
        <v>48</v>
      </c>
      <c r="D6" s="111"/>
      <c r="E6" s="111"/>
    </row>
    <row r="7" spans="1:5" ht="13.5" thickBot="1">
      <c r="A7" s="140">
        <v>1</v>
      </c>
      <c r="B7" s="141" t="s">
        <v>141</v>
      </c>
      <c r="C7" s="144">
        <f>+'Primary Sch 43'!$D$10</f>
        <v>2388.0666</v>
      </c>
      <c r="D7" s="221"/>
      <c r="E7" s="221"/>
    </row>
    <row r="8" spans="1:5" ht="13.5" thickTop="1">
      <c r="A8" s="140">
        <f aca="true" t="shared" si="0" ref="A8:A20">+A7+1</f>
        <v>2</v>
      </c>
      <c r="C8" s="143"/>
      <c r="D8" s="143"/>
      <c r="E8" s="143"/>
    </row>
    <row r="9" spans="1:5" ht="12.75">
      <c r="A9" s="140">
        <f t="shared" si="0"/>
        <v>3</v>
      </c>
      <c r="B9" s="154" t="s">
        <v>6</v>
      </c>
      <c r="C9" s="143">
        <f>+'Primary Sch 43'!$B$12</f>
        <v>175656470.41949996</v>
      </c>
      <c r="D9" s="143"/>
      <c r="E9" s="143"/>
    </row>
    <row r="10" spans="1:5" ht="12.75">
      <c r="A10" s="140">
        <f t="shared" si="0"/>
        <v>4</v>
      </c>
      <c r="B10" s="142" t="s">
        <v>175</v>
      </c>
      <c r="C10" s="143">
        <f>+'Primary Sch 43'!$C$12</f>
        <v>14036294.438764367</v>
      </c>
      <c r="D10" s="143"/>
      <c r="E10" s="143"/>
    </row>
    <row r="11" spans="1:5" ht="13.5" thickBot="1">
      <c r="A11" s="140">
        <f t="shared" si="0"/>
        <v>5</v>
      </c>
      <c r="B11" s="141" t="s">
        <v>144</v>
      </c>
      <c r="C11" s="144">
        <f>SUM(C9:C10)</f>
        <v>189692764.85826433</v>
      </c>
      <c r="D11" s="221"/>
      <c r="E11" s="221"/>
    </row>
    <row r="12" ht="13.5" thickTop="1">
      <c r="A12" s="140">
        <f t="shared" si="0"/>
        <v>6</v>
      </c>
    </row>
    <row r="13" spans="1:5" ht="13.5" thickBot="1">
      <c r="A13" s="140">
        <f t="shared" si="0"/>
        <v>7</v>
      </c>
      <c r="B13" s="141" t="s">
        <v>187</v>
      </c>
      <c r="C13" s="144">
        <f>+'Primary Sch 43'!$D$14</f>
        <v>864944.7382920106</v>
      </c>
      <c r="D13" s="221"/>
      <c r="E13" s="221"/>
    </row>
    <row r="14" ht="13.5" thickTop="1">
      <c r="A14" s="140">
        <f t="shared" si="0"/>
        <v>8</v>
      </c>
    </row>
    <row r="15" spans="1:5" ht="13.5" thickBot="1">
      <c r="A15" s="140">
        <f t="shared" si="0"/>
        <v>9</v>
      </c>
      <c r="B15" s="156" t="s">
        <v>190</v>
      </c>
      <c r="C15" s="144">
        <f>+'Primary Sch 43'!$D$16</f>
        <v>82811957.44680853</v>
      </c>
      <c r="D15" s="221"/>
      <c r="E15" s="221"/>
    </row>
    <row r="16" ht="13.5" thickTop="1">
      <c r="A16" s="140">
        <f t="shared" si="0"/>
        <v>10</v>
      </c>
    </row>
    <row r="17" spans="1:5" ht="12.75">
      <c r="A17" s="140">
        <f t="shared" si="0"/>
        <v>11</v>
      </c>
      <c r="B17" s="146" t="str">
        <f>+'Residential Schedule 7'!B16</f>
        <v>Current Base Rates Effective 10-1-03</v>
      </c>
      <c r="C17" s="147"/>
      <c r="D17" s="147"/>
      <c r="E17" s="148"/>
    </row>
    <row r="18" spans="1:2" ht="12.75">
      <c r="A18" s="140">
        <f t="shared" si="0"/>
        <v>12</v>
      </c>
      <c r="B18" s="135" t="s">
        <v>192</v>
      </c>
    </row>
    <row r="19" spans="1:5" ht="12.75">
      <c r="A19" s="140">
        <f t="shared" si="0"/>
        <v>13</v>
      </c>
      <c r="B19" s="142" t="s">
        <v>232</v>
      </c>
      <c r="C19" s="149">
        <f>+'Primary Sch 43'!$E$10</f>
        <v>200</v>
      </c>
      <c r="D19" s="149"/>
      <c r="E19" s="149"/>
    </row>
    <row r="20" spans="1:5" ht="12.75">
      <c r="A20" s="140">
        <f t="shared" si="0"/>
        <v>14</v>
      </c>
      <c r="B20" s="142" t="s">
        <v>233</v>
      </c>
      <c r="C20" s="150">
        <f>+'Primary Sch 43'!$E$12</f>
        <v>0.040898000000000004</v>
      </c>
      <c r="D20" s="150"/>
      <c r="E20" s="150"/>
    </row>
    <row r="21" spans="1:5" ht="12.75">
      <c r="A21" s="140"/>
      <c r="B21" s="142" t="s">
        <v>60</v>
      </c>
      <c r="C21" s="150">
        <f>+'Primary Sch 43'!$E$18</f>
        <v>0.002223</v>
      </c>
      <c r="D21" s="150"/>
      <c r="E21" s="150"/>
    </row>
    <row r="22" spans="1:5" ht="12.75">
      <c r="A22" s="140">
        <f>+A20+1</f>
        <v>15</v>
      </c>
      <c r="B22" s="154" t="s">
        <v>242</v>
      </c>
      <c r="C22" s="149">
        <f>+'Primary Sch 43'!$E$14</f>
        <v>3.63</v>
      </c>
      <c r="D22" s="149"/>
      <c r="E22" s="149"/>
    </row>
    <row r="23" spans="1:5" ht="12.75">
      <c r="A23" s="140">
        <f>+A22+1</f>
        <v>16</v>
      </c>
      <c r="B23" s="142" t="s">
        <v>243</v>
      </c>
      <c r="C23" s="225">
        <f>+'Primary Sch 43'!$E$16</f>
        <v>0.0023499999999999997</v>
      </c>
      <c r="D23" s="225"/>
      <c r="E23" s="225"/>
    </row>
    <row r="24" spans="1:2" ht="12.75">
      <c r="A24" s="140">
        <f>+A23+1</f>
        <v>17</v>
      </c>
      <c r="B24" s="142"/>
    </row>
    <row r="25" spans="1:5" ht="12.75">
      <c r="A25" s="140">
        <f>+A24+1</f>
        <v>18</v>
      </c>
      <c r="B25" s="135" t="s">
        <v>196</v>
      </c>
      <c r="C25" s="104"/>
      <c r="D25" s="104"/>
      <c r="E25" s="104"/>
    </row>
    <row r="26" spans="1:5" ht="12.75">
      <c r="A26" s="140">
        <f>+A25+1</f>
        <v>19</v>
      </c>
      <c r="B26" s="154" t="s">
        <v>244</v>
      </c>
      <c r="C26" s="228">
        <f>+C7*C19</f>
        <v>477613.32</v>
      </c>
      <c r="D26" s="228"/>
      <c r="E26" s="228"/>
    </row>
    <row r="27" spans="1:5" ht="12.75">
      <c r="A27" s="140">
        <f>+A26+1</f>
        <v>20</v>
      </c>
      <c r="B27" s="142" t="s">
        <v>245</v>
      </c>
      <c r="C27" s="228">
        <f>+C11*C20</f>
        <v>7758054.697173296</v>
      </c>
      <c r="D27" s="228"/>
      <c r="E27" s="228"/>
    </row>
    <row r="28" spans="1:5" ht="12.75">
      <c r="A28" s="140"/>
      <c r="B28" s="142" t="s">
        <v>60</v>
      </c>
      <c r="C28" s="228">
        <f>+C11*C21</f>
        <v>421687.01627992163</v>
      </c>
      <c r="D28" s="228"/>
      <c r="E28" s="228"/>
    </row>
    <row r="29" spans="1:5" ht="12.75">
      <c r="A29" s="140">
        <f>+A27+1</f>
        <v>21</v>
      </c>
      <c r="B29" s="142" t="s">
        <v>234</v>
      </c>
      <c r="C29" s="228">
        <f>+C13*C22</f>
        <v>3139749.3999999985</v>
      </c>
      <c r="D29" s="228"/>
      <c r="E29" s="228"/>
    </row>
    <row r="30" spans="1:5" ht="12.75">
      <c r="A30" s="140">
        <f aca="true" t="shared" si="1" ref="A30:A36">+A29+1</f>
        <v>22</v>
      </c>
      <c r="B30" s="142" t="s">
        <v>235</v>
      </c>
      <c r="C30" s="228">
        <f>+C15*C23</f>
        <v>194608.10000000003</v>
      </c>
      <c r="D30" s="228"/>
      <c r="E30" s="228"/>
    </row>
    <row r="31" spans="1:5" ht="13.5" thickBot="1">
      <c r="A31" s="140">
        <f t="shared" si="1"/>
        <v>23</v>
      </c>
      <c r="B31" s="142" t="s">
        <v>246</v>
      </c>
      <c r="C31" s="229">
        <f>SUM(C26:C30)</f>
        <v>11991712.533453215</v>
      </c>
      <c r="D31" s="228"/>
      <c r="E31" s="228"/>
    </row>
    <row r="32" spans="1:5" ht="13.5" thickTop="1">
      <c r="A32" s="140">
        <f t="shared" si="1"/>
        <v>24</v>
      </c>
      <c r="C32" s="153"/>
      <c r="D32" s="153"/>
      <c r="E32" s="153"/>
    </row>
    <row r="33" spans="1:5" ht="12.75">
      <c r="A33" s="140">
        <f t="shared" si="1"/>
        <v>25</v>
      </c>
      <c r="B33" s="180" t="str">
        <f>+'Residential Schedule 7'!B35</f>
        <v>Proposed Rates Effective 2005</v>
      </c>
      <c r="C33" s="147"/>
      <c r="D33" s="147"/>
      <c r="E33" s="148"/>
    </row>
    <row r="34" spans="1:5" ht="12.75">
      <c r="A34" s="140">
        <f t="shared" si="1"/>
        <v>26</v>
      </c>
      <c r="B34" s="157"/>
      <c r="C34" s="157"/>
      <c r="D34" s="157"/>
      <c r="E34" s="157"/>
    </row>
    <row r="35" spans="1:5" ht="12.75">
      <c r="A35" s="140">
        <f t="shared" si="1"/>
        <v>27</v>
      </c>
      <c r="B35" s="141" t="s">
        <v>178</v>
      </c>
      <c r="C35" s="165">
        <f>C36/C31</f>
        <v>0.10965808930165587</v>
      </c>
      <c r="D35" s="165"/>
      <c r="E35" s="165"/>
    </row>
    <row r="36" spans="1:5" ht="12.75">
      <c r="A36" s="140">
        <f t="shared" si="1"/>
        <v>28</v>
      </c>
      <c r="B36" s="141" t="s">
        <v>160</v>
      </c>
      <c r="C36" s="95">
        <v>1314988.2838731986</v>
      </c>
      <c r="D36" s="95"/>
      <c r="E36" s="95"/>
    </row>
    <row r="37" spans="1:5" ht="12.75">
      <c r="A37" s="140">
        <f>+A34+1</f>
        <v>27</v>
      </c>
      <c r="B37" s="141" t="s">
        <v>260</v>
      </c>
      <c r="C37" s="95">
        <f>C31+C36</f>
        <v>13306700.817326413</v>
      </c>
      <c r="D37" s="95"/>
      <c r="E37" s="95"/>
    </row>
    <row r="38" spans="1:5" ht="12.75">
      <c r="A38" s="140">
        <f>+A35+1</f>
        <v>28</v>
      </c>
      <c r="D38" s="95"/>
      <c r="E38" s="95"/>
    </row>
    <row r="39" spans="1:5" ht="12.75">
      <c r="A39" s="140">
        <f aca="true" t="shared" si="2" ref="A39:A66">+A38+1</f>
        <v>29</v>
      </c>
      <c r="B39" s="158" t="s">
        <v>148</v>
      </c>
      <c r="C39" s="159"/>
      <c r="D39" s="95"/>
      <c r="E39" s="95"/>
    </row>
    <row r="40" spans="1:6" ht="12.75">
      <c r="A40" s="140">
        <f t="shared" si="2"/>
        <v>30</v>
      </c>
      <c r="B40" s="163" t="s">
        <v>204</v>
      </c>
      <c r="C40" s="205">
        <f>+'Primary Voltage Schedule 31'!C44</f>
        <v>200</v>
      </c>
      <c r="D40" s="95"/>
      <c r="E40" s="95"/>
      <c r="F40" s="156" t="s">
        <v>255</v>
      </c>
    </row>
    <row r="41" spans="1:5" ht="12.75">
      <c r="A41" s="140">
        <f t="shared" si="2"/>
        <v>31</v>
      </c>
      <c r="D41" s="95"/>
      <c r="E41" s="95"/>
    </row>
    <row r="42" spans="1:5" ht="12.75">
      <c r="A42" s="140">
        <f t="shared" si="2"/>
        <v>32</v>
      </c>
      <c r="B42" s="141" t="s">
        <v>151</v>
      </c>
      <c r="D42" s="95"/>
      <c r="E42" s="95"/>
    </row>
    <row r="43" spans="1:5" ht="12.75">
      <c r="A43" s="140">
        <f t="shared" si="2"/>
        <v>33</v>
      </c>
      <c r="B43" s="154" t="s">
        <v>152</v>
      </c>
      <c r="C43" s="155">
        <f>+C40*C7</f>
        <v>477613.32</v>
      </c>
      <c r="D43" s="95"/>
      <c r="E43" s="95"/>
    </row>
    <row r="44" spans="1:5" ht="12.75">
      <c r="A44" s="140">
        <f t="shared" si="2"/>
        <v>34</v>
      </c>
      <c r="B44" s="154"/>
      <c r="C44" s="153"/>
      <c r="D44" s="95"/>
      <c r="E44" s="95"/>
    </row>
    <row r="45" spans="1:6" ht="12.75">
      <c r="A45" s="140">
        <f t="shared" si="2"/>
        <v>35</v>
      </c>
      <c r="B45" s="206" t="s">
        <v>205</v>
      </c>
      <c r="C45" s="215">
        <f>'Proforma Demand Revenue'!$M$14</f>
        <v>3616093.5859701773</v>
      </c>
      <c r="D45" s="95"/>
      <c r="E45" s="95"/>
      <c r="F45" s="141" t="s">
        <v>221</v>
      </c>
    </row>
    <row r="46" spans="1:5" ht="12.75">
      <c r="A46" s="140">
        <f t="shared" si="2"/>
        <v>36</v>
      </c>
      <c r="B46" s="169" t="s">
        <v>240</v>
      </c>
      <c r="C46" s="164">
        <f>ROUND(C45/C13,2)</f>
        <v>4.18</v>
      </c>
      <c r="D46" s="95"/>
      <c r="E46" s="95"/>
    </row>
    <row r="47" spans="1:5" ht="12.75">
      <c r="A47" s="140">
        <f t="shared" si="2"/>
        <v>37</v>
      </c>
      <c r="B47" s="154"/>
      <c r="C47" s="153"/>
      <c r="D47" s="95"/>
      <c r="E47" s="95"/>
    </row>
    <row r="48" spans="1:5" ht="12.75">
      <c r="A48" s="140">
        <f t="shared" si="2"/>
        <v>38</v>
      </c>
      <c r="B48" s="156" t="s">
        <v>208</v>
      </c>
      <c r="C48" s="153"/>
      <c r="D48" s="95"/>
      <c r="E48" s="95"/>
    </row>
    <row r="49" spans="1:5" ht="12.75">
      <c r="A49" s="140">
        <f t="shared" si="2"/>
        <v>39</v>
      </c>
      <c r="B49" s="102" t="s">
        <v>240</v>
      </c>
      <c r="C49" s="155">
        <f>+C46*C13</f>
        <v>3615469.006060604</v>
      </c>
      <c r="D49" s="95"/>
      <c r="E49" s="95"/>
    </row>
    <row r="50" spans="1:5" ht="12.75">
      <c r="A50" s="140">
        <f t="shared" si="2"/>
        <v>40</v>
      </c>
      <c r="B50" s="154"/>
      <c r="C50" s="153"/>
      <c r="D50" s="95"/>
      <c r="E50" s="95"/>
    </row>
    <row r="51" spans="1:6" ht="12.75">
      <c r="A51" s="140">
        <f t="shared" si="2"/>
        <v>41</v>
      </c>
      <c r="B51" s="206" t="s">
        <v>209</v>
      </c>
      <c r="C51" s="215">
        <f>'Proforma Demand Revenue'!$L$14</f>
        <v>215948.45240862563</v>
      </c>
      <c r="D51" s="95"/>
      <c r="E51" s="95"/>
      <c r="F51" s="141" t="s">
        <v>221</v>
      </c>
    </row>
    <row r="52" spans="1:5" ht="12.75">
      <c r="A52" s="140">
        <f t="shared" si="2"/>
        <v>42</v>
      </c>
      <c r="B52" s="163" t="s">
        <v>191</v>
      </c>
      <c r="C52" s="216">
        <f>ROUND(C51/C15,5)</f>
        <v>0.00261</v>
      </c>
      <c r="D52" s="95"/>
      <c r="E52" s="95"/>
    </row>
    <row r="53" spans="1:5" ht="12.75">
      <c r="A53" s="140">
        <f t="shared" si="2"/>
        <v>43</v>
      </c>
      <c r="B53" s="154"/>
      <c r="C53" s="153"/>
      <c r="D53" s="95"/>
      <c r="E53" s="95"/>
    </row>
    <row r="54" spans="1:5" ht="12.75">
      <c r="A54" s="140">
        <f t="shared" si="2"/>
        <v>44</v>
      </c>
      <c r="B54" s="156" t="s">
        <v>210</v>
      </c>
      <c r="C54" s="153"/>
      <c r="D54" s="95"/>
      <c r="E54" s="95"/>
    </row>
    <row r="55" spans="1:5" ht="12.75">
      <c r="A55" s="140">
        <f t="shared" si="2"/>
        <v>45</v>
      </c>
      <c r="B55" s="102" t="s">
        <v>191</v>
      </c>
      <c r="C55" s="155">
        <f>+C52*C15</f>
        <v>216139.20893617027</v>
      </c>
      <c r="D55" s="95"/>
      <c r="E55" s="95"/>
    </row>
    <row r="56" spans="1:6" ht="12.75">
      <c r="A56" s="140">
        <f t="shared" si="2"/>
        <v>46</v>
      </c>
      <c r="D56" s="95"/>
      <c r="E56" s="95"/>
      <c r="F56" s="104"/>
    </row>
    <row r="57" spans="1:5" ht="12.75">
      <c r="A57" s="140">
        <f t="shared" si="2"/>
        <v>47</v>
      </c>
      <c r="B57" s="142" t="s">
        <v>164</v>
      </c>
      <c r="C57" s="153">
        <f>+C37-C43-C49-C55</f>
        <v>8997479.28232964</v>
      </c>
      <c r="D57" s="95"/>
      <c r="E57" s="95"/>
    </row>
    <row r="58" spans="1:6" ht="12.75">
      <c r="A58" s="140">
        <f t="shared" si="2"/>
        <v>48</v>
      </c>
      <c r="B58" s="102"/>
      <c r="C58" s="103"/>
      <c r="D58" s="95"/>
      <c r="E58" s="95"/>
      <c r="F58" s="104"/>
    </row>
    <row r="59" spans="1:6" ht="12.75">
      <c r="A59" s="140">
        <f t="shared" si="2"/>
        <v>49</v>
      </c>
      <c r="B59" s="158" t="s">
        <v>149</v>
      </c>
      <c r="C59" s="159"/>
      <c r="D59" s="95"/>
      <c r="E59" s="95"/>
      <c r="F59" s="104"/>
    </row>
    <row r="60" spans="1:6" ht="12.75">
      <c r="A60" s="140">
        <f t="shared" si="2"/>
        <v>50</v>
      </c>
      <c r="B60" s="163" t="s">
        <v>176</v>
      </c>
      <c r="C60" s="170">
        <f>ROUND(+C57/C11,6)</f>
        <v>0.047432</v>
      </c>
      <c r="D60" s="95"/>
      <c r="E60" s="95"/>
      <c r="F60" s="135" t="s">
        <v>241</v>
      </c>
    </row>
    <row r="61" spans="1:5" ht="12.75">
      <c r="A61" s="140">
        <f t="shared" si="2"/>
        <v>51</v>
      </c>
      <c r="D61" s="95"/>
      <c r="E61" s="95"/>
    </row>
    <row r="62" spans="1:5" ht="12.75">
      <c r="A62" s="140">
        <f t="shared" si="2"/>
        <v>52</v>
      </c>
      <c r="B62" s="135" t="s">
        <v>153</v>
      </c>
      <c r="D62" s="95"/>
      <c r="E62" s="95"/>
    </row>
    <row r="63" spans="1:5" ht="12.75">
      <c r="A63" s="140">
        <f t="shared" si="2"/>
        <v>53</v>
      </c>
      <c r="B63" s="142" t="s">
        <v>176</v>
      </c>
      <c r="C63" s="237">
        <f>+C60*C11</f>
        <v>8997507.222757194</v>
      </c>
      <c r="D63" s="95"/>
      <c r="E63" s="95"/>
    </row>
    <row r="64" spans="1:5" ht="12.75">
      <c r="A64" s="140">
        <f t="shared" si="2"/>
        <v>54</v>
      </c>
      <c r="B64" s="154"/>
      <c r="D64" s="95"/>
      <c r="E64" s="95"/>
    </row>
    <row r="65" spans="1:5" ht="12.75">
      <c r="A65" s="140">
        <f t="shared" si="2"/>
        <v>55</v>
      </c>
      <c r="B65" s="135" t="s">
        <v>170</v>
      </c>
      <c r="C65" s="153">
        <f>+C63+C55+C49+C43</f>
        <v>13306728.757753968</v>
      </c>
      <c r="D65" s="95"/>
      <c r="E65" s="95"/>
    </row>
    <row r="66" spans="1:5" ht="12.75">
      <c r="A66" s="140">
        <f t="shared" si="2"/>
        <v>56</v>
      </c>
      <c r="B66" s="135" t="s">
        <v>171</v>
      </c>
      <c r="C66" s="153">
        <f>+C65-C37</f>
        <v>27.940427554771304</v>
      </c>
      <c r="D66" s="95"/>
      <c r="E66" s="95"/>
    </row>
    <row r="67" spans="1:5" ht="12.75">
      <c r="A67" s="140"/>
      <c r="D67" s="95"/>
      <c r="E67" s="95"/>
    </row>
    <row r="68" spans="1:5" ht="12.75">
      <c r="A68" s="140"/>
      <c r="D68" s="95"/>
      <c r="E68" s="95"/>
    </row>
    <row r="69" spans="1:5" ht="12.75">
      <c r="A69" s="140"/>
      <c r="D69" s="95"/>
      <c r="E69" s="95"/>
    </row>
    <row r="70" spans="1:5" ht="12.75">
      <c r="A70" s="140"/>
      <c r="D70" s="95"/>
      <c r="E70" s="95"/>
    </row>
    <row r="71" spans="1:5" ht="12.75">
      <c r="A71" s="140"/>
      <c r="D71" s="95"/>
      <c r="E71" s="95"/>
    </row>
    <row r="72" spans="1:5" ht="12.75">
      <c r="A72" s="140"/>
      <c r="D72" s="95"/>
      <c r="E72" s="95"/>
    </row>
    <row r="73" spans="1:5" ht="12.75">
      <c r="A73" s="140"/>
      <c r="D73" s="95"/>
      <c r="E73" s="95"/>
    </row>
    <row r="74" spans="1:5" ht="12.75">
      <c r="A74" s="140"/>
      <c r="D74" s="95"/>
      <c r="E74" s="95"/>
    </row>
    <row r="75" spans="1:5" ht="12.75">
      <c r="A75" s="140"/>
      <c r="D75" s="95"/>
      <c r="E75" s="95"/>
    </row>
    <row r="76" spans="1:5" ht="12.75">
      <c r="A76" s="140"/>
      <c r="D76" s="95"/>
      <c r="E76" s="95"/>
    </row>
    <row r="77" spans="1:5" ht="12.75">
      <c r="A77" s="140"/>
      <c r="D77" s="95"/>
      <c r="E77" s="95"/>
    </row>
    <row r="78" spans="1:5" ht="12.75">
      <c r="A78" s="140"/>
      <c r="D78" s="95"/>
      <c r="E78" s="95"/>
    </row>
    <row r="79" spans="1:5" ht="12.75">
      <c r="A79" s="140"/>
      <c r="D79" s="95"/>
      <c r="E79" s="95"/>
    </row>
    <row r="80" spans="1:5" ht="12.75">
      <c r="A80" s="140"/>
      <c r="D80" s="95"/>
      <c r="E80" s="95"/>
    </row>
    <row r="81" spans="1:5" ht="12.75">
      <c r="A81" s="140"/>
      <c r="D81" s="95"/>
      <c r="E81" s="95"/>
    </row>
    <row r="82" spans="1:5" ht="12.75">
      <c r="A82" s="140"/>
      <c r="D82" s="95"/>
      <c r="E82" s="95"/>
    </row>
    <row r="83" spans="1:5" ht="12.75">
      <c r="A83" s="140"/>
      <c r="D83" s="95"/>
      <c r="E83" s="95"/>
    </row>
    <row r="84" spans="1:5" ht="12.75">
      <c r="A84" s="140"/>
      <c r="D84" s="95"/>
      <c r="E84" s="95"/>
    </row>
    <row r="85" spans="1:5" ht="12.75">
      <c r="A85" s="140"/>
      <c r="D85" s="95"/>
      <c r="E85" s="95"/>
    </row>
    <row r="86" spans="1:5" ht="12.75">
      <c r="A86" s="140"/>
      <c r="D86" s="95"/>
      <c r="E86" s="95"/>
    </row>
    <row r="87" spans="1:5" ht="12.75">
      <c r="A87" s="140"/>
      <c r="D87" s="95"/>
      <c r="E87" s="95"/>
    </row>
    <row r="88" spans="1:5" ht="12.75">
      <c r="A88" s="140"/>
      <c r="D88" s="95"/>
      <c r="E88" s="95"/>
    </row>
    <row r="89" spans="1:5" ht="12.75">
      <c r="A89" s="140"/>
      <c r="D89" s="95"/>
      <c r="E89" s="95"/>
    </row>
    <row r="90" spans="1:5" ht="12.75">
      <c r="A90" s="140"/>
      <c r="D90" s="95"/>
      <c r="E90" s="95"/>
    </row>
    <row r="91" spans="1:5" ht="12.75">
      <c r="A91" s="140"/>
      <c r="D91" s="95"/>
      <c r="E91" s="95"/>
    </row>
    <row r="92" spans="1:5" ht="12.75">
      <c r="A92" s="140"/>
      <c r="D92" s="95"/>
      <c r="E92" s="95"/>
    </row>
    <row r="93" spans="1:5" ht="12.75">
      <c r="A93" s="140"/>
      <c r="D93" s="95"/>
      <c r="E93" s="95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</sheetData>
  <printOptions horizontalCentered="1"/>
  <pageMargins left="1" right="1" top="1" bottom="1" header="1" footer="0.5"/>
  <pageSetup cellComments="asDisplayed" fitToHeight="1" fitToWidth="1" horizontalDpi="600" verticalDpi="600" orientation="portrait" scale="72" r:id="rId1"/>
  <headerFooter alignWithMargins="0">
    <oddHeader>&amp;RExhibit No. ___(JAH-23)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="85" zoomScaleNormal="85" workbookViewId="0" topLeftCell="A7">
      <selection activeCell="G14" sqref="G14"/>
    </sheetView>
  </sheetViews>
  <sheetFormatPr defaultColWidth="9.140625" defaultRowHeight="12.75"/>
  <cols>
    <col min="1" max="1" width="4.57421875" style="135" customWidth="1"/>
    <col min="2" max="2" width="39.00390625" style="135" bestFit="1" customWidth="1"/>
    <col min="3" max="3" width="15.8515625" style="135" bestFit="1" customWidth="1"/>
    <col min="4" max="4" width="4.8515625" style="135" customWidth="1"/>
    <col min="5" max="5" width="60.28125" style="135" bestFit="1" customWidth="1"/>
    <col min="6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25</v>
      </c>
      <c r="C3" s="136"/>
      <c r="D3" s="136"/>
      <c r="E3" s="136"/>
    </row>
    <row r="4" spans="2:5" ht="12.75">
      <c r="B4" s="136" t="s">
        <v>94</v>
      </c>
      <c r="C4" s="136"/>
      <c r="D4" s="136"/>
      <c r="E4" s="136"/>
    </row>
    <row r="6" spans="1:5" s="139" customFormat="1" ht="25.5">
      <c r="A6" s="137" t="s">
        <v>139</v>
      </c>
      <c r="B6" s="137"/>
      <c r="C6" s="137" t="s">
        <v>48</v>
      </c>
      <c r="D6" s="135"/>
      <c r="E6" s="135"/>
    </row>
    <row r="7" spans="1:3" ht="13.5" thickBot="1">
      <c r="A7" s="140">
        <v>1</v>
      </c>
      <c r="B7" s="141" t="s">
        <v>144</v>
      </c>
      <c r="C7" s="144">
        <f>+'HV Sch 46'!$B$10</f>
        <v>51109000</v>
      </c>
    </row>
    <row r="8" ht="13.5" thickTop="1">
      <c r="A8" s="140">
        <f aca="true" t="shared" si="0" ref="A8:A13">+A7+1</f>
        <v>2</v>
      </c>
    </row>
    <row r="9" spans="1:3" ht="13.5" thickBot="1">
      <c r="A9" s="140">
        <f t="shared" si="0"/>
        <v>3</v>
      </c>
      <c r="B9" s="141" t="s">
        <v>261</v>
      </c>
      <c r="C9" s="144">
        <f>+'HV Sch 46'!$B$12</f>
        <v>168423</v>
      </c>
    </row>
    <row r="10" ht="13.5" thickTop="1">
      <c r="A10" s="140">
        <f t="shared" si="0"/>
        <v>4</v>
      </c>
    </row>
    <row r="11" spans="1:3" ht="12.75">
      <c r="A11" s="140">
        <f t="shared" si="0"/>
        <v>5</v>
      </c>
      <c r="B11" s="146" t="str">
        <f>+'Residential Schedule 7'!B16</f>
        <v>Current Base Rates Effective 10-1-03</v>
      </c>
      <c r="C11" s="148"/>
    </row>
    <row r="12" spans="1:3" ht="12.75">
      <c r="A12" s="140">
        <f t="shared" si="0"/>
        <v>6</v>
      </c>
      <c r="B12" s="222" t="s">
        <v>192</v>
      </c>
      <c r="C12" s="157"/>
    </row>
    <row r="13" spans="1:3" ht="12.75">
      <c r="A13" s="140">
        <f t="shared" si="0"/>
        <v>7</v>
      </c>
      <c r="B13" s="142" t="s">
        <v>233</v>
      </c>
      <c r="C13" s="150">
        <f>+'HV Sch 46'!$C$10</f>
        <v>0.037259</v>
      </c>
    </row>
    <row r="14" spans="1:3" ht="12.75">
      <c r="A14" s="140"/>
      <c r="B14" s="142" t="s">
        <v>60</v>
      </c>
      <c r="C14" s="150">
        <f>+'HV Sch 46'!$C$14</f>
        <v>0.001089</v>
      </c>
    </row>
    <row r="15" spans="1:3" ht="12.75">
      <c r="A15" s="140">
        <f>+A13+1</f>
        <v>8</v>
      </c>
      <c r="B15" s="154" t="s">
        <v>242</v>
      </c>
      <c r="C15" s="149">
        <f>+'HV Sch 46'!$C$12</f>
        <v>1.58</v>
      </c>
    </row>
    <row r="16" spans="1:3" ht="12.75">
      <c r="A16" s="140">
        <f>+A15+1</f>
        <v>9</v>
      </c>
      <c r="B16" s="141"/>
      <c r="C16" s="149"/>
    </row>
    <row r="17" spans="1:2" ht="12.75">
      <c r="A17" s="140">
        <f>+A16+1</f>
        <v>10</v>
      </c>
      <c r="B17" s="135" t="s">
        <v>196</v>
      </c>
    </row>
    <row r="18" spans="1:3" ht="12.75">
      <c r="A18" s="140">
        <f>+A17+1</f>
        <v>11</v>
      </c>
      <c r="B18" s="142" t="s">
        <v>245</v>
      </c>
      <c r="C18" s="228">
        <f>+C7*C13</f>
        <v>1904270.231</v>
      </c>
    </row>
    <row r="19" spans="1:3" ht="12.75">
      <c r="A19" s="140"/>
      <c r="B19" s="142" t="s">
        <v>60</v>
      </c>
      <c r="C19" s="228">
        <f>+C7*C14</f>
        <v>55657.700999999994</v>
      </c>
    </row>
    <row r="20" spans="1:3" ht="12.75">
      <c r="A20" s="140">
        <f>+A18+1</f>
        <v>12</v>
      </c>
      <c r="B20" s="142" t="s">
        <v>234</v>
      </c>
      <c r="C20" s="228">
        <f>+C9*C15</f>
        <v>266108.34</v>
      </c>
    </row>
    <row r="21" spans="1:3" ht="13.5" thickBot="1">
      <c r="A21" s="140">
        <f>+A20+1</f>
        <v>13</v>
      </c>
      <c r="B21" s="142" t="s">
        <v>246</v>
      </c>
      <c r="C21" s="246">
        <f>SUM(C20,C18,C19)</f>
        <v>2226036.272</v>
      </c>
    </row>
    <row r="22" spans="1:3" ht="13.5" thickTop="1">
      <c r="A22" s="140">
        <f>+A21+1</f>
        <v>14</v>
      </c>
      <c r="C22" s="153"/>
    </row>
    <row r="23" spans="1:3" ht="12.75">
      <c r="A23" s="140">
        <f>+A22+1</f>
        <v>15</v>
      </c>
      <c r="B23" s="180" t="str">
        <f>+'Residential Schedule 7'!B35</f>
        <v>Proposed Rates Effective 2005</v>
      </c>
      <c r="C23" s="148"/>
    </row>
    <row r="24" spans="1:5" ht="12.75">
      <c r="A24" s="140">
        <f>+A23+1</f>
        <v>16</v>
      </c>
      <c r="B24" s="157"/>
      <c r="C24" s="157"/>
      <c r="D24" s="157"/>
      <c r="E24" s="157"/>
    </row>
    <row r="25" spans="1:5" ht="12.75">
      <c r="A25" s="140">
        <f>+A26+1</f>
        <v>18</v>
      </c>
      <c r="B25" s="141" t="s">
        <v>262</v>
      </c>
      <c r="C25" s="95">
        <v>2435345.6992652565</v>
      </c>
      <c r="D25" s="153"/>
      <c r="E25" s="141" t="s">
        <v>161</v>
      </c>
    </row>
    <row r="26" spans="1:3" ht="12.75">
      <c r="A26" s="140">
        <f>+A24+1</f>
        <v>17</v>
      </c>
      <c r="B26" s="141" t="s">
        <v>263</v>
      </c>
      <c r="C26" s="95">
        <f>+C21+C25+'High Voltage Schedule 49'!C21</f>
        <v>24643882.38611122</v>
      </c>
    </row>
    <row r="27" spans="1:4" ht="12.75">
      <c r="A27" s="140">
        <f>+A25+1</f>
        <v>19</v>
      </c>
      <c r="B27" s="141" t="s">
        <v>264</v>
      </c>
      <c r="C27" s="165">
        <f>C25/SUM(C21,'High Voltage Schedule 49'!C21)</f>
        <v>0.10965808930165594</v>
      </c>
      <c r="D27" s="247"/>
    </row>
    <row r="28" ht="12.75">
      <c r="A28" s="140">
        <f aca="true" t="shared" si="1" ref="A28:A43">+A27+1</f>
        <v>20</v>
      </c>
    </row>
    <row r="29" spans="1:5" ht="12.75">
      <c r="A29" s="140">
        <f t="shared" si="1"/>
        <v>21</v>
      </c>
      <c r="B29" s="206" t="s">
        <v>205</v>
      </c>
      <c r="C29" s="215">
        <f>(1+C27)*C20</f>
        <v>295289.2721116354</v>
      </c>
      <c r="E29" s="156" t="s">
        <v>265</v>
      </c>
    </row>
    <row r="30" spans="1:3" ht="12.75">
      <c r="A30" s="140">
        <f t="shared" si="1"/>
        <v>22</v>
      </c>
      <c r="B30" s="166" t="s">
        <v>266</v>
      </c>
      <c r="C30" s="211">
        <f>ROUND(+C29/C9,2)</f>
        <v>1.75</v>
      </c>
    </row>
    <row r="31" spans="1:3" ht="12.75">
      <c r="A31" s="140">
        <f t="shared" si="1"/>
        <v>23</v>
      </c>
      <c r="B31" s="169"/>
      <c r="C31" s="164"/>
    </row>
    <row r="32" spans="1:3" ht="12.75">
      <c r="A32" s="140">
        <f t="shared" si="1"/>
        <v>24</v>
      </c>
      <c r="B32" s="154"/>
      <c r="C32" s="153"/>
    </row>
    <row r="33" spans="1:3" ht="12.75">
      <c r="A33" s="140">
        <f t="shared" si="1"/>
        <v>25</v>
      </c>
      <c r="B33" s="156" t="s">
        <v>208</v>
      </c>
      <c r="C33" s="153"/>
    </row>
    <row r="34" spans="1:3" ht="12.75">
      <c r="A34" s="140">
        <f t="shared" si="1"/>
        <v>26</v>
      </c>
      <c r="B34" s="102" t="s">
        <v>267</v>
      </c>
      <c r="C34" s="155">
        <f>+C30*C9</f>
        <v>294740.25</v>
      </c>
    </row>
    <row r="35" spans="1:3" ht="12.75">
      <c r="A35" s="140">
        <f t="shared" si="1"/>
        <v>27</v>
      </c>
      <c r="B35" s="154"/>
      <c r="C35" s="153"/>
    </row>
    <row r="36" spans="1:5" ht="12.75">
      <c r="A36" s="140">
        <f t="shared" si="1"/>
        <v>28</v>
      </c>
      <c r="B36" s="102"/>
      <c r="C36" s="103"/>
      <c r="E36" s="104"/>
    </row>
    <row r="37" spans="1:5" ht="12.75">
      <c r="A37" s="140">
        <f t="shared" si="1"/>
        <v>29</v>
      </c>
      <c r="B37" s="206" t="s">
        <v>268</v>
      </c>
      <c r="C37" s="159"/>
      <c r="D37" s="150"/>
      <c r="E37" s="104"/>
    </row>
    <row r="38" spans="1:5" ht="12.75">
      <c r="A38" s="140">
        <f t="shared" si="1"/>
        <v>30</v>
      </c>
      <c r="B38" s="163" t="s">
        <v>176</v>
      </c>
      <c r="C38" s="170">
        <f>+'High Voltage Schedule 49'!C41</f>
        <v>0.043551</v>
      </c>
      <c r="D38" s="153"/>
      <c r="E38" s="135" t="s">
        <v>269</v>
      </c>
    </row>
    <row r="39" ht="12.75">
      <c r="A39" s="140">
        <f t="shared" si="1"/>
        <v>31</v>
      </c>
    </row>
    <row r="40" spans="1:2" ht="12.75">
      <c r="A40" s="140">
        <f t="shared" si="1"/>
        <v>32</v>
      </c>
      <c r="B40" s="135" t="s">
        <v>153</v>
      </c>
    </row>
    <row r="41" spans="1:3" ht="12.75">
      <c r="A41" s="140">
        <f t="shared" si="1"/>
        <v>33</v>
      </c>
      <c r="B41" s="142" t="s">
        <v>176</v>
      </c>
      <c r="C41" s="237">
        <f>+C38*C7</f>
        <v>2225848.059</v>
      </c>
    </row>
    <row r="42" spans="1:2" ht="12.75">
      <c r="A42" s="140">
        <f t="shared" si="1"/>
        <v>34</v>
      </c>
      <c r="B42" s="154"/>
    </row>
    <row r="43" spans="1:3" ht="13.5" thickBot="1">
      <c r="A43" s="140">
        <f t="shared" si="1"/>
        <v>35</v>
      </c>
      <c r="B43" s="141" t="s">
        <v>270</v>
      </c>
      <c r="C43" s="229">
        <f>+C41+C34</f>
        <v>2520588.309</v>
      </c>
    </row>
    <row r="44" ht="13.5" thickTop="1">
      <c r="A44" s="140"/>
    </row>
    <row r="45" ht="12.75">
      <c r="A45" s="140"/>
    </row>
    <row r="46" ht="12.75">
      <c r="A46" s="140"/>
    </row>
    <row r="47" ht="12.75">
      <c r="A47" s="140"/>
    </row>
    <row r="48" ht="12.75">
      <c r="A48" s="140"/>
    </row>
    <row r="49" ht="12.75">
      <c r="A49" s="140"/>
    </row>
    <row r="50" ht="12.75">
      <c r="A50" s="140"/>
    </row>
    <row r="51" ht="12.75">
      <c r="A51" s="140"/>
    </row>
    <row r="52" ht="12.75">
      <c r="A52" s="140"/>
    </row>
    <row r="53" ht="12.75">
      <c r="A53" s="140"/>
    </row>
    <row r="54" ht="12.75">
      <c r="A54" s="140"/>
    </row>
    <row r="55" ht="12.75">
      <c r="A55" s="140"/>
    </row>
    <row r="56" ht="12.75">
      <c r="A56" s="140"/>
    </row>
    <row r="57" ht="12.75">
      <c r="A57" s="140"/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7" r:id="rId1"/>
  <headerFooter alignWithMargins="0">
    <oddHeader>&amp;RExhibit No. ___(JAH-23)
Page 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85" zoomScaleNormal="85" workbookViewId="0" topLeftCell="A13">
      <selection activeCell="G14" sqref="G14"/>
    </sheetView>
  </sheetViews>
  <sheetFormatPr defaultColWidth="9.140625" defaultRowHeight="12.75"/>
  <cols>
    <col min="1" max="1" width="4.57421875" style="135" customWidth="1"/>
    <col min="2" max="2" width="39.00390625" style="135" bestFit="1" customWidth="1"/>
    <col min="3" max="3" width="15.8515625" style="135" bestFit="1" customWidth="1"/>
    <col min="4" max="4" width="10.28125" style="135" customWidth="1"/>
    <col min="5" max="5" width="41.00390625" style="135" bestFit="1" customWidth="1"/>
    <col min="6" max="6" width="10.00390625" style="135" bestFit="1" customWidth="1"/>
    <col min="7" max="7" width="10.28125" style="135" bestFit="1" customWidth="1"/>
    <col min="8" max="16384" width="9.140625" style="135" customWidth="1"/>
  </cols>
  <sheetData>
    <row r="1" spans="1:5" ht="12.75">
      <c r="A1" s="136" t="s">
        <v>0</v>
      </c>
      <c r="B1" s="136"/>
      <c r="C1" s="136"/>
      <c r="D1" s="136"/>
      <c r="E1" s="136"/>
    </row>
    <row r="2" spans="1:5" ht="12.75">
      <c r="A2" s="136" t="s">
        <v>137</v>
      </c>
      <c r="B2" s="136"/>
      <c r="C2" s="136"/>
      <c r="D2" s="136"/>
      <c r="E2" s="136"/>
    </row>
    <row r="3" spans="1:5" ht="12.75">
      <c r="A3" s="136" t="s">
        <v>25</v>
      </c>
      <c r="B3" s="136"/>
      <c r="C3" s="136"/>
      <c r="D3" s="136"/>
      <c r="E3" s="136"/>
    </row>
    <row r="4" spans="1:5" ht="12.75">
      <c r="A4" s="136" t="s">
        <v>99</v>
      </c>
      <c r="B4" s="136"/>
      <c r="C4" s="136"/>
      <c r="D4" s="136"/>
      <c r="E4" s="136"/>
    </row>
    <row r="6" spans="1:5" s="139" customFormat="1" ht="25.5">
      <c r="A6" s="137" t="s">
        <v>139</v>
      </c>
      <c r="B6" s="137"/>
      <c r="C6" s="137" t="s">
        <v>48</v>
      </c>
      <c r="D6" s="135"/>
      <c r="E6" s="135"/>
    </row>
    <row r="7" spans="1:3" ht="13.5" thickBot="1">
      <c r="A7" s="140">
        <v>1</v>
      </c>
      <c r="B7" s="141" t="s">
        <v>144</v>
      </c>
      <c r="C7" s="144">
        <f>+'HV Sch 49'!$B$10</f>
        <v>424545212.4999</v>
      </c>
    </row>
    <row r="8" ht="13.5" thickTop="1">
      <c r="A8" s="140">
        <f aca="true" t="shared" si="0" ref="A8:A13">+A7+1</f>
        <v>2</v>
      </c>
    </row>
    <row r="9" spans="1:3" ht="13.5" thickBot="1">
      <c r="A9" s="140">
        <f t="shared" si="0"/>
        <v>3</v>
      </c>
      <c r="B9" s="141" t="s">
        <v>261</v>
      </c>
      <c r="C9" s="144">
        <f>+'HV Sch 49'!$B$12</f>
        <v>1172294.8637992474</v>
      </c>
    </row>
    <row r="10" ht="13.5" thickTop="1">
      <c r="A10" s="140">
        <f t="shared" si="0"/>
        <v>4</v>
      </c>
    </row>
    <row r="11" spans="1:3" ht="12.75">
      <c r="A11" s="140">
        <f t="shared" si="0"/>
        <v>5</v>
      </c>
      <c r="B11" s="146" t="str">
        <f>+'Residential Schedule 7'!B16</f>
        <v>Current Base Rates Effective 10-1-03</v>
      </c>
      <c r="C11" s="148"/>
    </row>
    <row r="12" spans="1:4" ht="12.75">
      <c r="A12" s="140">
        <f t="shared" si="0"/>
        <v>6</v>
      </c>
      <c r="B12" s="222" t="s">
        <v>192</v>
      </c>
      <c r="C12" s="157"/>
      <c r="D12" s="157"/>
    </row>
    <row r="13" spans="1:3" ht="12.75">
      <c r="A13" s="140">
        <f t="shared" si="0"/>
        <v>7</v>
      </c>
      <c r="B13" s="142" t="s">
        <v>233</v>
      </c>
      <c r="C13" s="150">
        <f>+'HV Sch 49'!$C$10</f>
        <v>0.037259</v>
      </c>
    </row>
    <row r="14" spans="1:3" ht="12.75">
      <c r="A14" s="140"/>
      <c r="B14" s="142" t="s">
        <v>60</v>
      </c>
      <c r="C14" s="150">
        <f>+'HV Sch 49'!$C$14</f>
        <v>0.002105</v>
      </c>
    </row>
    <row r="15" spans="1:3" ht="12.75">
      <c r="A15" s="140">
        <f>+A13+1</f>
        <v>8</v>
      </c>
      <c r="B15" s="154" t="s">
        <v>242</v>
      </c>
      <c r="C15" s="149">
        <f>+'HV Sch 49'!$C$12</f>
        <v>2.79</v>
      </c>
    </row>
    <row r="16" spans="1:3" ht="12.75">
      <c r="A16" s="140">
        <f>+A15+1</f>
        <v>9</v>
      </c>
      <c r="B16" s="141"/>
      <c r="C16" s="149"/>
    </row>
    <row r="17" spans="1:2" ht="12.75">
      <c r="A17" s="140">
        <f>+A16+1</f>
        <v>10</v>
      </c>
      <c r="B17" s="135" t="s">
        <v>196</v>
      </c>
    </row>
    <row r="18" spans="1:3" ht="12.75">
      <c r="A18" s="140">
        <f>+A17+1</f>
        <v>11</v>
      </c>
      <c r="B18" s="142" t="s">
        <v>245</v>
      </c>
      <c r="C18" s="228">
        <f>+C7*C13</f>
        <v>15818130.072533773</v>
      </c>
    </row>
    <row r="19" spans="1:3" ht="12.75">
      <c r="A19" s="140"/>
      <c r="B19" s="142" t="s">
        <v>60</v>
      </c>
      <c r="C19" s="228">
        <f>+C7*C14</f>
        <v>893667.6723122895</v>
      </c>
    </row>
    <row r="20" spans="1:3" ht="12.75">
      <c r="A20" s="140">
        <f>+A18+1</f>
        <v>12</v>
      </c>
      <c r="B20" s="142" t="s">
        <v>234</v>
      </c>
      <c r="C20" s="228">
        <f>+C9*C15</f>
        <v>3270702.6699999003</v>
      </c>
    </row>
    <row r="21" spans="1:3" ht="13.5" thickBot="1">
      <c r="A21" s="140">
        <f aca="true" t="shared" si="1" ref="A21:A49">+A20+1</f>
        <v>13</v>
      </c>
      <c r="B21" s="142" t="s">
        <v>246</v>
      </c>
      <c r="C21" s="246">
        <f>SUM(C20,C18,C19)</f>
        <v>19982500.414845962</v>
      </c>
    </row>
    <row r="22" spans="1:3" ht="13.5" thickTop="1">
      <c r="A22" s="140">
        <f t="shared" si="1"/>
        <v>14</v>
      </c>
      <c r="C22" s="153"/>
    </row>
    <row r="23" spans="1:3" ht="12.75">
      <c r="A23" s="140">
        <f t="shared" si="1"/>
        <v>15</v>
      </c>
      <c r="B23" s="180" t="str">
        <f>+'Residential Schedule 7'!B35</f>
        <v>Proposed Rates Effective 2005</v>
      </c>
      <c r="C23" s="148"/>
    </row>
    <row r="24" spans="1:3" ht="12.75">
      <c r="A24" s="140">
        <f t="shared" si="1"/>
        <v>16</v>
      </c>
      <c r="B24" s="157"/>
      <c r="C24" s="157"/>
    </row>
    <row r="25" spans="1:5" ht="12.75">
      <c r="A25" s="140">
        <f t="shared" si="1"/>
        <v>17</v>
      </c>
      <c r="B25" s="141" t="s">
        <v>263</v>
      </c>
      <c r="C25" s="95">
        <f>+'High Voltage Schedule 46'!C26</f>
        <v>24643882.38611122</v>
      </c>
      <c r="E25" s="141" t="s">
        <v>161</v>
      </c>
    </row>
    <row r="26" spans="1:4" ht="12.75">
      <c r="A26" s="140">
        <f t="shared" si="1"/>
        <v>18</v>
      </c>
      <c r="B26" s="141" t="s">
        <v>262</v>
      </c>
      <c r="C26" s="95">
        <f>+'High Voltage Schedule 46'!C25</f>
        <v>2435345.6992652565</v>
      </c>
      <c r="D26" s="153"/>
    </row>
    <row r="27" spans="1:4" ht="12.75">
      <c r="A27" s="140">
        <f t="shared" si="1"/>
        <v>19</v>
      </c>
      <c r="B27" s="141" t="s">
        <v>264</v>
      </c>
      <c r="C27" s="165">
        <f>+'High Voltage Schedule 46'!C27</f>
        <v>0.10965808930165594</v>
      </c>
      <c r="D27" s="165"/>
    </row>
    <row r="28" ht="12.75">
      <c r="A28" s="140">
        <f t="shared" si="1"/>
        <v>20</v>
      </c>
    </row>
    <row r="29" spans="1:5" ht="12.75">
      <c r="A29" s="140">
        <f t="shared" si="1"/>
        <v>21</v>
      </c>
      <c r="B29" s="206" t="s">
        <v>205</v>
      </c>
      <c r="C29" s="215">
        <f>(1+C27)*C20</f>
        <v>3629361.6754659135</v>
      </c>
      <c r="E29" s="156" t="s">
        <v>265</v>
      </c>
    </row>
    <row r="30" spans="1:3" ht="12.75">
      <c r="A30" s="140">
        <f t="shared" si="1"/>
        <v>22</v>
      </c>
      <c r="B30" s="169" t="s">
        <v>271</v>
      </c>
      <c r="C30" s="164">
        <f>MAX(ROUND(+C29/C9,2),C15)</f>
        <v>3.1</v>
      </c>
    </row>
    <row r="31" spans="1:3" ht="12.75">
      <c r="A31" s="140">
        <f t="shared" si="1"/>
        <v>23</v>
      </c>
      <c r="B31" s="154"/>
      <c r="C31" s="153"/>
    </row>
    <row r="32" spans="1:3" ht="12.75">
      <c r="A32" s="140">
        <f t="shared" si="1"/>
        <v>24</v>
      </c>
      <c r="B32" s="156" t="s">
        <v>208</v>
      </c>
      <c r="C32" s="153"/>
    </row>
    <row r="33" spans="1:3" ht="12.75">
      <c r="A33" s="140">
        <f t="shared" si="1"/>
        <v>25</v>
      </c>
      <c r="B33" s="102" t="s">
        <v>267</v>
      </c>
      <c r="C33" s="155">
        <f>+C30*C9</f>
        <v>3634114.077777667</v>
      </c>
    </row>
    <row r="34" spans="1:3" ht="12.75">
      <c r="A34" s="140">
        <f t="shared" si="1"/>
        <v>26</v>
      </c>
      <c r="B34" s="154"/>
      <c r="C34" s="153"/>
    </row>
    <row r="35" spans="1:5" ht="12.75">
      <c r="A35" s="140">
        <f t="shared" si="1"/>
        <v>27</v>
      </c>
      <c r="B35" s="135" t="s">
        <v>272</v>
      </c>
      <c r="C35" s="95">
        <f>+'High Voltage Schedule 46'!C34</f>
        <v>294740.25</v>
      </c>
      <c r="E35" s="104"/>
    </row>
    <row r="36" spans="1:3" ht="12.75">
      <c r="A36" s="140">
        <f t="shared" si="1"/>
        <v>28</v>
      </c>
      <c r="B36" s="142" t="s">
        <v>164</v>
      </c>
      <c r="C36" s="153">
        <f>+C25-C33-C35</f>
        <v>20715028.058333553</v>
      </c>
    </row>
    <row r="37" spans="1:3" ht="12.75">
      <c r="A37" s="140">
        <f t="shared" si="1"/>
        <v>29</v>
      </c>
      <c r="B37" s="142" t="s">
        <v>273</v>
      </c>
      <c r="C37" s="143">
        <f>+C7+'High Voltage Schedule 46'!C7</f>
        <v>475654212.4999</v>
      </c>
    </row>
    <row r="38" spans="1:3" ht="12.75">
      <c r="A38" s="140">
        <f t="shared" si="1"/>
        <v>30</v>
      </c>
      <c r="B38" s="142"/>
      <c r="C38" s="153"/>
    </row>
    <row r="39" spans="1:3" ht="12.75">
      <c r="A39" s="140">
        <f t="shared" si="1"/>
        <v>31</v>
      </c>
      <c r="B39" s="142"/>
      <c r="C39" s="153"/>
    </row>
    <row r="40" spans="1:5" ht="12.75">
      <c r="A40" s="140">
        <f t="shared" si="1"/>
        <v>32</v>
      </c>
      <c r="B40" s="206" t="s">
        <v>268</v>
      </c>
      <c r="C40" s="159"/>
      <c r="D40" s="150"/>
      <c r="E40" s="104"/>
    </row>
    <row r="41" spans="1:5" ht="12.75">
      <c r="A41" s="140">
        <f t="shared" si="1"/>
        <v>33</v>
      </c>
      <c r="B41" s="163" t="s">
        <v>176</v>
      </c>
      <c r="C41" s="170">
        <f>ROUND(+C36/C37,6)</f>
        <v>0.043551</v>
      </c>
      <c r="D41" s="153"/>
      <c r="E41" s="135" t="s">
        <v>241</v>
      </c>
    </row>
    <row r="42" ht="12.75">
      <c r="A42" s="140">
        <f t="shared" si="1"/>
        <v>34</v>
      </c>
    </row>
    <row r="43" spans="1:2" ht="12.75">
      <c r="A43" s="140">
        <f t="shared" si="1"/>
        <v>35</v>
      </c>
      <c r="B43" s="135" t="s">
        <v>153</v>
      </c>
    </row>
    <row r="44" spans="1:3" ht="12.75">
      <c r="A44" s="140">
        <f t="shared" si="1"/>
        <v>36</v>
      </c>
      <c r="B44" s="142" t="s">
        <v>176</v>
      </c>
      <c r="C44" s="237">
        <f>+C41*C7</f>
        <v>18489368.549583144</v>
      </c>
    </row>
    <row r="45" spans="1:2" ht="12.75">
      <c r="A45" s="140">
        <f t="shared" si="1"/>
        <v>37</v>
      </c>
      <c r="B45" s="154"/>
    </row>
    <row r="46" spans="1:3" ht="12.75">
      <c r="A46" s="140">
        <f t="shared" si="1"/>
        <v>38</v>
      </c>
      <c r="B46" s="141" t="s">
        <v>274</v>
      </c>
      <c r="C46" s="153">
        <f>+C44+C33</f>
        <v>22123482.627360813</v>
      </c>
    </row>
    <row r="47" spans="1:3" ht="12.75">
      <c r="A47" s="140">
        <f t="shared" si="1"/>
        <v>39</v>
      </c>
      <c r="B47" s="141" t="s">
        <v>275</v>
      </c>
      <c r="C47" s="153">
        <f>+'High Voltage Schedule 46'!C43</f>
        <v>2520588.309</v>
      </c>
    </row>
    <row r="48" ht="12.75">
      <c r="A48" s="140">
        <f t="shared" si="1"/>
        <v>40</v>
      </c>
    </row>
    <row r="49" spans="1:3" ht="12.75">
      <c r="A49" s="140">
        <f t="shared" si="1"/>
        <v>41</v>
      </c>
      <c r="B49" s="135" t="s">
        <v>171</v>
      </c>
      <c r="C49" s="153">
        <f>+C46+C47-C25</f>
        <v>188.55024959519506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76" r:id="rId1"/>
  <headerFooter alignWithMargins="0">
    <oddHeader>&amp;RExhibit No. ___(JAH-23)
Page 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="75" zoomScaleNormal="75" workbookViewId="0" topLeftCell="A7">
      <selection activeCell="H70" sqref="H70"/>
    </sheetView>
  </sheetViews>
  <sheetFormatPr defaultColWidth="9.140625" defaultRowHeight="12.75"/>
  <cols>
    <col min="1" max="1" width="4.57421875" style="135" customWidth="1"/>
    <col min="2" max="2" width="40.7109375" style="135" bestFit="1" customWidth="1"/>
    <col min="3" max="3" width="13.140625" style="135" customWidth="1"/>
    <col min="4" max="4" width="15.8515625" style="135" bestFit="1" customWidth="1"/>
    <col min="5" max="5" width="15.8515625" style="135" customWidth="1"/>
    <col min="6" max="6" width="15.140625" style="135" bestFit="1" customWidth="1"/>
    <col min="7" max="7" width="30.421875" style="135" bestFit="1" customWidth="1"/>
    <col min="8" max="16384" width="9.140625" style="135" customWidth="1"/>
  </cols>
  <sheetData>
    <row r="1" spans="2:6" ht="12.75">
      <c r="B1" s="136" t="s">
        <v>0</v>
      </c>
      <c r="C1" s="136"/>
      <c r="D1" s="136"/>
      <c r="E1" s="136"/>
      <c r="F1" s="136"/>
    </row>
    <row r="2" spans="2:6" ht="12.75">
      <c r="B2" s="136" t="s">
        <v>137</v>
      </c>
      <c r="C2" s="136"/>
      <c r="D2" s="136"/>
      <c r="E2" s="136"/>
      <c r="F2" s="136"/>
    </row>
    <row r="3" spans="2:6" ht="12.75">
      <c r="B3" s="136" t="s">
        <v>25</v>
      </c>
      <c r="C3" s="136"/>
      <c r="D3" s="136"/>
      <c r="E3" s="136"/>
      <c r="F3" s="136"/>
    </row>
    <row r="4" spans="2:6" ht="12.75">
      <c r="B4" s="136" t="s">
        <v>276</v>
      </c>
      <c r="C4" s="136"/>
      <c r="D4" s="136"/>
      <c r="E4" s="136"/>
      <c r="F4" s="136"/>
    </row>
    <row r="6" spans="1:6" s="139" customFormat="1" ht="25.5">
      <c r="A6" s="137" t="s">
        <v>139</v>
      </c>
      <c r="B6" s="137"/>
      <c r="C6" s="137" t="s">
        <v>277</v>
      </c>
      <c r="D6" s="138" t="s">
        <v>278</v>
      </c>
      <c r="E6" s="138" t="s">
        <v>279</v>
      </c>
      <c r="F6" s="138" t="s">
        <v>280</v>
      </c>
    </row>
    <row r="7" spans="1:6" ht="12.75">
      <c r="A7" s="140">
        <v>1</v>
      </c>
      <c r="B7" s="156" t="s">
        <v>228</v>
      </c>
      <c r="C7" s="156"/>
      <c r="D7" s="221">
        <f>+'Sch 449'!B12</f>
        <v>24</v>
      </c>
      <c r="E7" s="221">
        <f>+'Sch 449'!$B$18</f>
        <v>168</v>
      </c>
      <c r="F7" s="221">
        <f>+'Sch 459'!$B$12</f>
        <v>60</v>
      </c>
    </row>
    <row r="8" spans="1:6" ht="12.75">
      <c r="A8" s="140">
        <f aca="true" t="shared" si="0" ref="A8:A20">+A7+1</f>
        <v>2</v>
      </c>
      <c r="B8" s="141" t="s">
        <v>281</v>
      </c>
      <c r="C8" s="141"/>
      <c r="D8" s="221">
        <f>+'Sch 449'!$B$13</f>
        <v>216056</v>
      </c>
      <c r="E8" s="221">
        <f>+'Sch 449'!$B$19</f>
        <v>2865370</v>
      </c>
      <c r="F8" s="221">
        <f>+'Sch 459'!$B$13</f>
        <v>622292</v>
      </c>
    </row>
    <row r="9" ht="12.75">
      <c r="A9" s="140">
        <f t="shared" si="0"/>
        <v>3</v>
      </c>
    </row>
    <row r="10" spans="1:6" ht="12.75">
      <c r="A10" s="140">
        <f t="shared" si="0"/>
        <v>4</v>
      </c>
      <c r="B10" s="180" t="str">
        <f>+'Residential Schedule 7'!B16</f>
        <v>Current Base Rates Effective 10-1-03</v>
      </c>
      <c r="C10" s="147"/>
      <c r="D10" s="147"/>
      <c r="E10" s="147"/>
      <c r="F10" s="148"/>
    </row>
    <row r="11" spans="1:6" ht="12.75">
      <c r="A11" s="140">
        <f t="shared" si="0"/>
        <v>5</v>
      </c>
      <c r="B11" s="135" t="s">
        <v>123</v>
      </c>
      <c r="D11" s="162">
        <f>+'Sch 449'!$C$12</f>
        <v>709</v>
      </c>
      <c r="E11" s="162">
        <f>+'Sch 449'!$C$18</f>
        <v>709</v>
      </c>
      <c r="F11" s="162">
        <f>+E11</f>
        <v>709</v>
      </c>
    </row>
    <row r="12" spans="1:6" ht="12.75">
      <c r="A12" s="140">
        <f t="shared" si="0"/>
        <v>6</v>
      </c>
      <c r="B12" s="141" t="s">
        <v>194</v>
      </c>
      <c r="C12" s="141"/>
      <c r="D12" s="149">
        <f>+'Sch 449'!$C$13</f>
        <v>4</v>
      </c>
      <c r="E12" s="149">
        <f>+'Sch 449'!$C$19</f>
        <v>1.53</v>
      </c>
      <c r="F12" s="162">
        <f>+E12</f>
        <v>1.53</v>
      </c>
    </row>
    <row r="13" ht="12.75">
      <c r="A13" s="140">
        <f t="shared" si="0"/>
        <v>7</v>
      </c>
    </row>
    <row r="14" spans="1:6" ht="12.75">
      <c r="A14" s="140">
        <f t="shared" si="0"/>
        <v>8</v>
      </c>
      <c r="B14" s="141" t="s">
        <v>282</v>
      </c>
      <c r="C14" s="141"/>
      <c r="D14" s="95">
        <f aca="true" t="shared" si="1" ref="D14:F15">+D11*D7</f>
        <v>17016</v>
      </c>
      <c r="E14" s="95">
        <f t="shared" si="1"/>
        <v>119112</v>
      </c>
      <c r="F14" s="95">
        <f t="shared" si="1"/>
        <v>42540</v>
      </c>
    </row>
    <row r="15" spans="1:6" ht="12.75">
      <c r="A15" s="140">
        <f t="shared" si="0"/>
        <v>9</v>
      </c>
      <c r="B15" s="141" t="s">
        <v>283</v>
      </c>
      <c r="C15" s="141"/>
      <c r="D15" s="95">
        <f t="shared" si="1"/>
        <v>864224</v>
      </c>
      <c r="E15" s="95">
        <f t="shared" si="1"/>
        <v>4384016.1</v>
      </c>
      <c r="F15" s="95">
        <f t="shared" si="1"/>
        <v>952106.76</v>
      </c>
    </row>
    <row r="16" spans="1:6" ht="12.75">
      <c r="A16" s="140">
        <f t="shared" si="0"/>
        <v>10</v>
      </c>
      <c r="B16" s="142"/>
      <c r="C16" s="142"/>
      <c r="D16" s="153"/>
      <c r="E16" s="153"/>
      <c r="F16" s="153"/>
    </row>
    <row r="17" spans="1:7" ht="13.5" thickBot="1">
      <c r="A17" s="140">
        <f t="shared" si="0"/>
        <v>11</v>
      </c>
      <c r="B17" s="135" t="s">
        <v>154</v>
      </c>
      <c r="C17" s="229">
        <f>SUM(D17:F17)</f>
        <v>6379014.859999999</v>
      </c>
      <c r="D17" s="229">
        <f>SUM(D14:D16)</f>
        <v>881240</v>
      </c>
      <c r="E17" s="229">
        <f>SUM(E14:E16)</f>
        <v>4503128.1</v>
      </c>
      <c r="F17" s="229">
        <f>SUM(F14:F16)</f>
        <v>994646.76</v>
      </c>
      <c r="G17" s="153"/>
    </row>
    <row r="18" spans="1:5" ht="13.5" thickTop="1">
      <c r="A18" s="140">
        <f t="shared" si="0"/>
        <v>12</v>
      </c>
      <c r="D18" s="153"/>
      <c r="E18" s="153"/>
    </row>
    <row r="19" spans="1:6" ht="12.75">
      <c r="A19" s="140">
        <f t="shared" si="0"/>
        <v>13</v>
      </c>
      <c r="B19" s="180" t="str">
        <f>+'Residential Schedule 7'!B35</f>
        <v>Proposed Rates Effective 2005</v>
      </c>
      <c r="C19" s="147"/>
      <c r="D19" s="147"/>
      <c r="E19" s="147"/>
      <c r="F19" s="148"/>
    </row>
    <row r="20" spans="1:6" ht="12.75">
      <c r="A20" s="140">
        <f t="shared" si="0"/>
        <v>14</v>
      </c>
      <c r="B20" s="157"/>
      <c r="C20" s="157"/>
      <c r="D20" s="157"/>
      <c r="E20" s="157"/>
      <c r="F20" s="157"/>
    </row>
    <row r="21" spans="1:7" ht="12.75">
      <c r="A21" s="140">
        <f>+A22+1</f>
        <v>16</v>
      </c>
      <c r="B21" s="141" t="s">
        <v>160</v>
      </c>
      <c r="C21" s="95">
        <v>233170.19372482318</v>
      </c>
      <c r="D21" s="95"/>
      <c r="E21" s="95"/>
      <c r="F21" s="95"/>
      <c r="G21" s="141" t="s">
        <v>161</v>
      </c>
    </row>
    <row r="22" spans="1:6" ht="12.75">
      <c r="A22" s="140">
        <f>+A20+1</f>
        <v>15</v>
      </c>
      <c r="B22" s="141" t="s">
        <v>284</v>
      </c>
      <c r="C22" s="95">
        <f>+C17+C21</f>
        <v>6612185.053724823</v>
      </c>
      <c r="D22" s="95"/>
      <c r="E22" s="95"/>
      <c r="F22" s="95"/>
    </row>
    <row r="23" spans="1:6" ht="12.75">
      <c r="A23" s="140">
        <f>+A21+1</f>
        <v>17</v>
      </c>
      <c r="B23" s="141" t="s">
        <v>178</v>
      </c>
      <c r="C23" s="165">
        <f>+C21/C17</f>
        <v>0.03655269643388528</v>
      </c>
      <c r="D23" s="165"/>
      <c r="E23" s="165"/>
      <c r="F23" s="165"/>
    </row>
    <row r="24" ht="12.75">
      <c r="A24" s="140">
        <f aca="true" t="shared" si="2" ref="A24:A41">+A23+1</f>
        <v>18</v>
      </c>
    </row>
    <row r="25" spans="1:7" ht="12.75">
      <c r="A25" s="140">
        <f t="shared" si="2"/>
        <v>19</v>
      </c>
      <c r="B25" s="248" t="s">
        <v>123</v>
      </c>
      <c r="C25" s="249"/>
      <c r="D25" s="250">
        <v>709</v>
      </c>
      <c r="E25" s="250">
        <f>+D25</f>
        <v>709</v>
      </c>
      <c r="F25" s="251">
        <f>+E25</f>
        <v>709</v>
      </c>
      <c r="G25" s="156" t="s">
        <v>285</v>
      </c>
    </row>
    <row r="26" spans="1:6" ht="12.75">
      <c r="A26" s="140">
        <f t="shared" si="2"/>
        <v>20</v>
      </c>
      <c r="B26" s="156"/>
      <c r="C26" s="156"/>
      <c r="D26" s="153"/>
      <c r="E26" s="153"/>
      <c r="F26" s="153"/>
    </row>
    <row r="27" spans="1:6" ht="12.75">
      <c r="A27" s="140">
        <f t="shared" si="2"/>
        <v>21</v>
      </c>
      <c r="B27" s="102" t="s">
        <v>123</v>
      </c>
      <c r="C27" s="155">
        <f>SUM(D27:F27)</f>
        <v>178668</v>
      </c>
      <c r="D27" s="155">
        <f>+D25*D7</f>
        <v>17016</v>
      </c>
      <c r="E27" s="155">
        <f>+E25*E7</f>
        <v>119112</v>
      </c>
      <c r="F27" s="155">
        <f>+F25*F7</f>
        <v>42540</v>
      </c>
    </row>
    <row r="28" spans="1:5" ht="12.75">
      <c r="A28" s="140">
        <f t="shared" si="2"/>
        <v>22</v>
      </c>
      <c r="B28" s="102"/>
      <c r="C28" s="102"/>
      <c r="D28" s="252"/>
      <c r="E28" s="252"/>
    </row>
    <row r="29" spans="1:5" ht="12.75">
      <c r="A29" s="140">
        <f t="shared" si="2"/>
        <v>23</v>
      </c>
      <c r="B29" s="102" t="s">
        <v>286</v>
      </c>
      <c r="C29" s="228">
        <f>+C27</f>
        <v>178668</v>
      </c>
      <c r="D29" s="228"/>
      <c r="E29" s="228"/>
    </row>
    <row r="30" spans="1:5" ht="12.75">
      <c r="A30" s="140">
        <f t="shared" si="2"/>
        <v>24</v>
      </c>
      <c r="B30" s="102"/>
      <c r="C30" s="102"/>
      <c r="D30" s="228"/>
      <c r="E30" s="228"/>
    </row>
    <row r="31" spans="1:5" ht="12.75">
      <c r="A31" s="140">
        <f t="shared" si="2"/>
        <v>25</v>
      </c>
      <c r="B31" s="102" t="s">
        <v>287</v>
      </c>
      <c r="C31" s="105">
        <f>+C22-C29</f>
        <v>6433517.053724823</v>
      </c>
      <c r="D31" s="228"/>
      <c r="E31" s="228"/>
    </row>
    <row r="32" spans="1:5" ht="12.75">
      <c r="A32" s="140">
        <f t="shared" si="2"/>
        <v>26</v>
      </c>
      <c r="C32" s="102"/>
      <c r="D32" s="228"/>
      <c r="E32" s="228"/>
    </row>
    <row r="33" spans="1:7" ht="13.5" customHeight="1">
      <c r="A33" s="140">
        <f t="shared" si="2"/>
        <v>27</v>
      </c>
      <c r="B33" s="206" t="s">
        <v>205</v>
      </c>
      <c r="C33" s="253"/>
      <c r="D33" s="254"/>
      <c r="E33" s="254"/>
      <c r="F33" s="255"/>
      <c r="G33" s="135" t="s">
        <v>288</v>
      </c>
    </row>
    <row r="34" spans="1:7" ht="12.75">
      <c r="A34" s="140">
        <f t="shared" si="2"/>
        <v>28</v>
      </c>
      <c r="B34" s="169" t="s">
        <v>267</v>
      </c>
      <c r="C34" s="256"/>
      <c r="D34" s="212">
        <f>ROUND($E$34*($D$12/$E$12),2)-0.05</f>
        <v>4.11</v>
      </c>
      <c r="E34" s="212">
        <f>ROUND(C31/(E8+F8+D8*(D12/E12)),2)</f>
        <v>1.59</v>
      </c>
      <c r="F34" s="164">
        <f>+E34</f>
        <v>1.59</v>
      </c>
      <c r="G34" s="156" t="s">
        <v>289</v>
      </c>
    </row>
    <row r="35" spans="1:5" ht="12.75">
      <c r="A35" s="140">
        <f t="shared" si="2"/>
        <v>29</v>
      </c>
      <c r="B35" s="154"/>
      <c r="C35" s="154"/>
      <c r="D35" s="153"/>
      <c r="E35" s="153"/>
    </row>
    <row r="36" spans="1:5" ht="12.75">
      <c r="A36" s="140">
        <f t="shared" si="2"/>
        <v>30</v>
      </c>
      <c r="B36" s="156" t="s">
        <v>208</v>
      </c>
      <c r="C36" s="156"/>
      <c r="D36" s="153"/>
      <c r="E36" s="153"/>
    </row>
    <row r="37" spans="1:6" ht="12.75">
      <c r="A37" s="140">
        <f t="shared" si="2"/>
        <v>31</v>
      </c>
      <c r="B37" s="102" t="s">
        <v>267</v>
      </c>
      <c r="C37" s="155">
        <f>SUM(D37:F37)</f>
        <v>6433372.74</v>
      </c>
      <c r="D37" s="155">
        <f>+D34*D8</f>
        <v>887990.16</v>
      </c>
      <c r="E37" s="155">
        <f>+E34*E8</f>
        <v>4555938.3</v>
      </c>
      <c r="F37" s="155">
        <f>+F34*F8</f>
        <v>989444.28</v>
      </c>
    </row>
    <row r="38" spans="1:6" ht="12.75">
      <c r="A38" s="140">
        <f t="shared" si="2"/>
        <v>32</v>
      </c>
      <c r="B38" s="154"/>
      <c r="C38" s="154"/>
      <c r="D38" s="153"/>
      <c r="E38" s="153"/>
      <c r="F38" s="153"/>
    </row>
    <row r="39" spans="1:6" ht="13.5" thickBot="1">
      <c r="A39" s="140">
        <f t="shared" si="2"/>
        <v>33</v>
      </c>
      <c r="B39" s="141" t="s">
        <v>290</v>
      </c>
      <c r="C39" s="229">
        <f>SUM(D39:F39)</f>
        <v>6612040.74</v>
      </c>
      <c r="D39" s="229">
        <f>+D37+D27</f>
        <v>905006.16</v>
      </c>
      <c r="E39" s="229">
        <f>+E37+E27</f>
        <v>4675050.3</v>
      </c>
      <c r="F39" s="229">
        <f>+F37+F27</f>
        <v>1031984.28</v>
      </c>
    </row>
    <row r="40" ht="13.5" thickTop="1">
      <c r="A40" s="140">
        <f t="shared" si="2"/>
        <v>34</v>
      </c>
    </row>
    <row r="41" spans="1:3" ht="12.75">
      <c r="A41" s="140">
        <f t="shared" si="2"/>
        <v>35</v>
      </c>
      <c r="B41" s="135" t="s">
        <v>171</v>
      </c>
      <c r="C41" s="153">
        <f>+C39-C22</f>
        <v>-144.31372482236475</v>
      </c>
    </row>
    <row r="42" ht="12.75">
      <c r="A42" s="140"/>
    </row>
    <row r="43" ht="12.75">
      <c r="A43" s="140"/>
    </row>
    <row r="44" ht="12.75">
      <c r="A44" s="140"/>
    </row>
    <row r="45" ht="12.75">
      <c r="A45" s="140"/>
    </row>
    <row r="46" ht="12.75">
      <c r="A46" s="140"/>
    </row>
    <row r="47" ht="12.75">
      <c r="A47" s="140"/>
    </row>
    <row r="48" ht="12.75">
      <c r="A48" s="140"/>
    </row>
    <row r="49" ht="12.75">
      <c r="A49" s="140"/>
    </row>
    <row r="50" ht="12.75">
      <c r="A50" s="140"/>
    </row>
    <row r="51" ht="12.75">
      <c r="A51" s="140"/>
    </row>
    <row r="52" ht="12.75">
      <c r="A52" s="140"/>
    </row>
    <row r="53" ht="12.75">
      <c r="A53" s="140"/>
    </row>
    <row r="54" ht="12.75">
      <c r="A54" s="140"/>
    </row>
    <row r="55" ht="12.75">
      <c r="A55" s="140"/>
    </row>
    <row r="56" ht="12.75">
      <c r="A56" s="140"/>
    </row>
    <row r="57" ht="12.75">
      <c r="A57" s="140"/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1" r:id="rId1"/>
  <headerFooter alignWithMargins="0">
    <oddHeader>&amp;RExhibit No. ___(JAH-23)
Page 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"/>
  <sheetViews>
    <sheetView workbookViewId="0" topLeftCell="A1">
      <selection activeCell="G14" sqref="G14"/>
    </sheetView>
  </sheetViews>
  <sheetFormatPr defaultColWidth="9.140625" defaultRowHeight="12.75"/>
  <cols>
    <col min="1" max="1" width="33.8515625" style="135" bestFit="1" customWidth="1"/>
    <col min="2" max="2" width="7.7109375" style="135" hidden="1" customWidth="1"/>
    <col min="3" max="5" width="9.00390625" style="135" hidden="1" customWidth="1"/>
    <col min="6" max="6" width="7.57421875" style="257" hidden="1" customWidth="1"/>
    <col min="7" max="7" width="7.7109375" style="257" hidden="1" customWidth="1"/>
    <col min="8" max="8" width="10.140625" style="257" hidden="1" customWidth="1"/>
    <col min="9" max="9" width="7.140625" style="135" hidden="1" customWidth="1"/>
    <col min="10" max="10" width="8.8515625" style="135" hidden="1" customWidth="1"/>
    <col min="11" max="11" width="8.421875" style="135" bestFit="1" customWidth="1"/>
    <col min="12" max="17" width="9.140625" style="135" customWidth="1"/>
    <col min="18" max="18" width="11.421875" style="135" customWidth="1"/>
    <col min="19" max="19" width="12.140625" style="135" customWidth="1"/>
    <col min="20" max="20" width="12.28125" style="135" customWidth="1"/>
    <col min="21" max="16384" width="9.140625" style="135" customWidth="1"/>
  </cols>
  <sheetData>
    <row r="1" ht="13.5" thickBot="1"/>
    <row r="2" spans="1:28" s="109" customFormat="1" ht="22.5" thickTop="1">
      <c r="A2" s="106"/>
      <c r="B2" s="278" t="s">
        <v>291</v>
      </c>
      <c r="C2" s="278" t="s">
        <v>291</v>
      </c>
      <c r="D2" s="278" t="s">
        <v>291</v>
      </c>
      <c r="E2" s="278" t="s">
        <v>291</v>
      </c>
      <c r="F2" s="279" t="s">
        <v>291</v>
      </c>
      <c r="G2" s="279" t="s">
        <v>291</v>
      </c>
      <c r="H2" s="279" t="s">
        <v>291</v>
      </c>
      <c r="I2" s="278" t="s">
        <v>291</v>
      </c>
      <c r="J2" s="278" t="s">
        <v>291</v>
      </c>
      <c r="K2" s="278" t="s">
        <v>13</v>
      </c>
      <c r="L2" s="278" t="s">
        <v>292</v>
      </c>
      <c r="M2" s="278" t="s">
        <v>292</v>
      </c>
      <c r="N2" s="278" t="s">
        <v>292</v>
      </c>
      <c r="O2" s="278" t="s">
        <v>293</v>
      </c>
      <c r="P2" s="278" t="s">
        <v>293</v>
      </c>
      <c r="Q2" s="278" t="s">
        <v>293</v>
      </c>
      <c r="R2" s="278" t="s">
        <v>294</v>
      </c>
      <c r="S2" s="278" t="s">
        <v>295</v>
      </c>
      <c r="T2" s="278" t="s">
        <v>294</v>
      </c>
      <c r="U2" s="278" t="s">
        <v>28</v>
      </c>
      <c r="V2" s="278" t="s">
        <v>296</v>
      </c>
      <c r="W2" s="280" t="s">
        <v>296</v>
      </c>
      <c r="X2" s="107"/>
      <c r="Y2" s="107"/>
      <c r="Z2" s="107"/>
      <c r="AA2" s="107"/>
      <c r="AB2" s="108"/>
    </row>
    <row r="3" spans="1:28" s="111" customFormat="1" ht="21.75">
      <c r="A3" s="110"/>
      <c r="B3" s="276" t="s">
        <v>297</v>
      </c>
      <c r="C3" s="276" t="s">
        <v>298</v>
      </c>
      <c r="D3" s="276" t="s">
        <v>299</v>
      </c>
      <c r="E3" s="276" t="s">
        <v>300</v>
      </c>
      <c r="F3" s="277" t="s">
        <v>301</v>
      </c>
      <c r="G3" s="277" t="s">
        <v>294</v>
      </c>
      <c r="H3" s="277" t="s">
        <v>25</v>
      </c>
      <c r="I3" s="276" t="s">
        <v>302</v>
      </c>
      <c r="J3" s="276" t="s">
        <v>296</v>
      </c>
      <c r="K3" s="276" t="s">
        <v>303</v>
      </c>
      <c r="L3" s="276" t="s">
        <v>304</v>
      </c>
      <c r="M3" s="276" t="s">
        <v>305</v>
      </c>
      <c r="N3" s="276" t="s">
        <v>306</v>
      </c>
      <c r="O3" s="276" t="s">
        <v>22</v>
      </c>
      <c r="P3" s="276" t="s">
        <v>307</v>
      </c>
      <c r="Q3" s="276" t="s">
        <v>308</v>
      </c>
      <c r="R3" s="276" t="s">
        <v>21</v>
      </c>
      <c r="S3" s="276" t="s">
        <v>309</v>
      </c>
      <c r="T3" s="276" t="s">
        <v>25</v>
      </c>
      <c r="U3" s="276" t="s">
        <v>310</v>
      </c>
      <c r="V3" s="276" t="s">
        <v>311</v>
      </c>
      <c r="W3" s="281" t="s">
        <v>312</v>
      </c>
      <c r="AB3" s="112"/>
    </row>
    <row r="4" spans="1:28" s="116" customFormat="1" ht="22.5" thickBot="1">
      <c r="A4" s="113" t="s">
        <v>313</v>
      </c>
      <c r="B4" s="282"/>
      <c r="C4" s="282"/>
      <c r="D4" s="282"/>
      <c r="E4" s="282"/>
      <c r="F4" s="283"/>
      <c r="G4" s="283"/>
      <c r="H4" s="283"/>
      <c r="I4" s="282"/>
      <c r="J4" s="282"/>
      <c r="K4" s="282">
        <v>7</v>
      </c>
      <c r="L4" s="282">
        <v>24</v>
      </c>
      <c r="M4" s="282" t="s">
        <v>314</v>
      </c>
      <c r="N4" s="282">
        <v>26</v>
      </c>
      <c r="O4" s="282">
        <v>31</v>
      </c>
      <c r="P4" s="282">
        <v>35</v>
      </c>
      <c r="Q4" s="282">
        <v>43</v>
      </c>
      <c r="R4" s="282">
        <v>449</v>
      </c>
      <c r="S4" s="282">
        <v>49</v>
      </c>
      <c r="T4" s="282">
        <v>449</v>
      </c>
      <c r="U4" s="282" t="s">
        <v>315</v>
      </c>
      <c r="V4" s="282" t="s">
        <v>32</v>
      </c>
      <c r="W4" s="284" t="s">
        <v>32</v>
      </c>
      <c r="X4" s="114"/>
      <c r="Y4" s="114"/>
      <c r="Z4" s="114"/>
      <c r="AA4" s="114"/>
      <c r="AB4" s="115"/>
    </row>
    <row r="6" spans="1:23" ht="12.75">
      <c r="A6" s="135" t="s">
        <v>316</v>
      </c>
      <c r="B6" s="149">
        <v>8.258231560271707</v>
      </c>
      <c r="C6" s="149">
        <v>11.411010023545588</v>
      </c>
      <c r="D6" s="149">
        <v>56.35797805656064</v>
      </c>
      <c r="E6" s="149">
        <v>138.97689596236881</v>
      </c>
      <c r="F6" s="257">
        <v>313.0703466236648</v>
      </c>
      <c r="G6" s="257">
        <v>1707.6543658482663</v>
      </c>
      <c r="H6" s="257">
        <v>1958.5184817222876</v>
      </c>
      <c r="I6" s="149">
        <v>1.8380181964331985</v>
      </c>
      <c r="J6" s="149">
        <v>560.6767813781216</v>
      </c>
      <c r="K6" s="149">
        <v>8.258231560271707</v>
      </c>
      <c r="L6" s="149">
        <v>11.411010023545588</v>
      </c>
      <c r="M6" s="149">
        <v>56.35797805656064</v>
      </c>
      <c r="N6" s="149">
        <v>138.97689596236881</v>
      </c>
      <c r="O6" s="149">
        <v>312.10838190902587</v>
      </c>
      <c r="P6" s="149">
        <v>246.83758635326706</v>
      </c>
      <c r="Q6" s="149">
        <v>320.04252270314754</v>
      </c>
      <c r="R6" s="149">
        <v>2063.899200307564</v>
      </c>
      <c r="S6" s="149">
        <v>1958.5184817222876</v>
      </c>
      <c r="T6" s="149">
        <v>1663.0505788010719</v>
      </c>
      <c r="U6" s="149">
        <v>1.8380181964331985</v>
      </c>
      <c r="V6" s="149">
        <v>492.7996085607936</v>
      </c>
      <c r="W6" s="149">
        <v>529.9130029506459</v>
      </c>
    </row>
    <row r="7" spans="1:23" ht="12.75">
      <c r="A7" s="135" t="s">
        <v>317</v>
      </c>
      <c r="B7" s="149">
        <v>5.509867011844198</v>
      </c>
      <c r="C7" s="149">
        <v>6.874047454454224</v>
      </c>
      <c r="D7" s="149">
        <v>21.07065213501</v>
      </c>
      <c r="E7" s="149">
        <v>46.531015025366976</v>
      </c>
      <c r="F7" s="257">
        <v>300.959894668286</v>
      </c>
      <c r="G7" s="257">
        <v>1712.0111157418544</v>
      </c>
      <c r="H7" s="257">
        <v>1963.4500580171616</v>
      </c>
      <c r="I7" s="149">
        <v>1.8380181964331985</v>
      </c>
      <c r="J7" s="149">
        <v>526.1117550280125</v>
      </c>
      <c r="K7" s="149">
        <v>5.509867011844198</v>
      </c>
      <c r="L7" s="149">
        <v>6.874047454454224</v>
      </c>
      <c r="M7" s="149">
        <v>21.07065213501</v>
      </c>
      <c r="N7" s="149">
        <v>46.531015025366976</v>
      </c>
      <c r="O7" s="149">
        <v>294.82542857532366</v>
      </c>
      <c r="P7" s="149">
        <v>252.64458561083865</v>
      </c>
      <c r="Q7" s="149">
        <v>322.53121417898217</v>
      </c>
      <c r="R7" s="149">
        <v>2069.922294363099</v>
      </c>
      <c r="S7" s="149">
        <v>1963.4500580171616</v>
      </c>
      <c r="T7" s="149">
        <v>1667.2159649803998</v>
      </c>
      <c r="U7" s="149">
        <v>1.8380181964331985</v>
      </c>
      <c r="V7" s="149">
        <v>478.2718981227002</v>
      </c>
      <c r="W7" s="149">
        <v>490.3664532673722</v>
      </c>
    </row>
    <row r="8" spans="11:23" ht="12.75"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ht="12.75">
      <c r="A9" s="135" t="s">
        <v>318</v>
      </c>
      <c r="B9" s="149">
        <f aca="true" t="shared" si="0" ref="B9:W9">0.35*(B6-B7)+B7</f>
        <v>6.4717946037938265</v>
      </c>
      <c r="C9" s="149">
        <f t="shared" si="0"/>
        <v>8.4619843536362</v>
      </c>
      <c r="D9" s="149">
        <f t="shared" si="0"/>
        <v>33.421216207552725</v>
      </c>
      <c r="E9" s="149">
        <f t="shared" si="0"/>
        <v>78.88707335331762</v>
      </c>
      <c r="F9" s="143">
        <f t="shared" si="0"/>
        <v>305.19855285266857</v>
      </c>
      <c r="G9" s="143">
        <f t="shared" si="0"/>
        <v>1710.4862532790985</v>
      </c>
      <c r="H9" s="143">
        <f t="shared" si="0"/>
        <v>1961.7240063139557</v>
      </c>
      <c r="I9" s="149">
        <f t="shared" si="0"/>
        <v>1.8380181964331985</v>
      </c>
      <c r="J9" s="149">
        <f t="shared" si="0"/>
        <v>538.2095142505507</v>
      </c>
      <c r="K9" s="149">
        <f t="shared" si="0"/>
        <v>6.4717946037938265</v>
      </c>
      <c r="L9" s="149">
        <f t="shared" si="0"/>
        <v>8.4619843536362</v>
      </c>
      <c r="M9" s="149">
        <f t="shared" si="0"/>
        <v>33.421216207552725</v>
      </c>
      <c r="N9" s="149">
        <f t="shared" si="0"/>
        <v>78.88707335331762</v>
      </c>
      <c r="O9" s="149">
        <f t="shared" si="0"/>
        <v>300.8744622421194</v>
      </c>
      <c r="P9" s="149">
        <f t="shared" si="0"/>
        <v>250.61213587068858</v>
      </c>
      <c r="Q9" s="149">
        <f t="shared" si="0"/>
        <v>321.66017216244006</v>
      </c>
      <c r="R9" s="149">
        <f t="shared" si="0"/>
        <v>2067.814211443662</v>
      </c>
      <c r="S9" s="149">
        <f t="shared" si="0"/>
        <v>1961.7240063139557</v>
      </c>
      <c r="T9" s="149">
        <f t="shared" si="0"/>
        <v>1665.758079817635</v>
      </c>
      <c r="U9" s="149">
        <f t="shared" si="0"/>
        <v>1.8380181964331985</v>
      </c>
      <c r="V9" s="149">
        <f t="shared" si="0"/>
        <v>483.35659677603286</v>
      </c>
      <c r="W9" s="149">
        <f t="shared" si="0"/>
        <v>504.207745656518</v>
      </c>
    </row>
    <row r="10" spans="1:23" ht="12.75">
      <c r="A10" s="135" t="s">
        <v>319</v>
      </c>
      <c r="B10" s="149"/>
      <c r="C10" s="149"/>
      <c r="D10" s="149"/>
      <c r="E10" s="149"/>
      <c r="F10" s="258"/>
      <c r="G10" s="258"/>
      <c r="H10" s="258"/>
      <c r="I10" s="259"/>
      <c r="J10" s="259"/>
      <c r="K10" s="149">
        <v>5.5</v>
      </c>
      <c r="L10" s="149">
        <v>5.5</v>
      </c>
      <c r="M10" s="149">
        <v>24.9</v>
      </c>
      <c r="N10" s="149">
        <v>29.1</v>
      </c>
      <c r="O10" s="149">
        <v>200</v>
      </c>
      <c r="P10" s="149">
        <v>200</v>
      </c>
      <c r="Q10" s="149">
        <v>200</v>
      </c>
      <c r="R10" s="149">
        <v>709</v>
      </c>
      <c r="S10" s="149">
        <v>0</v>
      </c>
      <c r="T10" s="149">
        <v>709</v>
      </c>
      <c r="U10" s="149">
        <v>0</v>
      </c>
      <c r="V10" s="149">
        <v>0</v>
      </c>
      <c r="W10" s="149">
        <v>0</v>
      </c>
    </row>
    <row r="11" spans="1:23" ht="12.75">
      <c r="A11" s="135" t="s">
        <v>320</v>
      </c>
      <c r="B11" s="149"/>
      <c r="C11" s="149"/>
      <c r="K11" s="260">
        <v>13.6</v>
      </c>
      <c r="L11" s="260">
        <v>13.6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1:23" ht="12.75"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</sheetData>
  <printOptions/>
  <pageMargins left="0.75" right="0.75" top="1.5" bottom="1" header="0.77" footer="0.5"/>
  <pageSetup fitToHeight="1" fitToWidth="1" horizontalDpi="600" verticalDpi="600" orientation="landscape" paperSize="121" scale="91" r:id="rId1"/>
  <headerFooter alignWithMargins="0">
    <oddHeader>&amp;CPuget Sound Energy
Basic Charge Calculations&amp;RExhibit No. ___(JAH-23)
Page 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140625" defaultRowHeight="12.75"/>
  <cols>
    <col min="1" max="1" width="31.00390625" style="135" bestFit="1" customWidth="1"/>
    <col min="2" max="3" width="10.7109375" style="135" bestFit="1" customWidth="1"/>
    <col min="4" max="4" width="11.28125" style="135" bestFit="1" customWidth="1"/>
    <col min="5" max="5" width="14.8515625" style="135" bestFit="1" customWidth="1"/>
    <col min="6" max="7" width="12.28125" style="135" bestFit="1" customWidth="1"/>
    <col min="8" max="8" width="9.28125" style="135" bestFit="1" customWidth="1"/>
    <col min="9" max="9" width="13.28125" style="135" bestFit="1" customWidth="1"/>
    <col min="10" max="10" width="14.8515625" style="135" bestFit="1" customWidth="1"/>
    <col min="11" max="11" width="9.140625" style="135" customWidth="1"/>
    <col min="12" max="12" width="13.8515625" style="135" bestFit="1" customWidth="1"/>
    <col min="13" max="13" width="13.28125" style="135" bestFit="1" customWidth="1"/>
    <col min="14" max="14" width="11.28125" style="135" bestFit="1" customWidth="1"/>
    <col min="15" max="16384" width="9.140625" style="135" customWidth="1"/>
  </cols>
  <sheetData>
    <row r="1" spans="1:7" ht="12.75">
      <c r="A1" s="136" t="s">
        <v>0</v>
      </c>
      <c r="B1" s="136"/>
      <c r="C1" s="136"/>
      <c r="D1" s="136"/>
      <c r="E1" s="136"/>
      <c r="F1" s="136"/>
      <c r="G1" s="136"/>
    </row>
    <row r="2" spans="1:7" ht="12.75">
      <c r="A2" s="136" t="s">
        <v>321</v>
      </c>
      <c r="B2" s="136"/>
      <c r="C2" s="136"/>
      <c r="D2" s="136"/>
      <c r="E2" s="136"/>
      <c r="F2" s="136"/>
      <c r="G2" s="136"/>
    </row>
    <row r="3" spans="1:7" ht="12.75">
      <c r="A3" s="136" t="s">
        <v>2</v>
      </c>
      <c r="B3" s="136"/>
      <c r="C3" s="136"/>
      <c r="D3" s="136"/>
      <c r="E3" s="136"/>
      <c r="F3" s="136"/>
      <c r="G3" s="136"/>
    </row>
    <row r="5" spans="1:13" s="139" customFormat="1" ht="51">
      <c r="A5" s="137"/>
      <c r="B5" s="138" t="s">
        <v>322</v>
      </c>
      <c r="C5" s="138" t="s">
        <v>323</v>
      </c>
      <c r="D5" s="137" t="s">
        <v>324</v>
      </c>
      <c r="E5" s="138" t="s">
        <v>321</v>
      </c>
      <c r="F5" s="138" t="s">
        <v>325</v>
      </c>
      <c r="G5" s="137" t="s">
        <v>326</v>
      </c>
      <c r="H5" s="139" t="s">
        <v>327</v>
      </c>
      <c r="I5" s="139" t="s">
        <v>328</v>
      </c>
      <c r="J5" s="139" t="s">
        <v>329</v>
      </c>
      <c r="K5" s="139" t="s">
        <v>265</v>
      </c>
      <c r="L5" s="139" t="s">
        <v>330</v>
      </c>
      <c r="M5" s="139" t="s">
        <v>331</v>
      </c>
    </row>
    <row r="6" spans="1:13" ht="12.75">
      <c r="A6" s="135" t="s">
        <v>68</v>
      </c>
      <c r="B6" s="143">
        <f>+'Secondary Voltage Schedule 25'!$C$14</f>
        <v>4082201.201703973</v>
      </c>
      <c r="C6" s="143">
        <f>+'Secondary Voltage Schedule 25'!$C$15</f>
        <v>4287493.58933934</v>
      </c>
      <c r="D6" s="143">
        <f>SUM(B6:C6)</f>
        <v>8369694.791043313</v>
      </c>
      <c r="E6" s="95">
        <f>+'Secondary Sch 25'!$F$19</f>
        <v>23754883.78000001</v>
      </c>
      <c r="F6" s="95">
        <f>+'Secondary Sch 25'!$F$21</f>
        <v>1737014.3200000022</v>
      </c>
      <c r="G6" s="153">
        <f>+E6+F6</f>
        <v>25491898.10000001</v>
      </c>
      <c r="H6" s="261">
        <f>+G6/G8</f>
        <v>0.9983789929279198</v>
      </c>
      <c r="J6" s="95">
        <f>+I8*H6</f>
        <v>46547992.78622306</v>
      </c>
      <c r="L6" s="95">
        <f>(F6)*(1+$K$8)</f>
        <v>1800506.8771402736</v>
      </c>
      <c r="M6" s="153">
        <f>+J6-L6</f>
        <v>44747485.909082785</v>
      </c>
    </row>
    <row r="7" spans="1:13" ht="12.75">
      <c r="A7" s="141" t="s">
        <v>82</v>
      </c>
      <c r="B7" s="143">
        <f>+'Secondary Voltage Schedule 29'!$C$17</f>
        <v>17056.937680184776</v>
      </c>
      <c r="C7" s="143">
        <f>+'Secondary Voltage Schedule 29'!$C$18</f>
        <v>10243.781613931036</v>
      </c>
      <c r="D7" s="143">
        <f>SUM(B7:C7)</f>
        <v>27300.719294115814</v>
      </c>
      <c r="E7" s="95">
        <f>+'Secondary Sch 29'!$F$22</f>
        <v>40444.5300000001</v>
      </c>
      <c r="F7" s="95">
        <f>+'Secondary Sch 29'!$F$24</f>
        <v>945.11</v>
      </c>
      <c r="G7" s="153">
        <f>+E7+F7</f>
        <v>41389.6400000001</v>
      </c>
      <c r="H7" s="261">
        <f>+G7/G8</f>
        <v>0.0016210070720802557</v>
      </c>
      <c r="J7" s="95">
        <f>+I8*H7</f>
        <v>75577.13657047662</v>
      </c>
      <c r="L7" s="95">
        <f>F7*(1+$K$8)</f>
        <v>979.6563189266292</v>
      </c>
      <c r="M7" s="153">
        <f>+J7-L7</f>
        <v>74597.48025154999</v>
      </c>
    </row>
    <row r="8" spans="1:13" ht="12.75">
      <c r="A8" s="141" t="s">
        <v>332</v>
      </c>
      <c r="B8" s="262">
        <f aca="true" t="shared" si="0" ref="B8:G8">SUM(B6:B7)</f>
        <v>4099258.139384158</v>
      </c>
      <c r="C8" s="262">
        <f t="shared" si="0"/>
        <v>4297737.370953271</v>
      </c>
      <c r="D8" s="262">
        <f t="shared" si="0"/>
        <v>8396995.51033743</v>
      </c>
      <c r="E8" s="237">
        <f t="shared" si="0"/>
        <v>23795328.31000001</v>
      </c>
      <c r="F8" s="237">
        <f t="shared" si="0"/>
        <v>1737959.4300000023</v>
      </c>
      <c r="G8" s="237">
        <f t="shared" si="0"/>
        <v>25533287.74000001</v>
      </c>
      <c r="I8" s="237">
        <f>+'Allocation of Demand Revenue'!D26</f>
        <v>46623569.92279354</v>
      </c>
      <c r="J8" s="155">
        <f>SUM(J6:J7)</f>
        <v>46623569.92279354</v>
      </c>
      <c r="K8" s="263">
        <v>0.036552696433885215</v>
      </c>
      <c r="L8" s="155">
        <f>SUM(L6:L7)</f>
        <v>1801486.5334592003</v>
      </c>
      <c r="M8" s="155">
        <f>SUM(M6:M7)</f>
        <v>44822083.389334336</v>
      </c>
    </row>
    <row r="9" spans="4:11" ht="12.75">
      <c r="D9" s="145"/>
      <c r="K9" s="263"/>
    </row>
    <row r="10" spans="1:13" ht="12.75">
      <c r="A10" s="141" t="s">
        <v>78</v>
      </c>
      <c r="B10" s="143"/>
      <c r="C10" s="143"/>
      <c r="D10" s="262">
        <f>+'Secondary Voltage Schedule 26'!$C$13</f>
        <v>4387268.884314232</v>
      </c>
      <c r="E10" s="237">
        <f>+'Secondary Sch 26'!$F$16</f>
        <v>25132641.30015957</v>
      </c>
      <c r="F10" s="237">
        <f>+'Secondary Sch 26'!$F$18</f>
        <v>1027477.0529314164</v>
      </c>
      <c r="G10" s="237">
        <f>+F10+E10</f>
        <v>26160118.353090987</v>
      </c>
      <c r="H10" s="261">
        <f>+G10/G10</f>
        <v>1</v>
      </c>
      <c r="I10" s="237">
        <f>+'Allocation of Demand Revenue'!E26</f>
        <v>29977542.953268513</v>
      </c>
      <c r="J10" s="155">
        <f>+I10</f>
        <v>29977542.953268513</v>
      </c>
      <c r="K10" s="263">
        <v>0.022859493483138843</v>
      </c>
      <c r="L10" s="237">
        <f>F10*(1+$K$10)</f>
        <v>1050964.6579269767</v>
      </c>
      <c r="M10" s="155">
        <f>+J10-L10</f>
        <v>28926578.295341536</v>
      </c>
    </row>
    <row r="11" ht="12.75">
      <c r="K11" s="263"/>
    </row>
    <row r="12" spans="1:15" ht="14.25">
      <c r="A12" s="141" t="s">
        <v>364</v>
      </c>
      <c r="B12" s="143"/>
      <c r="C12" s="143"/>
      <c r="D12" s="143">
        <f>+'Primary Sch 31'!$D$16</f>
        <v>3946814.654071696</v>
      </c>
      <c r="E12" s="95">
        <f>+'Primary Sch 31'!$F$16</f>
        <v>20977168.656930998</v>
      </c>
      <c r="F12" s="95">
        <f>+'Primary Sch 31'!$F$18</f>
        <v>744731.1551322301</v>
      </c>
      <c r="G12" s="153">
        <f>+E12+F12</f>
        <v>21721899.81206323</v>
      </c>
      <c r="H12" s="261">
        <f>+G12/G15</f>
        <v>0.8661207324430378</v>
      </c>
      <c r="J12" s="95">
        <f>+$I$15*H12</f>
        <v>24964099.750335395</v>
      </c>
      <c r="K12" s="263">
        <v>0.146210785735541</v>
      </c>
      <c r="L12" s="95">
        <f>(+F12)*(1+K12)</f>
        <v>853618.8824858506</v>
      </c>
      <c r="M12" s="153">
        <f>+J12-L12</f>
        <v>24110480.867849544</v>
      </c>
      <c r="N12" s="153"/>
      <c r="O12" s="152"/>
    </row>
    <row r="13" spans="1:13" ht="12.75">
      <c r="A13" s="135" t="s">
        <v>88</v>
      </c>
      <c r="B13" s="143"/>
      <c r="C13" s="143"/>
      <c r="D13" s="143">
        <f>+'Primary Sch 35'!$B$16</f>
        <v>9073.797297297298</v>
      </c>
      <c r="E13" s="95">
        <f>+'Primary Sch 35'!$D$16</f>
        <v>21325.750000000007</v>
      </c>
      <c r="F13" s="95">
        <f>+'Primary Sch 35'!$D$18</f>
        <v>1945.6900000000003</v>
      </c>
      <c r="G13" s="153">
        <f>+E13+F13</f>
        <v>23271.440000000006</v>
      </c>
      <c r="H13" s="261">
        <f>+G13/G15</f>
        <v>0.0009279057924118898</v>
      </c>
      <c r="J13" s="95">
        <f>+$I$15*H13</f>
        <v>26744.9235343271</v>
      </c>
      <c r="K13" s="263">
        <v>0.06475313780495968</v>
      </c>
      <c r="L13" s="95">
        <f>+F13*(1+K13)</f>
        <v>2071.679532695732</v>
      </c>
      <c r="M13" s="153">
        <f>+J13-L13</f>
        <v>24673.244001631367</v>
      </c>
    </row>
    <row r="14" spans="1:13" ht="12.75">
      <c r="A14" s="135" t="s">
        <v>92</v>
      </c>
      <c r="B14" s="143"/>
      <c r="C14" s="143"/>
      <c r="D14" s="143">
        <f>+'Primary Sch 43'!$D$14</f>
        <v>864944.7382920106</v>
      </c>
      <c r="E14" s="95">
        <f>+'Primary Sch 43'!$F$14</f>
        <v>3139749.3999999985</v>
      </c>
      <c r="F14" s="95">
        <f>+'Primary Sch 43'!$F$16</f>
        <v>194608.10000000003</v>
      </c>
      <c r="G14" s="153">
        <f>+E14+F14</f>
        <v>3334357.4999999986</v>
      </c>
      <c r="H14" s="261">
        <f>+G14/G15</f>
        <v>0.13295136176455027</v>
      </c>
      <c r="J14" s="95">
        <f>+$I$15*H14</f>
        <v>3832042.038378803</v>
      </c>
      <c r="K14" s="263">
        <v>0.10965808930165587</v>
      </c>
      <c r="L14" s="95">
        <f>+F14*(1+K14)</f>
        <v>215948.45240862563</v>
      </c>
      <c r="M14" s="153">
        <f>+J14-L14</f>
        <v>3616093.5859701773</v>
      </c>
    </row>
    <row r="15" spans="1:13" ht="12.75">
      <c r="A15" s="141" t="s">
        <v>333</v>
      </c>
      <c r="B15" s="143"/>
      <c r="C15" s="143"/>
      <c r="D15" s="262">
        <f>SUM(D12:D14)</f>
        <v>4820833.189661005</v>
      </c>
      <c r="E15" s="237">
        <f>SUM(E12:E14)</f>
        <v>24138243.806930996</v>
      </c>
      <c r="F15" s="237">
        <f>SUM(F12:F14)</f>
        <v>941284.9451322302</v>
      </c>
      <c r="G15" s="237">
        <f>SUM(G12:G14)</f>
        <v>25079528.75206323</v>
      </c>
      <c r="H15" s="264"/>
      <c r="I15" s="237">
        <f>+'Allocation of Demand Revenue'!F26</f>
        <v>28822886.712248527</v>
      </c>
      <c r="J15" s="237">
        <f>SUM(J12:J14)</f>
        <v>28822886.712248527</v>
      </c>
      <c r="K15" s="263"/>
      <c r="L15" s="237">
        <f>SUM(L12:L14)</f>
        <v>1071639.014427172</v>
      </c>
      <c r="M15" s="237">
        <f>SUM(M12:M14)</f>
        <v>27751247.697821353</v>
      </c>
    </row>
    <row r="16" spans="2:11" ht="12.75">
      <c r="B16" s="143"/>
      <c r="C16" s="143"/>
      <c r="K16" s="265"/>
    </row>
    <row r="17" spans="1:13" ht="12.75">
      <c r="A17" s="135" t="s">
        <v>94</v>
      </c>
      <c r="B17" s="143"/>
      <c r="C17" s="143"/>
      <c r="D17" s="143">
        <f>+'HV Sch 46'!$B$12</f>
        <v>168423</v>
      </c>
      <c r="E17" s="95">
        <f>+'HV Sch 46'!$D$12</f>
        <v>266108.34</v>
      </c>
      <c r="F17" s="95">
        <v>0</v>
      </c>
      <c r="G17" s="153">
        <f>+E17+F17</f>
        <v>266108.34</v>
      </c>
      <c r="H17" s="261">
        <f>+G17/G19</f>
        <v>0.07523962667148776</v>
      </c>
      <c r="J17" s="95">
        <f>+$I$19*H17</f>
        <v>300789.94042246277</v>
      </c>
      <c r="K17" s="265"/>
      <c r="L17" s="95">
        <f>+F17*(1+$K$19)</f>
        <v>0</v>
      </c>
      <c r="M17" s="153">
        <f>+J17-L17</f>
        <v>300789.94042246277</v>
      </c>
    </row>
    <row r="18" spans="1:13" ht="12.75">
      <c r="A18" s="141" t="s">
        <v>99</v>
      </c>
      <c r="B18" s="143"/>
      <c r="C18" s="143"/>
      <c r="D18" s="143">
        <f>+'HV Sch 49'!$B$12</f>
        <v>1172294.8637992474</v>
      </c>
      <c r="E18" s="95">
        <f>+'HV Sch 49'!$D$12</f>
        <v>3270702.6699999003</v>
      </c>
      <c r="F18" s="95">
        <v>0</v>
      </c>
      <c r="G18" s="153">
        <f>+E18+F18</f>
        <v>3270702.6699999003</v>
      </c>
      <c r="H18" s="261">
        <f>+G18/G19</f>
        <v>0.9247603733285122</v>
      </c>
      <c r="J18" s="95">
        <f>+$I$19*H18</f>
        <v>3696969.6675003106</v>
      </c>
      <c r="K18" s="265"/>
      <c r="L18" s="95">
        <f>+F18*(1+$K$19)</f>
        <v>0</v>
      </c>
      <c r="M18" s="153">
        <f>+J18-L18</f>
        <v>3696969.6675003106</v>
      </c>
    </row>
    <row r="19" spans="1:13" ht="12.75">
      <c r="A19" s="141" t="s">
        <v>334</v>
      </c>
      <c r="B19" s="143"/>
      <c r="C19" s="143"/>
      <c r="D19" s="262">
        <f>SUM(D16:D18)</f>
        <v>1340717.8637992474</v>
      </c>
      <c r="E19" s="237">
        <f>SUM(E16:E18)</f>
        <v>3536811.0099999</v>
      </c>
      <c r="F19" s="237">
        <f>SUM(F16:F18)</f>
        <v>0</v>
      </c>
      <c r="G19" s="237">
        <f>SUM(G17:G18)</f>
        <v>3536811.0099999</v>
      </c>
      <c r="I19" s="237">
        <f>+'Allocation of Demand Revenue'!G26</f>
        <v>3997759.6079227733</v>
      </c>
      <c r="J19" s="237">
        <f>SUM(J17:J18)</f>
        <v>3997759.6079227733</v>
      </c>
      <c r="K19" s="265">
        <v>0.10965808930165594</v>
      </c>
      <c r="L19" s="237">
        <f>SUM(L17:L18)</f>
        <v>0</v>
      </c>
      <c r="M19" s="155">
        <f>+J19-L19</f>
        <v>3997759.6079227733</v>
      </c>
    </row>
    <row r="20" spans="2:11" ht="12.75">
      <c r="B20" s="143"/>
      <c r="C20" s="143"/>
      <c r="K20" s="265"/>
    </row>
    <row r="21" spans="1:13" ht="12.75">
      <c r="A21" s="141" t="s">
        <v>335</v>
      </c>
      <c r="B21" s="143"/>
      <c r="C21" s="143"/>
      <c r="D21" s="143">
        <f>+'Sch 449'!$B$13</f>
        <v>216056</v>
      </c>
      <c r="E21" s="95">
        <f>+'Sch 449'!$D$13</f>
        <v>864224</v>
      </c>
      <c r="F21" s="95">
        <v>0</v>
      </c>
      <c r="G21" s="153">
        <f>+E21+F21</f>
        <v>864224</v>
      </c>
      <c r="H21" s="261">
        <f>+G21/G24</f>
        <v>0.13938316992801272</v>
      </c>
      <c r="J21" s="95">
        <f>+$I$24*H21</f>
        <v>660214.190379433</v>
      </c>
      <c r="K21" s="265"/>
      <c r="L21" s="95">
        <f>+F21*(1+$K$24)</f>
        <v>0</v>
      </c>
      <c r="M21" s="153">
        <f>+J21-L21</f>
        <v>660214.190379433</v>
      </c>
    </row>
    <row r="22" spans="1:13" ht="12.75">
      <c r="A22" s="141" t="s">
        <v>336</v>
      </c>
      <c r="B22" s="143"/>
      <c r="C22" s="143"/>
      <c r="D22" s="143">
        <f>+'Sch 449'!$B$19</f>
        <v>2865370</v>
      </c>
      <c r="E22" s="95">
        <f>+'Sch 449'!$D$19</f>
        <v>4384016.1</v>
      </c>
      <c r="F22" s="95">
        <v>0</v>
      </c>
      <c r="G22" s="153">
        <f>+E22+F22</f>
        <v>4384016.1</v>
      </c>
      <c r="H22" s="261">
        <f>+G22/G24</f>
        <v>0.7070598143923839</v>
      </c>
      <c r="J22" s="95">
        <f>+$I$24*H22</f>
        <v>3349119.7190449457</v>
      </c>
      <c r="K22" s="265"/>
      <c r="L22" s="95">
        <f>+F22*(1+$K$24)</f>
        <v>0</v>
      </c>
      <c r="M22" s="153">
        <f>+J22-L22</f>
        <v>3349119.7190449457</v>
      </c>
    </row>
    <row r="23" spans="1:13" ht="12.75">
      <c r="A23" s="141" t="s">
        <v>337</v>
      </c>
      <c r="B23" s="143"/>
      <c r="C23" s="143"/>
      <c r="D23" s="143">
        <f>+'Sch 459'!$B$13</f>
        <v>622292</v>
      </c>
      <c r="E23" s="95">
        <f>+'Sch 459'!$D$13</f>
        <v>952106.76</v>
      </c>
      <c r="F23" s="95">
        <v>0</v>
      </c>
      <c r="G23" s="153">
        <f>+E23+F23</f>
        <v>952106.76</v>
      </c>
      <c r="H23" s="261">
        <f>+G23/G24</f>
        <v>0.15355701567960348</v>
      </c>
      <c r="J23" s="95">
        <f>+$I$24*H23</f>
        <v>727351.2349902169</v>
      </c>
      <c r="K23" s="265"/>
      <c r="L23" s="95">
        <f>+F23*(1+$K$24)</f>
        <v>0</v>
      </c>
      <c r="M23" s="153">
        <f>+J23-L23</f>
        <v>727351.2349902169</v>
      </c>
    </row>
    <row r="24" spans="1:13" ht="12.75">
      <c r="A24" s="135" t="s">
        <v>338</v>
      </c>
      <c r="B24" s="143"/>
      <c r="C24" s="143"/>
      <c r="D24" s="262">
        <f>SUM(D21:D23)</f>
        <v>3703718</v>
      </c>
      <c r="E24" s="237">
        <f>SUM(E21:E23)</f>
        <v>6200346.859999999</v>
      </c>
      <c r="F24" s="237">
        <f>SUM(F21:F23)</f>
        <v>0</v>
      </c>
      <c r="G24" s="237">
        <f>SUM(G21:G23)</f>
        <v>6200346.859999999</v>
      </c>
      <c r="I24" s="237">
        <f>+'Allocation of Demand Revenue'!H26</f>
        <v>4736685.144414595</v>
      </c>
      <c r="J24" s="237">
        <f>SUM(J21:J22)</f>
        <v>4009333.9094243785</v>
      </c>
      <c r="K24" s="265">
        <v>0.03655269643388528</v>
      </c>
      <c r="L24" s="237">
        <f>SUM(L21:L22)</f>
        <v>0</v>
      </c>
      <c r="M24" s="155">
        <f>+J24-L24</f>
        <v>4009333.9094243785</v>
      </c>
    </row>
    <row r="25" ht="12.75">
      <c r="K25" s="266"/>
    </row>
    <row r="26" spans="1:13" ht="13.5" thickBot="1">
      <c r="A26" s="135" t="s">
        <v>339</v>
      </c>
      <c r="D26" s="267">
        <f>SUM(D8,D10,D15,D19,D24)</f>
        <v>22649533.448111914</v>
      </c>
      <c r="E26" s="268">
        <f>SUM(E8,E10,E15,E19,E24)</f>
        <v>82803371.28709047</v>
      </c>
      <c r="F26" s="268">
        <f>SUM(F8,F10,F15,F19,F24)</f>
        <v>3706721.4280636488</v>
      </c>
      <c r="G26" s="268">
        <f>SUM(G8,G10,G15,G19,G24)</f>
        <v>86510092.71515413</v>
      </c>
      <c r="I26" s="268">
        <f>SUM(I8,I10,I15,I19,I24)</f>
        <v>114158444.34064794</v>
      </c>
      <c r="J26" s="268">
        <f>SUM(J8,J10,J15,J19,J24)</f>
        <v>113431093.10565773</v>
      </c>
      <c r="L26" s="268">
        <f>SUM(L8,L10,L15,L19,L24)</f>
        <v>3924090.205813349</v>
      </c>
      <c r="M26" s="268">
        <f>SUM(M8,M10,M15,M19,M24)</f>
        <v>109507002.89984438</v>
      </c>
    </row>
    <row r="27" ht="13.5" thickTop="1"/>
    <row r="29" spans="1:9" ht="12.75">
      <c r="A29" s="285"/>
      <c r="B29" s="285"/>
      <c r="C29" s="285"/>
      <c r="D29" s="285"/>
      <c r="E29" s="285"/>
      <c r="F29" s="286"/>
      <c r="G29" s="286"/>
      <c r="H29" s="286"/>
      <c r="I29" s="286"/>
    </row>
    <row r="30" spans="1:9" ht="12.75">
      <c r="A30" s="136" t="s">
        <v>340</v>
      </c>
      <c r="B30" s="136"/>
      <c r="C30" s="136"/>
      <c r="D30" s="136"/>
      <c r="E30" s="136"/>
      <c r="F30" s="136"/>
      <c r="G30" s="136"/>
      <c r="H30" s="136"/>
      <c r="I30" s="136"/>
    </row>
  </sheetData>
  <mergeCells count="1">
    <mergeCell ref="A29:I29"/>
  </mergeCells>
  <printOptions horizontalCentered="1"/>
  <pageMargins left="0.5" right="0.5" top="1" bottom="1" header="0.99" footer="0.5"/>
  <pageSetup fitToHeight="1" fitToWidth="1" horizontalDpi="600" verticalDpi="600" orientation="landscape" scale="72" r:id="rId1"/>
  <headerFooter alignWithMargins="0">
    <oddHeader>&amp;RExhibit No. ___(JAH-23)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G14" sqref="G14"/>
    </sheetView>
  </sheetViews>
  <sheetFormatPr defaultColWidth="9.140625" defaultRowHeight="12.75"/>
  <cols>
    <col min="1" max="1" width="23.8515625" style="0" bestFit="1" customWidth="1"/>
    <col min="2" max="2" width="14.00390625" style="0" bestFit="1" customWidth="1"/>
    <col min="3" max="3" width="11.85156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63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64" t="str">
        <f>+'Residential Sch 7'!E8</f>
        <v>Rates Effective 10-1-03</v>
      </c>
      <c r="F8" s="65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s="21" t="s">
        <v>53</v>
      </c>
      <c r="B10" s="11">
        <v>954004.2297902098</v>
      </c>
      <c r="C10" s="11"/>
      <c r="D10" s="11">
        <f>+B10</f>
        <v>954004.2297902098</v>
      </c>
      <c r="E10" s="50">
        <v>5.5</v>
      </c>
      <c r="F10" s="35">
        <f>+E10*D10</f>
        <v>5247023.263846153</v>
      </c>
      <c r="G10" s="71">
        <f>+'Secondary Voltage Schedule 24'!$C$37</f>
        <v>6.5</v>
      </c>
      <c r="H10" s="35">
        <f>+G10*D10</f>
        <v>6201027.493636364</v>
      </c>
      <c r="I10" s="33">
        <f>+H10-F10</f>
        <v>954004.2297902107</v>
      </c>
      <c r="J10" s="52">
        <f>+I10/F10</f>
        <v>0.18181818181818202</v>
      </c>
    </row>
    <row r="11" spans="1:10" ht="12.75">
      <c r="A11" t="s">
        <v>54</v>
      </c>
      <c r="B11" s="11">
        <v>351858.924304996</v>
      </c>
      <c r="C11" s="11"/>
      <c r="D11" s="11">
        <f>+B11</f>
        <v>351858.924304996</v>
      </c>
      <c r="E11" s="50">
        <v>13.6</v>
      </c>
      <c r="F11" s="35">
        <f>+E11*D11</f>
        <v>4785281.370547946</v>
      </c>
      <c r="G11" s="71">
        <f>+'Secondary Voltage Schedule 24'!$C$38</f>
        <v>16.1</v>
      </c>
      <c r="H11" s="35">
        <f>+G11*D11</f>
        <v>5664928.681310436</v>
      </c>
      <c r="I11" s="33">
        <f>+H11-F11</f>
        <v>879647.3107624901</v>
      </c>
      <c r="J11" s="52">
        <f>+I11/F11</f>
        <v>0.18382352941176475</v>
      </c>
    </row>
    <row r="12" spans="1:10" ht="12.75">
      <c r="A12" t="s">
        <v>55</v>
      </c>
      <c r="B12" s="15">
        <f>SUM(B10:B11)</f>
        <v>1305863.1540952057</v>
      </c>
      <c r="C12" s="15"/>
      <c r="D12" s="15">
        <f>SUM(D10:D11)</f>
        <v>1305863.1540952057</v>
      </c>
      <c r="F12" s="16">
        <f>SUM(F10:F11)</f>
        <v>10032304.634394098</v>
      </c>
      <c r="H12" s="16">
        <f>SUM(H10:H11)</f>
        <v>11865956.1749468</v>
      </c>
      <c r="I12" s="16">
        <f>SUM(I10:I11)</f>
        <v>1833651.5405527009</v>
      </c>
      <c r="J12" s="53">
        <f>+I12/F12</f>
        <v>0.1827747070465075</v>
      </c>
    </row>
    <row r="13" spans="6:8" ht="12.75">
      <c r="F13" s="35"/>
      <c r="H13" s="35"/>
    </row>
    <row r="14" spans="1:10" ht="12.75">
      <c r="A14" t="s">
        <v>64</v>
      </c>
      <c r="B14" s="54">
        <v>1257189864.3315</v>
      </c>
      <c r="C14" s="54">
        <v>8390946.054473223</v>
      </c>
      <c r="D14" s="54">
        <f>SUM(B14:C14)</f>
        <v>1265580810.3859732</v>
      </c>
      <c r="E14" s="55">
        <v>0.06754500000000001</v>
      </c>
      <c r="F14" s="35">
        <f>+E14*D14</f>
        <v>85483655.83752057</v>
      </c>
      <c r="G14" s="55">
        <f>+'Secondary Voltage Schedule 24'!$C$52</f>
        <v>0.072695</v>
      </c>
      <c r="H14" s="35">
        <f>+G14*D14</f>
        <v>92001397.01100832</v>
      </c>
      <c r="I14" s="33">
        <f>+H14-F14</f>
        <v>6517741.173487753</v>
      </c>
      <c r="J14" s="52">
        <f>+I14/F14</f>
        <v>0.07624546598563908</v>
      </c>
    </row>
    <row r="15" spans="1:10" ht="12.75">
      <c r="A15" t="s">
        <v>65</v>
      </c>
      <c r="B15" s="54">
        <v>1125586300.3614001</v>
      </c>
      <c r="C15" s="54">
        <v>-7829004.55270258</v>
      </c>
      <c r="D15" s="54">
        <f>SUM(B15:C15)</f>
        <v>1117757295.8086975</v>
      </c>
      <c r="E15" s="55">
        <v>0.064967</v>
      </c>
      <c r="F15" s="35">
        <f>+E15*D15</f>
        <v>72617338.23680365</v>
      </c>
      <c r="G15" s="55">
        <f>+'Secondary Voltage Schedule 24'!$C$53</f>
        <v>0.06992</v>
      </c>
      <c r="H15" s="35">
        <f>+G15*D15</f>
        <v>78153590.12294412</v>
      </c>
      <c r="I15" s="33">
        <f>+H15-F15</f>
        <v>5536251.886140466</v>
      </c>
      <c r="J15" s="52">
        <f>+I15/F15</f>
        <v>0.07623870580448518</v>
      </c>
    </row>
    <row r="16" spans="1:10" ht="12.75">
      <c r="A16" t="s">
        <v>59</v>
      </c>
      <c r="B16" s="15">
        <f>SUM(B14:B15)</f>
        <v>2382776164.6929</v>
      </c>
      <c r="C16" s="15">
        <f>SUM(C14:C15)</f>
        <v>561941.5017706435</v>
      </c>
      <c r="D16" s="15">
        <f>SUM(D14:D15)</f>
        <v>2383338106.1946707</v>
      </c>
      <c r="F16" s="16">
        <f>SUM(F14:F15)</f>
        <v>158100994.07432422</v>
      </c>
      <c r="H16" s="16">
        <f>SUM(H14:H15)</f>
        <v>170154987.13395244</v>
      </c>
      <c r="I16" s="16">
        <f>SUM(I14:I15)</f>
        <v>12053993.059628218</v>
      </c>
      <c r="J16" s="53">
        <f>+I16/F16</f>
        <v>0.07624236096808831</v>
      </c>
    </row>
    <row r="17" spans="2:10" ht="12.75">
      <c r="B17" s="129"/>
      <c r="C17" s="129"/>
      <c r="D17" s="129"/>
      <c r="F17" s="130"/>
      <c r="H17" s="130"/>
      <c r="I17" s="130"/>
      <c r="J17" s="131"/>
    </row>
    <row r="18" spans="1:10" ht="12.75">
      <c r="A18" t="s">
        <v>60</v>
      </c>
      <c r="D18" s="124">
        <f>+D16</f>
        <v>2383338106.1946707</v>
      </c>
      <c r="E18" s="55">
        <v>0.0023569999999999997</v>
      </c>
      <c r="F18" s="125">
        <f>+E18*D18</f>
        <v>5617527.916300838</v>
      </c>
      <c r="G18" s="55">
        <v>0</v>
      </c>
      <c r="H18" s="125">
        <f>+G18*D18</f>
        <v>0</v>
      </c>
      <c r="I18" s="72">
        <f>+H18-F18</f>
        <v>-5617527.916300838</v>
      </c>
      <c r="J18" s="126">
        <f>+I18/F18</f>
        <v>-1</v>
      </c>
    </row>
    <row r="19" ht="12.75">
      <c r="D19" s="58"/>
    </row>
    <row r="20" spans="1:10" ht="13.5" thickBot="1">
      <c r="A20" s="21" t="s">
        <v>66</v>
      </c>
      <c r="B20" s="21"/>
      <c r="C20" s="21"/>
      <c r="F20" s="59">
        <f>SUM(F16,F12,F18)</f>
        <v>173750826.62501916</v>
      </c>
      <c r="H20" s="59">
        <f>SUM(H16,H12,H18)</f>
        <v>182020943.30889922</v>
      </c>
      <c r="I20" s="59">
        <f>SUM(I16,I12,I18)</f>
        <v>8270116.683880082</v>
      </c>
      <c r="J20" s="60">
        <f>+I20/F20</f>
        <v>0.047597567416057585</v>
      </c>
    </row>
    <row r="21" ht="13.5" thickTop="1">
      <c r="D21" s="58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90" zoomScaleNormal="90" workbookViewId="0" topLeftCell="C1">
      <selection activeCell="G14" sqref="G14"/>
    </sheetView>
  </sheetViews>
  <sheetFormatPr defaultColWidth="9.140625" defaultRowHeight="12.75"/>
  <cols>
    <col min="1" max="1" width="4.421875" style="135" bestFit="1" customWidth="1"/>
    <col min="2" max="2" width="42.57421875" style="135" bestFit="1" customWidth="1"/>
    <col min="3" max="3" width="40.140625" style="135" bestFit="1" customWidth="1"/>
    <col min="4" max="4" width="16.8515625" style="135" bestFit="1" customWidth="1"/>
    <col min="5" max="7" width="14.8515625" style="135" bestFit="1" customWidth="1"/>
    <col min="8" max="8" width="14.140625" style="135" bestFit="1" customWidth="1"/>
    <col min="9" max="16384" width="9.140625" style="135" customWidth="1"/>
  </cols>
  <sheetData>
    <row r="1" spans="1:7" ht="12.75">
      <c r="A1" s="136" t="s">
        <v>0</v>
      </c>
      <c r="B1" s="136"/>
      <c r="C1" s="136"/>
      <c r="D1" s="136"/>
      <c r="E1" s="136"/>
      <c r="F1" s="136"/>
      <c r="G1" s="136"/>
    </row>
    <row r="2" spans="1:7" ht="12.75">
      <c r="A2" s="136" t="s">
        <v>341</v>
      </c>
      <c r="B2" s="136"/>
      <c r="C2" s="136"/>
      <c r="D2" s="136"/>
      <c r="E2" s="136"/>
      <c r="F2" s="136"/>
      <c r="G2" s="136"/>
    </row>
    <row r="3" spans="1:7" ht="12.75">
      <c r="A3" s="136" t="s">
        <v>342</v>
      </c>
      <c r="B3" s="136"/>
      <c r="C3" s="136"/>
      <c r="D3" s="136"/>
      <c r="E3" s="136"/>
      <c r="F3" s="136"/>
      <c r="G3" s="136"/>
    </row>
    <row r="4" spans="1:7" ht="12.75">
      <c r="A4" s="136" t="s">
        <v>2</v>
      </c>
      <c r="B4" s="136"/>
      <c r="C4" s="136"/>
      <c r="D4" s="136"/>
      <c r="E4" s="136"/>
      <c r="F4" s="136"/>
      <c r="G4" s="136"/>
    </row>
    <row r="5" spans="1:7" ht="12.75">
      <c r="A5" s="136"/>
      <c r="B5" s="136"/>
      <c r="C5" s="136"/>
      <c r="D5" s="136"/>
      <c r="E5" s="136"/>
      <c r="F5" s="136"/>
      <c r="G5" s="136"/>
    </row>
    <row r="8" spans="1:8" s="139" customFormat="1" ht="51">
      <c r="A8" s="137" t="s">
        <v>139</v>
      </c>
      <c r="B8" s="137"/>
      <c r="C8" s="138" t="s">
        <v>343</v>
      </c>
      <c r="D8" s="138" t="s">
        <v>344</v>
      </c>
      <c r="E8" s="138" t="s">
        <v>345</v>
      </c>
      <c r="F8" s="138" t="s">
        <v>346</v>
      </c>
      <c r="G8" s="138" t="s">
        <v>347</v>
      </c>
      <c r="H8" s="138" t="s">
        <v>348</v>
      </c>
    </row>
    <row r="10" spans="1:8" s="269" customFormat="1" ht="12.75">
      <c r="A10" s="139">
        <v>1</v>
      </c>
      <c r="B10" s="270" t="s">
        <v>349</v>
      </c>
      <c r="C10" s="270" t="s">
        <v>350</v>
      </c>
      <c r="D10" s="271">
        <v>63400741.46040061</v>
      </c>
      <c r="E10" s="271">
        <v>33104238.74306593</v>
      </c>
      <c r="F10" s="271">
        <v>30611041.767346688</v>
      </c>
      <c r="G10" s="271">
        <v>4277401.270779595</v>
      </c>
      <c r="H10" s="271">
        <v>3971451.568370908</v>
      </c>
    </row>
    <row r="11" spans="1:8" s="269" customFormat="1" ht="12.75">
      <c r="A11" s="139"/>
      <c r="B11" s="272"/>
      <c r="C11" s="272"/>
      <c r="D11" s="271"/>
      <c r="E11" s="271"/>
      <c r="F11" s="271"/>
      <c r="G11" s="271"/>
      <c r="H11" s="271"/>
    </row>
    <row r="12" spans="1:8" s="269" customFormat="1" ht="12.75">
      <c r="A12" s="139">
        <v>2</v>
      </c>
      <c r="B12" s="270" t="s">
        <v>351</v>
      </c>
      <c r="C12" s="270" t="s">
        <v>352</v>
      </c>
      <c r="D12" s="271">
        <v>200956898.2881039</v>
      </c>
      <c r="E12" s="271">
        <v>122228647.89434761</v>
      </c>
      <c r="F12" s="271">
        <v>117355799.49941814</v>
      </c>
      <c r="G12" s="271">
        <v>25894174.630254928</v>
      </c>
      <c r="H12" s="271">
        <v>8620046.725494282</v>
      </c>
    </row>
    <row r="13" spans="1:3" s="269" customFormat="1" ht="12.75">
      <c r="A13" s="139"/>
      <c r="B13" s="272"/>
      <c r="C13" s="272"/>
    </row>
    <row r="14" spans="1:8" s="269" customFormat="1" ht="12.75">
      <c r="A14" s="139">
        <v>3</v>
      </c>
      <c r="B14" s="272" t="s">
        <v>353</v>
      </c>
      <c r="C14" s="272" t="s">
        <v>354</v>
      </c>
      <c r="D14" s="273">
        <f>+D10/D12</f>
        <v>0.3154942278692294</v>
      </c>
      <c r="E14" s="273">
        <f>+E10/E12</f>
        <v>0.2708386234598674</v>
      </c>
      <c r="F14" s="273">
        <f>+F10/F12</f>
        <v>0.2608396167715466</v>
      </c>
      <c r="G14" s="273">
        <f>+G10/G12</f>
        <v>0.16518778187978428</v>
      </c>
      <c r="H14" s="273">
        <f>+H10/H12</f>
        <v>0.4607227425606769</v>
      </c>
    </row>
    <row r="15" spans="1:3" s="269" customFormat="1" ht="12.75">
      <c r="A15" s="139"/>
      <c r="B15" s="272"/>
      <c r="C15" s="272"/>
    </row>
    <row r="16" spans="1:8" s="269" customFormat="1" ht="12.75">
      <c r="A16" s="139">
        <v>4</v>
      </c>
      <c r="B16" s="270" t="s">
        <v>321</v>
      </c>
      <c r="C16" s="270" t="s">
        <v>355</v>
      </c>
      <c r="D16" s="271">
        <f>+'Proforma Demand Revenue'!G8</f>
        <v>25533287.74000001</v>
      </c>
      <c r="E16" s="271">
        <f>+'Proforma Demand Revenue'!G10</f>
        <v>26160118.353090987</v>
      </c>
      <c r="F16" s="271">
        <f>+'Proforma Demand Revenue'!G15</f>
        <v>25079528.75206323</v>
      </c>
      <c r="G16" s="271">
        <f>+'Proforma Demand Revenue'!G19</f>
        <v>3536811.0099999</v>
      </c>
      <c r="H16" s="271">
        <f>+'Proforma Demand Revenue'!G24</f>
        <v>6200346.859999999</v>
      </c>
    </row>
    <row r="17" spans="1:8" s="269" customFormat="1" ht="12.75">
      <c r="A17" s="139"/>
      <c r="B17" s="272"/>
      <c r="C17" s="272"/>
      <c r="D17" s="271"/>
      <c r="E17" s="271"/>
      <c r="F17" s="271"/>
      <c r="G17" s="271"/>
      <c r="H17" s="271"/>
    </row>
    <row r="18" spans="1:8" s="269" customFormat="1" ht="12.75">
      <c r="A18" s="139">
        <v>5</v>
      </c>
      <c r="B18" s="270" t="s">
        <v>154</v>
      </c>
      <c r="C18" s="270" t="s">
        <v>356</v>
      </c>
      <c r="D18" s="271">
        <v>204205358.03691077</v>
      </c>
      <c r="E18" s="271">
        <v>119831706.34756067</v>
      </c>
      <c r="F18" s="271">
        <v>109030154.07986228</v>
      </c>
      <c r="G18" s="271">
        <v>22208536.686845962</v>
      </c>
      <c r="H18" s="271">
        <v>6379014.859999999</v>
      </c>
    </row>
    <row r="19" spans="1:3" s="269" customFormat="1" ht="12.75">
      <c r="A19" s="139"/>
      <c r="B19" s="272"/>
      <c r="C19" s="272"/>
    </row>
    <row r="20" spans="1:8" s="269" customFormat="1" ht="25.5">
      <c r="A20" s="139">
        <v>6</v>
      </c>
      <c r="B20" s="272" t="s">
        <v>357</v>
      </c>
      <c r="C20" s="270" t="s">
        <v>358</v>
      </c>
      <c r="D20" s="273">
        <f>+D16/D18</f>
        <v>0.12503730551176226</v>
      </c>
      <c r="E20" s="273">
        <f>+E16/E18</f>
        <v>0.21830715050669483</v>
      </c>
      <c r="F20" s="273">
        <f>+F16/F18</f>
        <v>0.23002378528872852</v>
      </c>
      <c r="G20" s="273">
        <f>+G16/G18</f>
        <v>0.1592545722336916</v>
      </c>
      <c r="H20" s="273">
        <f>+H16/H18</f>
        <v>0.9719912864413676</v>
      </c>
    </row>
    <row r="21" spans="1:3" s="269" customFormat="1" ht="12.75">
      <c r="A21" s="139"/>
      <c r="B21" s="272"/>
      <c r="C21" s="272"/>
    </row>
    <row r="22" spans="1:8" s="269" customFormat="1" ht="12.75">
      <c r="A22" s="274">
        <v>7</v>
      </c>
      <c r="B22" s="270" t="s">
        <v>359</v>
      </c>
      <c r="C22" s="270" t="s">
        <v>360</v>
      </c>
      <c r="D22" s="273">
        <f>+D20+(D14-D20)/2</f>
        <v>0.22026576669049586</v>
      </c>
      <c r="E22" s="273">
        <f>+E20+(E14-E20)/2</f>
        <v>0.2445728869832811</v>
      </c>
      <c r="F22" s="273">
        <f>+F20+(F14-F20)/2</f>
        <v>0.24543170103013756</v>
      </c>
      <c r="G22" s="273">
        <f>+G20+(G14-G20)/2</f>
        <v>0.16222117705673794</v>
      </c>
      <c r="H22" s="273">
        <f>+H20+(H14-H20)/2</f>
        <v>0.7163570145010223</v>
      </c>
    </row>
    <row r="23" spans="1:3" s="269" customFormat="1" ht="12.75">
      <c r="A23" s="139"/>
      <c r="B23" s="272"/>
      <c r="C23" s="272"/>
    </row>
    <row r="24" spans="1:8" s="269" customFormat="1" ht="12.75">
      <c r="A24" s="139">
        <v>8</v>
      </c>
      <c r="B24" s="270" t="s">
        <v>170</v>
      </c>
      <c r="C24" s="270" t="s">
        <v>361</v>
      </c>
      <c r="D24" s="271">
        <v>211669614.4994068</v>
      </c>
      <c r="E24" s="271">
        <v>122570998.45788614</v>
      </c>
      <c r="F24" s="271">
        <v>117437505.38855307</v>
      </c>
      <c r="G24" s="271">
        <v>24643882.38611122</v>
      </c>
      <c r="H24" s="271">
        <v>6612185.053724823</v>
      </c>
    </row>
    <row r="25" spans="1:3" s="269" customFormat="1" ht="12.75">
      <c r="A25" s="139"/>
      <c r="B25" s="272"/>
      <c r="C25" s="272"/>
    </row>
    <row r="26" spans="1:8" s="269" customFormat="1" ht="12.75">
      <c r="A26" s="139">
        <v>9</v>
      </c>
      <c r="B26" s="270" t="s">
        <v>362</v>
      </c>
      <c r="C26" s="275" t="s">
        <v>363</v>
      </c>
      <c r="D26" s="271">
        <f>+D24*D22</f>
        <v>46623569.92279354</v>
      </c>
      <c r="E26" s="271">
        <f>+E24*E22</f>
        <v>29977542.953268513</v>
      </c>
      <c r="F26" s="271">
        <f>+F24*F22</f>
        <v>28822886.712248527</v>
      </c>
      <c r="G26" s="271">
        <f>+G24*G22</f>
        <v>3997759.6079227733</v>
      </c>
      <c r="H26" s="271">
        <f>+H24*H22</f>
        <v>4736685.144414595</v>
      </c>
    </row>
    <row r="27" ht="12.75">
      <c r="A27" s="140"/>
    </row>
    <row r="28" spans="1:8" ht="12.75">
      <c r="A28" s="140"/>
      <c r="D28" s="247"/>
      <c r="E28" s="247"/>
      <c r="F28" s="247"/>
      <c r="G28" s="247"/>
      <c r="H28" s="247"/>
    </row>
    <row r="29" ht="12.75">
      <c r="A29" s="140"/>
    </row>
  </sheetData>
  <printOptions horizontalCentered="1"/>
  <pageMargins left="0.5" right="0.5" top="1" bottom="1" header="1" footer="0.5"/>
  <pageSetup fitToHeight="1" fitToWidth="1" horizontalDpi="600" verticalDpi="600" orientation="landscape" scale="78" r:id="rId1"/>
  <headerFooter alignWithMargins="0">
    <oddHeader>&amp;RExhibit No. ___(JAH-23)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14" sqref="G14"/>
    </sheetView>
  </sheetViews>
  <sheetFormatPr defaultColWidth="9.140625" defaultRowHeight="12.75"/>
  <cols>
    <col min="1" max="1" width="24.42187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67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68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87939.87429718864</v>
      </c>
      <c r="C10" s="74"/>
      <c r="D10" s="74">
        <f>+B10</f>
        <v>87939.87429718864</v>
      </c>
      <c r="E10" s="50">
        <v>24.9</v>
      </c>
      <c r="F10" s="16">
        <f>+E10*D10</f>
        <v>2189702.869999997</v>
      </c>
      <c r="G10" s="51">
        <f>+'Secondary Voltage Schedule 25'!$C$55</f>
        <v>33.4</v>
      </c>
      <c r="H10" s="16">
        <f>+G10*D10</f>
        <v>2937191.8015261004</v>
      </c>
      <c r="I10" s="72">
        <f>+H10-F10</f>
        <v>747488.9315261035</v>
      </c>
      <c r="J10" s="53">
        <f>+I10/F10</f>
        <v>0.34136546184738964</v>
      </c>
    </row>
    <row r="11" spans="6:8" ht="12.75">
      <c r="F11" s="35"/>
      <c r="H11" s="35"/>
    </row>
    <row r="12" spans="1:10" ht="12.75">
      <c r="A12" t="s">
        <v>69</v>
      </c>
      <c r="B12" s="127">
        <v>725287982.5006</v>
      </c>
      <c r="C12" s="127"/>
      <c r="D12" s="127">
        <f>SUM(B12:C12)</f>
        <v>725287982.5006</v>
      </c>
      <c r="E12" s="128">
        <v>0.069616</v>
      </c>
      <c r="F12" s="119">
        <f>+E12*D12</f>
        <v>50491648.189761765</v>
      </c>
      <c r="G12" s="128">
        <f>+'Secondary Voltage Schedule 25'!$D$79</f>
        <v>0.074586</v>
      </c>
      <c r="H12" s="119">
        <f>+G12*D12</f>
        <v>54096329.46278975</v>
      </c>
      <c r="I12" s="33">
        <f>+H12-F12</f>
        <v>3604681.2730279863</v>
      </c>
      <c r="J12" s="123">
        <f>+I12/F12</f>
        <v>0.0713916341071019</v>
      </c>
    </row>
    <row r="13" spans="1:10" ht="12.75">
      <c r="A13" t="s">
        <v>70</v>
      </c>
      <c r="B13" s="127">
        <v>718403627.8185</v>
      </c>
      <c r="C13" s="127"/>
      <c r="D13" s="127">
        <f>SUM(B13:C13)</f>
        <v>718403627.8185</v>
      </c>
      <c r="E13" s="128">
        <v>0.062652</v>
      </c>
      <c r="F13" s="119">
        <f>+E13*D13</f>
        <v>45009424.090084665</v>
      </c>
      <c r="G13" s="128">
        <f>+'Secondary Voltage Schedule 25'!$E$79</f>
        <v>0.067368</v>
      </c>
      <c r="H13" s="119">
        <f>+G13*D13</f>
        <v>48397415.59887671</v>
      </c>
      <c r="I13" s="33">
        <f>+H13-F13</f>
        <v>3387991.5087920427</v>
      </c>
      <c r="J13" s="123">
        <f>+I13/F13</f>
        <v>0.07527293621911503</v>
      </c>
    </row>
    <row r="14" spans="1:10" ht="12.75">
      <c r="A14" s="21" t="s">
        <v>71</v>
      </c>
      <c r="B14" s="127">
        <v>1408084335.5730999</v>
      </c>
      <c r="C14" s="127">
        <v>-2777652.650990819</v>
      </c>
      <c r="D14" s="127">
        <f>SUM(B14:C14)</f>
        <v>1405306682.9221091</v>
      </c>
      <c r="E14" s="128">
        <v>0.05226</v>
      </c>
      <c r="F14" s="119">
        <f>+E14*D14</f>
        <v>73441327.24950942</v>
      </c>
      <c r="G14" s="128">
        <f>+'Secondary Voltage Schedule 25'!$D$80</f>
        <v>0.054592</v>
      </c>
      <c r="H14" s="119">
        <f>+G14*D14</f>
        <v>76718502.43408379</v>
      </c>
      <c r="I14" s="33">
        <f>+H14-F14</f>
        <v>3277175.1845743656</v>
      </c>
      <c r="J14" s="123">
        <f>+I14/F14</f>
        <v>0.044623038652889496</v>
      </c>
    </row>
    <row r="15" spans="1:10" ht="12.75">
      <c r="A15" s="21" t="s">
        <v>72</v>
      </c>
      <c r="B15" s="74">
        <f>SUM(B12:B14)</f>
        <v>2851775945.8921995</v>
      </c>
      <c r="C15" s="74">
        <f>SUM(C12:C14)</f>
        <v>-2777652.650990819</v>
      </c>
      <c r="D15" s="74">
        <f>SUM(D12:D14)</f>
        <v>2848998293.241209</v>
      </c>
      <c r="E15" s="50"/>
      <c r="F15" s="16">
        <f>SUM(F12:F14)</f>
        <v>168942399.52935585</v>
      </c>
      <c r="G15" s="71"/>
      <c r="H15" s="16">
        <f>SUM(H12:H14)</f>
        <v>179212247.49575025</v>
      </c>
      <c r="I15" s="72">
        <f>SUM(I12:I14)</f>
        <v>10269847.966394395</v>
      </c>
      <c r="J15" s="53">
        <f>+I15/F15</f>
        <v>0.06078904996616838</v>
      </c>
    </row>
    <row r="16" spans="2:6" ht="12.75">
      <c r="B16" s="58"/>
      <c r="C16" s="58"/>
      <c r="D16" s="58"/>
      <c r="F16" s="33"/>
    </row>
    <row r="17" spans="1:10" ht="12.75">
      <c r="A17" s="21" t="s">
        <v>73</v>
      </c>
      <c r="B17" s="127">
        <v>2125410.9204204204</v>
      </c>
      <c r="C17" s="127"/>
      <c r="D17" s="127">
        <f>+B17</f>
        <v>2125410.9204204204</v>
      </c>
      <c r="E17" s="121">
        <v>6.66</v>
      </c>
      <c r="F17" s="119">
        <f>+E17*D17</f>
        <v>14155236.73</v>
      </c>
      <c r="G17" s="121">
        <f>+'Secondary Voltage Schedule 25'!$D$62</f>
        <v>7.49</v>
      </c>
      <c r="H17" s="119">
        <f>+G17*D17</f>
        <v>15919327.793948948</v>
      </c>
      <c r="I17" s="33">
        <f>+H17-F17</f>
        <v>1764091.063948948</v>
      </c>
      <c r="J17" s="123">
        <f>+I17/F17</f>
        <v>0.12462462462462455</v>
      </c>
    </row>
    <row r="18" spans="1:10" ht="12.75">
      <c r="A18" s="21" t="s">
        <v>74</v>
      </c>
      <c r="B18" s="127">
        <v>2162082.66891892</v>
      </c>
      <c r="C18" s="127"/>
      <c r="D18" s="127">
        <f>+B18</f>
        <v>2162082.66891892</v>
      </c>
      <c r="E18" s="121">
        <v>4.44</v>
      </c>
      <c r="F18" s="119">
        <f>+E18*D18</f>
        <v>9599647.050000006</v>
      </c>
      <c r="G18" s="121">
        <f>+'Secondary Voltage Schedule 25'!$E$62</f>
        <v>4.99</v>
      </c>
      <c r="H18" s="119">
        <f>+G18*D18</f>
        <v>10788792.517905412</v>
      </c>
      <c r="I18" s="33">
        <f>+H18-F18</f>
        <v>1189145.467905406</v>
      </c>
      <c r="J18" s="123">
        <f>+I18/F18</f>
        <v>0.12387387387387384</v>
      </c>
    </row>
    <row r="19" spans="1:10" ht="12.75">
      <c r="A19" s="21" t="s">
        <v>75</v>
      </c>
      <c r="B19" s="74">
        <f>SUM(B17:B18)</f>
        <v>4287493.58933934</v>
      </c>
      <c r="C19" s="74"/>
      <c r="D19" s="74">
        <f>SUM(D17:D18)</f>
        <v>4287493.58933934</v>
      </c>
      <c r="E19" s="50"/>
      <c r="F19" s="16">
        <f>SUM(F17:F18)</f>
        <v>23754883.78000001</v>
      </c>
      <c r="G19" s="71"/>
      <c r="H19" s="16">
        <f>SUM(H17:H18)</f>
        <v>26708120.311854362</v>
      </c>
      <c r="I19" s="72">
        <f>SUM(I17:I18)</f>
        <v>2953236.531854354</v>
      </c>
      <c r="J19" s="53">
        <f>+I19/F19</f>
        <v>0.12432123681197622</v>
      </c>
    </row>
    <row r="20" spans="2:10" ht="12.75">
      <c r="B20" s="129"/>
      <c r="C20" s="129"/>
      <c r="D20" s="129"/>
      <c r="F20" s="130"/>
      <c r="H20" s="130"/>
      <c r="I20" s="130"/>
      <c r="J20" s="131"/>
    </row>
    <row r="21" spans="1:10" ht="12.75">
      <c r="A21" s="21" t="s">
        <v>76</v>
      </c>
      <c r="B21" s="74">
        <v>745499708.1545074</v>
      </c>
      <c r="C21" s="74"/>
      <c r="D21" s="74">
        <f>+B21</f>
        <v>745499708.1545074</v>
      </c>
      <c r="E21" s="75">
        <v>0.00233</v>
      </c>
      <c r="F21" s="16">
        <f>+E21*D21</f>
        <v>1737014.3200000022</v>
      </c>
      <c r="G21" s="75">
        <f>+'Secondary Voltage Schedule 25'!$C$68</f>
        <v>0.0025</v>
      </c>
      <c r="H21" s="16">
        <f>+G21*D21</f>
        <v>1863749.2703862686</v>
      </c>
      <c r="I21" s="72">
        <f>+H21-F21</f>
        <v>126734.95038626646</v>
      </c>
      <c r="J21" s="53">
        <f>+I21/F21</f>
        <v>0.07296137339055805</v>
      </c>
    </row>
    <row r="22" ht="12.75">
      <c r="D22" s="58"/>
    </row>
    <row r="23" spans="1:10" ht="12.75">
      <c r="A23" s="14" t="s">
        <v>60</v>
      </c>
      <c r="D23" s="74">
        <f>+D15</f>
        <v>2848998293.241209</v>
      </c>
      <c r="E23" s="128">
        <v>0.00234</v>
      </c>
      <c r="F23" s="16">
        <f>+E23*D23</f>
        <v>6666656.006184429</v>
      </c>
      <c r="G23" s="75">
        <v>0</v>
      </c>
      <c r="H23" s="16">
        <f>+G23*D23</f>
        <v>0</v>
      </c>
      <c r="I23" s="72">
        <f>+H23-F23</f>
        <v>-6666656.006184429</v>
      </c>
      <c r="J23" s="53">
        <f>+I23/F23</f>
        <v>-1</v>
      </c>
    </row>
    <row r="24" ht="12.75">
      <c r="D24" s="58"/>
    </row>
    <row r="25" spans="1:10" ht="13.5" thickBot="1">
      <c r="A25" t="s">
        <v>61</v>
      </c>
      <c r="D25" s="58"/>
      <c r="F25" s="59">
        <f>SUM(F21,F19,F15,F10,F23)</f>
        <v>203290656.50554028</v>
      </c>
      <c r="H25" s="59">
        <f>SUM(H21,H19,H15,H10,H23)</f>
        <v>210721308.879517</v>
      </c>
      <c r="I25" s="59">
        <f>SUM(I21,I19,I15,I10,I23)</f>
        <v>7430652.373976691</v>
      </c>
      <c r="J25" s="132">
        <f>+I25/F25</f>
        <v>0.03655186372903559</v>
      </c>
    </row>
    <row r="26" ht="13.5" thickTop="1"/>
  </sheetData>
  <printOptions horizontalCentered="1"/>
  <pageMargins left="0.25" right="0.25" top="1" bottom="1" header="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14" sqref="G14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77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78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8698.775601374571</v>
      </c>
      <c r="C10" s="74"/>
      <c r="D10" s="74">
        <f>+B10</f>
        <v>8698.775601374571</v>
      </c>
      <c r="E10" s="50">
        <v>29.1</v>
      </c>
      <c r="F10" s="16">
        <f>+E10*D10</f>
        <v>253134.37000000002</v>
      </c>
      <c r="G10" s="51">
        <f>+'Secondary Voltage Schedule 26'!$C$40</f>
        <v>79</v>
      </c>
      <c r="H10" s="16">
        <f>+G10*D10</f>
        <v>687203.2725085911</v>
      </c>
      <c r="I10" s="72">
        <f>+H10-F10</f>
        <v>434068.90250859107</v>
      </c>
      <c r="J10" s="53">
        <f>+I10/F10</f>
        <v>1.7147766323024054</v>
      </c>
    </row>
    <row r="11" spans="6:8" ht="12.75">
      <c r="F11" s="35"/>
      <c r="H11" s="35"/>
    </row>
    <row r="12" spans="1:10" ht="12.75">
      <c r="A12" s="21" t="s">
        <v>72</v>
      </c>
      <c r="B12" s="15">
        <v>1890378961.9696</v>
      </c>
      <c r="C12" s="15">
        <v>-3556768.427363172</v>
      </c>
      <c r="D12" s="15">
        <f>+C12+B12</f>
        <v>1886822193.5422368</v>
      </c>
      <c r="E12" s="128">
        <v>0.04732</v>
      </c>
      <c r="F12" s="16">
        <f>+E12*D12</f>
        <v>89284426.19841865</v>
      </c>
      <c r="G12" s="128">
        <f>+'Secondary Voltage Schedule 26'!$C$60</f>
        <v>0.050095</v>
      </c>
      <c r="H12" s="16">
        <f>+G12*D12</f>
        <v>94520357.78549835</v>
      </c>
      <c r="I12" s="72">
        <f>+H12-F12</f>
        <v>5235931.587079704</v>
      </c>
      <c r="J12" s="53">
        <f>+I12/F12</f>
        <v>0.05864327979712591</v>
      </c>
    </row>
    <row r="13" spans="2:4" ht="12.75">
      <c r="B13" s="58"/>
      <c r="C13" s="58"/>
      <c r="D13" s="58"/>
    </row>
    <row r="14" spans="1:10" ht="12.75">
      <c r="A14" s="21" t="s">
        <v>79</v>
      </c>
      <c r="B14" s="54">
        <v>2134139.841514701</v>
      </c>
      <c r="C14" s="54"/>
      <c r="D14" s="54">
        <f>+B14</f>
        <v>2134139.841514701</v>
      </c>
      <c r="E14" s="50">
        <v>6.92</v>
      </c>
      <c r="F14" s="35">
        <f>+E14*D14</f>
        <v>14768247.70328173</v>
      </c>
      <c r="G14" s="50">
        <f>+'Secondary Voltage Schedule 26'!$D$46</f>
        <v>7.24</v>
      </c>
      <c r="H14" s="35">
        <f>+G14*D14</f>
        <v>15451172.452566436</v>
      </c>
      <c r="I14" s="33">
        <f>+H14-F14</f>
        <v>682924.7492847051</v>
      </c>
      <c r="J14" s="52">
        <f>+I14/F14</f>
        <v>0.04624277456647405</v>
      </c>
    </row>
    <row r="15" spans="1:10" ht="12.75">
      <c r="A15" s="21" t="s">
        <v>80</v>
      </c>
      <c r="B15" s="54">
        <v>2253129.0427995306</v>
      </c>
      <c r="C15" s="54"/>
      <c r="D15" s="54">
        <f>SUM(B15:C15)</f>
        <v>2253129.0427995306</v>
      </c>
      <c r="E15" s="50">
        <v>4.6</v>
      </c>
      <c r="F15" s="35">
        <f>+E15*D15</f>
        <v>10364393.59687784</v>
      </c>
      <c r="G15" s="50">
        <f>+'Secondary Voltage Schedule 26'!$E$46</f>
        <v>4.81</v>
      </c>
      <c r="H15" s="35">
        <f>+G15*D15</f>
        <v>10837550.695865741</v>
      </c>
      <c r="I15" s="33">
        <f>+H15-F15</f>
        <v>473157.0989879016</v>
      </c>
      <c r="J15" s="52">
        <f>+I15/F15</f>
        <v>0.0456521739130435</v>
      </c>
    </row>
    <row r="16" spans="1:10" ht="12.75">
      <c r="A16" s="21" t="s">
        <v>75</v>
      </c>
      <c r="B16" s="15">
        <f>SUM(B14:B15)</f>
        <v>4387268.884314232</v>
      </c>
      <c r="C16" s="15"/>
      <c r="D16" s="15">
        <f>SUM(D14:D15)</f>
        <v>4387268.884314232</v>
      </c>
      <c r="F16" s="16">
        <f>SUM(F14:F15)</f>
        <v>25132641.30015957</v>
      </c>
      <c r="H16" s="16">
        <f>SUM(H14:H15)</f>
        <v>26288723.148432177</v>
      </c>
      <c r="I16" s="16">
        <f>SUM(I14:I15)</f>
        <v>1156081.8482726067</v>
      </c>
      <c r="J16" s="53">
        <f>+I16/F16</f>
        <v>0.045999218087168045</v>
      </c>
    </row>
    <row r="17" spans="2:10" ht="12.75">
      <c r="B17" s="18"/>
      <c r="C17" s="18"/>
      <c r="D17" s="18"/>
      <c r="F17" s="19"/>
      <c r="H17" s="19"/>
      <c r="I17" s="19"/>
      <c r="J17" s="56"/>
    </row>
    <row r="18" spans="1:10" ht="12.75">
      <c r="A18" s="21" t="s">
        <v>76</v>
      </c>
      <c r="B18" s="74">
        <v>934070048.1194694</v>
      </c>
      <c r="C18" s="74"/>
      <c r="D18" s="15">
        <f>+C18+B18</f>
        <v>934070048.1194694</v>
      </c>
      <c r="E18" s="75">
        <v>0.0011</v>
      </c>
      <c r="F18" s="16">
        <f>+E18*D18</f>
        <v>1027477.0529314164</v>
      </c>
      <c r="G18" s="75">
        <f>+'Secondary Voltage Schedule 26'!$C$52</f>
        <v>0.00115</v>
      </c>
      <c r="H18" s="16">
        <f>+G18*D18</f>
        <v>1074180.5553373897</v>
      </c>
      <c r="I18" s="72">
        <f>+H18-F18</f>
        <v>46703.50240597327</v>
      </c>
      <c r="J18" s="53">
        <f>+I18/F18</f>
        <v>0.045454545454545255</v>
      </c>
    </row>
    <row r="19" spans="1:10" ht="12.75">
      <c r="A19" s="21"/>
      <c r="B19" s="76"/>
      <c r="C19" s="76"/>
      <c r="D19" s="18"/>
      <c r="E19" s="75"/>
      <c r="F19" s="19"/>
      <c r="G19" s="75"/>
      <c r="H19" s="19"/>
      <c r="I19" s="77"/>
      <c r="J19" s="56"/>
    </row>
    <row r="20" spans="1:10" ht="12.75">
      <c r="A20" s="14" t="s">
        <v>60</v>
      </c>
      <c r="B20" s="58"/>
      <c r="C20" s="58"/>
      <c r="D20" s="15">
        <f>+D12</f>
        <v>1886822193.5422368</v>
      </c>
      <c r="E20" s="128">
        <v>0.002191</v>
      </c>
      <c r="F20" s="16">
        <f>+E20*D20</f>
        <v>4134027.4260510406</v>
      </c>
      <c r="G20" s="128">
        <v>0</v>
      </c>
      <c r="H20" s="16">
        <f>+G20*D20</f>
        <v>0</v>
      </c>
      <c r="I20" s="72">
        <f>+H20-F20</f>
        <v>-4134027.4260510406</v>
      </c>
      <c r="J20" s="53">
        <f>+I20/F20</f>
        <v>-1</v>
      </c>
    </row>
    <row r="21" ht="12.75">
      <c r="D21" s="58"/>
    </row>
    <row r="22" spans="1:10" ht="13.5" thickBot="1">
      <c r="A22" t="s">
        <v>61</v>
      </c>
      <c r="F22" s="59">
        <f>SUM(F18,F16,F12,F10,F20)</f>
        <v>119831706.34756067</v>
      </c>
      <c r="H22" s="59">
        <f>SUM(H18,H16,H12,H10,H20)</f>
        <v>122570464.7617765</v>
      </c>
      <c r="I22" s="59">
        <f>SUM(I18,I16,I12,I10,I20)</f>
        <v>2738758.4142158343</v>
      </c>
      <c r="J22" s="60">
        <f>+I22/F22</f>
        <v>0.02285503976946069</v>
      </c>
    </row>
    <row r="23" ht="13.5" thickTop="1"/>
    <row r="24" ht="12.75">
      <c r="F24" s="33"/>
    </row>
    <row r="25" spans="4:9" ht="12.75">
      <c r="D25" s="58"/>
      <c r="H25" s="33"/>
      <c r="I25" s="55"/>
    </row>
    <row r="26" spans="4:9" ht="12.75">
      <c r="D26" s="58"/>
      <c r="H26" s="33"/>
      <c r="I26" s="55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G14" sqref="G14"/>
    </sheetView>
  </sheetViews>
  <sheetFormatPr defaultColWidth="9.140625" defaultRowHeight="12.75"/>
  <cols>
    <col min="1" max="1" width="26.7109375" style="0" bestFit="1" customWidth="1"/>
    <col min="2" max="4" width="11.28125" style="0" bestFit="1" customWidth="1"/>
    <col min="5" max="5" width="11.7109375" style="0" bestFit="1" customWidth="1"/>
    <col min="6" max="6" width="9.7109375" style="0" bestFit="1" customWidth="1"/>
    <col min="7" max="7" width="10.7109375" style="0" bestFit="1" customWidth="1"/>
    <col min="8" max="8" width="9.7109375" style="0" bestFit="1" customWidth="1"/>
    <col min="9" max="9" width="9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81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82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s="21" t="s">
        <v>53</v>
      </c>
      <c r="B10" s="11">
        <v>2191.9527272727273</v>
      </c>
      <c r="C10" s="11"/>
      <c r="D10" s="11">
        <f>SUM(B10:C10)</f>
        <v>2191.9527272727273</v>
      </c>
      <c r="E10" s="50">
        <v>5.5</v>
      </c>
      <c r="F10" s="35">
        <f>+E10*D10</f>
        <v>12055.74</v>
      </c>
      <c r="G10" s="71">
        <f>+'Secondary Voltage Schedule 29'!$C$54</f>
        <v>6.5</v>
      </c>
      <c r="H10" s="35">
        <f>+G10*D10</f>
        <v>14247.692727272728</v>
      </c>
      <c r="I10" s="33">
        <f>+H10-F10</f>
        <v>2191.952727272728</v>
      </c>
      <c r="J10" s="52">
        <f>+I10/F10</f>
        <v>0.1818181818181819</v>
      </c>
    </row>
    <row r="11" spans="1:10" ht="12.75">
      <c r="A11" t="s">
        <v>54</v>
      </c>
      <c r="B11" s="11">
        <v>5087.546961325864</v>
      </c>
      <c r="C11" s="11"/>
      <c r="D11" s="11">
        <f>SUM(B11:C11)</f>
        <v>5087.546961325864</v>
      </c>
      <c r="E11" s="50">
        <v>18.1</v>
      </c>
      <c r="F11" s="35">
        <f>+E11*D11</f>
        <v>92084.59999999814</v>
      </c>
      <c r="G11" s="71">
        <f>+'Secondary Voltage Schedule 29'!$C$55</f>
        <v>21.4</v>
      </c>
      <c r="H11" s="35">
        <f>+G11*D11</f>
        <v>108873.50497237348</v>
      </c>
      <c r="I11" s="33">
        <f>+H11-F11</f>
        <v>16788.90497237534</v>
      </c>
      <c r="J11" s="52">
        <f>+I11/F11</f>
        <v>0.18232044198895017</v>
      </c>
    </row>
    <row r="12" spans="1:10" ht="12.75">
      <c r="A12" t="s">
        <v>55</v>
      </c>
      <c r="B12" s="74">
        <f>SUM(B10:B11)</f>
        <v>7279.499688598591</v>
      </c>
      <c r="C12" s="74"/>
      <c r="D12" s="74">
        <f>SUM(D10:D11)</f>
        <v>7279.499688598591</v>
      </c>
      <c r="E12" s="50"/>
      <c r="F12" s="16">
        <f>SUM(F10:F11)</f>
        <v>104140.33999999815</v>
      </c>
      <c r="G12" s="50"/>
      <c r="H12" s="16">
        <f>SUM(H10:H11)</f>
        <v>123121.19769964622</v>
      </c>
      <c r="I12" s="16">
        <f>SUM(I10:I11)</f>
        <v>18980.85769964807</v>
      </c>
      <c r="J12" s="53">
        <f>+I12/F12</f>
        <v>0.18226229816081269</v>
      </c>
    </row>
    <row r="13" spans="6:8" ht="12.75">
      <c r="F13" s="35"/>
      <c r="H13" s="35"/>
    </row>
    <row r="14" spans="1:10" ht="12.75">
      <c r="A14" t="s">
        <v>69</v>
      </c>
      <c r="B14" s="54">
        <v>1692450.5580999998</v>
      </c>
      <c r="C14" s="54"/>
      <c r="D14" s="11">
        <f>SUM(B14:C14)</f>
        <v>1692450.5580999998</v>
      </c>
      <c r="E14" s="55">
        <v>0.069616</v>
      </c>
      <c r="F14" s="35">
        <f>+E14*D14</f>
        <v>117821.63805268958</v>
      </c>
      <c r="G14" s="55">
        <f>+'Secondary Voltage Schedule 29'!$D$84</f>
        <v>0.074586</v>
      </c>
      <c r="H14" s="35">
        <f>+G14*D14</f>
        <v>126233.11732644659</v>
      </c>
      <c r="I14" s="33">
        <f>+H14-F14</f>
        <v>8411.47927375701</v>
      </c>
      <c r="J14" s="52">
        <f>+I14/F14</f>
        <v>0.0713916341071019</v>
      </c>
    </row>
    <row r="15" spans="1:10" ht="12.75">
      <c r="A15" s="21" t="s">
        <v>83</v>
      </c>
      <c r="B15" s="54">
        <v>66057.1333</v>
      </c>
      <c r="C15" s="54">
        <v>151247.37039957766</v>
      </c>
      <c r="D15" s="11">
        <f>SUM(B15:C15)</f>
        <v>217304.50369957765</v>
      </c>
      <c r="E15" s="55">
        <v>0.054356999999999996</v>
      </c>
      <c r="F15" s="35">
        <f>+E15*D15</f>
        <v>11812.020907597942</v>
      </c>
      <c r="G15" s="55">
        <f>+'Secondary Voltage Schedule 29'!$D$85</f>
        <v>0.054592</v>
      </c>
      <c r="H15" s="35">
        <f>+G15*D15</f>
        <v>11863.087465967343</v>
      </c>
      <c r="I15" s="33">
        <f>+H15-F15</f>
        <v>51.06655836940081</v>
      </c>
      <c r="J15" s="52">
        <f>+I15/F15</f>
        <v>0.004323270231984846</v>
      </c>
    </row>
    <row r="16" spans="1:10" ht="12.75">
      <c r="A16" t="s">
        <v>70</v>
      </c>
      <c r="B16" s="54">
        <v>12111556.740400001</v>
      </c>
      <c r="C16" s="54"/>
      <c r="D16" s="11">
        <f>SUM(B16:C16)</f>
        <v>12111556.740400001</v>
      </c>
      <c r="E16" s="55">
        <v>0.047359</v>
      </c>
      <c r="F16" s="35">
        <f>+E16*D16</f>
        <v>573591.2156686037</v>
      </c>
      <c r="G16" s="55">
        <f>+'Secondary Voltage Schedule 29'!$E$84</f>
        <v>0.049201</v>
      </c>
      <c r="H16" s="35">
        <f>+G16*D16</f>
        <v>595900.7031844205</v>
      </c>
      <c r="I16" s="33">
        <f>+H16-F16</f>
        <v>22309.487515816814</v>
      </c>
      <c r="J16" s="52">
        <f>+I16/F16</f>
        <v>0.038894402331130326</v>
      </c>
    </row>
    <row r="17" spans="1:10" ht="12.75">
      <c r="A17" s="21" t="s">
        <v>84</v>
      </c>
      <c r="B17" s="54">
        <v>853168.4782</v>
      </c>
      <c r="C17" s="54">
        <v>190586.8207330787</v>
      </c>
      <c r="D17" s="11">
        <f>SUM(B17:C17)</f>
        <v>1043755.2989330788</v>
      </c>
      <c r="E17" s="55">
        <v>0.041171</v>
      </c>
      <c r="F17" s="35">
        <f>+E17*D17</f>
        <v>42972.44941237378</v>
      </c>
      <c r="G17" s="55">
        <f>+'Secondary Voltage Schedule 29'!$E$85</f>
        <v>0.042676</v>
      </c>
      <c r="H17" s="35">
        <f>+G17*D17</f>
        <v>44543.30113726807</v>
      </c>
      <c r="I17" s="33">
        <f>+H17-F17</f>
        <v>1570.851724894288</v>
      </c>
      <c r="J17" s="52">
        <f>+I17/F17</f>
        <v>0.03655485657380206</v>
      </c>
    </row>
    <row r="18" spans="1:10" ht="12.75">
      <c r="A18" s="21" t="s">
        <v>72</v>
      </c>
      <c r="B18" s="15">
        <f>SUM(B14:B17)</f>
        <v>14723232.91</v>
      </c>
      <c r="C18" s="15">
        <f>SUM(C14:C17)</f>
        <v>341834.19113265636</v>
      </c>
      <c r="D18" s="15">
        <f>SUM(D14:D17)</f>
        <v>15065067.10113266</v>
      </c>
      <c r="F18" s="16">
        <f>SUM(F14:F17)</f>
        <v>746197.3240412651</v>
      </c>
      <c r="H18" s="16">
        <f>SUM(H14:H17)</f>
        <v>778540.2091141024</v>
      </c>
      <c r="I18" s="16">
        <f>SUM(I14:I17)</f>
        <v>32342.88507283751</v>
      </c>
      <c r="J18" s="53">
        <f>+I18/F18</f>
        <v>0.043343609030483385</v>
      </c>
    </row>
    <row r="19" spans="2:8" ht="12.75">
      <c r="B19" s="58"/>
      <c r="C19" s="58"/>
      <c r="D19" s="58"/>
      <c r="H19" s="78"/>
    </row>
    <row r="20" spans="1:10" ht="12.75">
      <c r="A20" s="21" t="s">
        <v>73</v>
      </c>
      <c r="B20" s="54">
        <v>2025.126126126126</v>
      </c>
      <c r="C20" s="54"/>
      <c r="D20" s="11">
        <f>SUM(B20:C20)</f>
        <v>2025.126126126126</v>
      </c>
      <c r="E20" s="50">
        <v>6.66</v>
      </c>
      <c r="F20" s="35">
        <f>+E20*D20</f>
        <v>13487.34</v>
      </c>
      <c r="G20" s="50">
        <f>+'Secondary Voltage Schedule 29'!$D$67</f>
        <v>7.49</v>
      </c>
      <c r="H20" s="35">
        <f>+G20*D20</f>
        <v>15168.194684684686</v>
      </c>
      <c r="I20" s="33">
        <f>+H20-F20</f>
        <v>1680.8546846846857</v>
      </c>
      <c r="J20" s="52">
        <f>+I20/F20</f>
        <v>0.1246246246246247</v>
      </c>
    </row>
    <row r="21" spans="1:10" ht="12.75">
      <c r="A21" s="21" t="s">
        <v>74</v>
      </c>
      <c r="B21" s="54">
        <v>8218.65548780491</v>
      </c>
      <c r="C21" s="54"/>
      <c r="D21" s="11">
        <f>SUM(B21:C21)</f>
        <v>8218.65548780491</v>
      </c>
      <c r="E21" s="50">
        <v>3.28</v>
      </c>
      <c r="F21" s="35">
        <f>+E21*D21</f>
        <v>26957.190000000104</v>
      </c>
      <c r="G21" s="50">
        <f>+'Secondary Voltage Schedule 29'!$E$67</f>
        <v>3.69</v>
      </c>
      <c r="H21" s="35">
        <f>+G21*D21</f>
        <v>30326.83875000012</v>
      </c>
      <c r="I21" s="33">
        <f>+H21-F21</f>
        <v>3369.648750000015</v>
      </c>
      <c r="J21" s="52">
        <f>+I21/F21</f>
        <v>0.12500000000000006</v>
      </c>
    </row>
    <row r="22" spans="1:10" ht="12.75">
      <c r="A22" s="21" t="s">
        <v>75</v>
      </c>
      <c r="B22" s="15">
        <f>SUM(B20:B21)</f>
        <v>10243.781613931036</v>
      </c>
      <c r="C22" s="15"/>
      <c r="D22" s="15">
        <f>SUM(D20:D21)</f>
        <v>10243.781613931036</v>
      </c>
      <c r="F22" s="16">
        <f>SUM(F20:F21)</f>
        <v>40444.5300000001</v>
      </c>
      <c r="H22" s="16">
        <f>SUM(H20:H21)</f>
        <v>45495.0334346848</v>
      </c>
      <c r="I22" s="16">
        <f>SUM(I20:I21)</f>
        <v>5050.503434684701</v>
      </c>
      <c r="J22" s="53">
        <f>+I22/F22</f>
        <v>0.12487482076524781</v>
      </c>
    </row>
    <row r="23" spans="2:10" ht="12.75">
      <c r="B23" s="18"/>
      <c r="C23" s="18"/>
      <c r="D23" s="18"/>
      <c r="F23" s="19"/>
      <c r="H23" s="19"/>
      <c r="I23" s="19"/>
      <c r="J23" s="56"/>
    </row>
    <row r="24" spans="1:10" ht="12.75">
      <c r="A24" s="21" t="s">
        <v>76</v>
      </c>
      <c r="B24" s="74">
        <v>393795.8333333334</v>
      </c>
      <c r="C24" s="74"/>
      <c r="D24" s="74">
        <f>SUM(B24:C24)</f>
        <v>393795.8333333334</v>
      </c>
      <c r="E24" s="75">
        <v>0.0024</v>
      </c>
      <c r="F24" s="16">
        <f>+E24*D24</f>
        <v>945.11</v>
      </c>
      <c r="G24" s="75">
        <f>+'Secondary Voltage Schedule 29'!$C$73</f>
        <v>0.00249</v>
      </c>
      <c r="H24" s="16">
        <f>+G24*D24</f>
        <v>980.5516250000001</v>
      </c>
      <c r="I24" s="72">
        <f>+H24-F24</f>
        <v>35.441625000000045</v>
      </c>
      <c r="J24" s="53">
        <f>+I24/F24</f>
        <v>0.03750000000000005</v>
      </c>
    </row>
    <row r="25" spans="1:10" ht="12.75">
      <c r="A25" s="21"/>
      <c r="B25" s="76"/>
      <c r="C25" s="76"/>
      <c r="D25" s="76"/>
      <c r="E25" s="75"/>
      <c r="F25" s="19"/>
      <c r="G25" s="75"/>
      <c r="H25" s="19"/>
      <c r="I25" s="77"/>
      <c r="J25" s="56"/>
    </row>
    <row r="26" spans="1:10" ht="12.75">
      <c r="A26" s="14" t="s">
        <v>60</v>
      </c>
      <c r="D26" s="74">
        <f>+D18</f>
        <v>15065067.10113266</v>
      </c>
      <c r="E26" s="79">
        <v>0.0015249999999999999</v>
      </c>
      <c r="F26" s="16">
        <f>+E26*D26</f>
        <v>22974.227329227302</v>
      </c>
      <c r="G26" s="79">
        <v>0</v>
      </c>
      <c r="H26" s="16">
        <f>+G26*D26</f>
        <v>0</v>
      </c>
      <c r="I26" s="72">
        <f>+H26-F26</f>
        <v>-22974.227329227302</v>
      </c>
      <c r="J26" s="53">
        <f>+I26/F26</f>
        <v>-1</v>
      </c>
    </row>
    <row r="27" ht="12.75">
      <c r="D27" s="58"/>
    </row>
    <row r="28" spans="1:10" ht="13.5" thickBot="1">
      <c r="A28" t="s">
        <v>61</v>
      </c>
      <c r="F28" s="59">
        <f>SUM(F24,F22,F18,F12,F26)</f>
        <v>914701.5313704906</v>
      </c>
      <c r="H28" s="59">
        <f>SUM(H24,H22,H18,H12,H26)</f>
        <v>948136.9918734335</v>
      </c>
      <c r="I28" s="59">
        <f>SUM(I24,I22,I18,I12,I26)</f>
        <v>33435.46050294298</v>
      </c>
      <c r="J28" s="60">
        <f>+I28/F28</f>
        <v>0.03655341043634952</v>
      </c>
    </row>
    <row r="29" ht="13.5" thickTop="1"/>
    <row r="32" spans="4:9" ht="12.75">
      <c r="D32" s="58"/>
      <c r="H32" s="33"/>
      <c r="I32" s="80"/>
    </row>
    <row r="33" spans="4:9" ht="12.75">
      <c r="D33" s="58"/>
      <c r="H33" s="33"/>
      <c r="I33" s="80"/>
    </row>
  </sheetData>
  <printOptions horizontalCentered="1"/>
  <pageMargins left="0.25" right="0.25" top="1" bottom="1" header="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49" sqref="H49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3.00390625" style="0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85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86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6077.528599999999</v>
      </c>
      <c r="C10" s="74"/>
      <c r="D10" s="74">
        <f>SUM(B10)</f>
        <v>6077.528599999999</v>
      </c>
      <c r="E10" s="50">
        <v>200</v>
      </c>
      <c r="F10" s="16">
        <f>+E10*D10</f>
        <v>1215505.7199999997</v>
      </c>
      <c r="G10" s="50">
        <f>+'Primary Voltage Schedule 31'!$C$44</f>
        <v>200</v>
      </c>
      <c r="H10" s="16">
        <f>+G10*D10</f>
        <v>1215505.7199999997</v>
      </c>
      <c r="I10" s="72">
        <f>+H10-F10</f>
        <v>0</v>
      </c>
      <c r="J10" s="53">
        <f>+I10/F10</f>
        <v>0</v>
      </c>
    </row>
    <row r="11" spans="6:8" ht="12.75">
      <c r="F11" s="35"/>
      <c r="H11" s="35"/>
    </row>
    <row r="12" spans="1:10" ht="12.75">
      <c r="A12" s="21" t="s">
        <v>72</v>
      </c>
      <c r="B12" s="15">
        <v>1661414453.1427002</v>
      </c>
      <c r="C12" s="15">
        <v>-3882862.066197941</v>
      </c>
      <c r="D12" s="15">
        <f>SUM(B12:C12)</f>
        <v>1657531591.0765023</v>
      </c>
      <c r="E12" s="55">
        <v>0.042539999999999994</v>
      </c>
      <c r="F12" s="16">
        <f>+D12*E12</f>
        <v>70511393.88439439</v>
      </c>
      <c r="G12" s="55">
        <f>+'Primary Voltage Schedule 31'!$C$64</f>
        <v>0.046892</v>
      </c>
      <c r="H12" s="16">
        <f>+G12*D12</f>
        <v>77724971.36875935</v>
      </c>
      <c r="I12" s="72">
        <f>+H12-F12</f>
        <v>7213577.484364957</v>
      </c>
      <c r="J12" s="53">
        <f>+I12/F12</f>
        <v>0.10230371415138721</v>
      </c>
    </row>
    <row r="13" spans="2:4" ht="12.75">
      <c r="B13" s="58"/>
      <c r="C13" s="58"/>
      <c r="D13" s="58"/>
    </row>
    <row r="14" spans="1:10" ht="12.75">
      <c r="A14" s="21" t="s">
        <v>79</v>
      </c>
      <c r="B14" s="54">
        <v>1927229.011235914</v>
      </c>
      <c r="C14" s="54"/>
      <c r="D14" s="54">
        <f>SUM(B14:C14)</f>
        <v>1927229.011235914</v>
      </c>
      <c r="E14" s="50">
        <v>6.41</v>
      </c>
      <c r="F14" s="35">
        <f>+E14*D14</f>
        <v>12353537.96202221</v>
      </c>
      <c r="G14" s="50">
        <f>+'Primary Voltage Schedule 31'!$D$50</f>
        <v>7.37</v>
      </c>
      <c r="H14" s="35">
        <f>+G14*D14</f>
        <v>14203677.812808687</v>
      </c>
      <c r="I14" s="33">
        <f>+H14-F14</f>
        <v>1850139.8507864773</v>
      </c>
      <c r="J14" s="52">
        <f>+I14/F14</f>
        <v>0.14976599063962556</v>
      </c>
    </row>
    <row r="15" spans="1:10" ht="12.75">
      <c r="A15" s="21" t="s">
        <v>80</v>
      </c>
      <c r="B15" s="54">
        <v>2019585.6428357824</v>
      </c>
      <c r="C15" s="54"/>
      <c r="D15" s="54">
        <f>SUM(B15:C15)</f>
        <v>2019585.6428357824</v>
      </c>
      <c r="E15" s="50">
        <v>4.27</v>
      </c>
      <c r="F15" s="35">
        <f>+E15*D15</f>
        <v>8623630.69490879</v>
      </c>
      <c r="G15" s="50">
        <f>+'Primary Voltage Schedule 31'!$E$50</f>
        <v>4.91</v>
      </c>
      <c r="H15" s="35">
        <f>+G15*D15</f>
        <v>9916165.506323691</v>
      </c>
      <c r="I15" s="33">
        <f>+H15-F15</f>
        <v>1292534.8114149012</v>
      </c>
      <c r="J15" s="52">
        <f>+I15/F15</f>
        <v>0.1498829039812647</v>
      </c>
    </row>
    <row r="16" spans="1:10" ht="12.75">
      <c r="A16" s="21" t="s">
        <v>75</v>
      </c>
      <c r="B16" s="15">
        <f>SUM(B14:B15)</f>
        <v>3946814.654071696</v>
      </c>
      <c r="C16" s="15"/>
      <c r="D16" s="15">
        <f>SUM(D14:D15)</f>
        <v>3946814.654071696</v>
      </c>
      <c r="F16" s="16">
        <f>SUM(F14:F15)</f>
        <v>20977168.656930998</v>
      </c>
      <c r="H16" s="16">
        <f>SUM(H14:H15)</f>
        <v>24119843.31913238</v>
      </c>
      <c r="I16" s="16">
        <f>SUM(I14:I15)</f>
        <v>3142674.6622013785</v>
      </c>
      <c r="J16" s="53">
        <f>+I16/F16</f>
        <v>0.14981405324988972</v>
      </c>
    </row>
    <row r="17" spans="2:10" ht="12.75">
      <c r="B17" s="18"/>
      <c r="C17" s="18"/>
      <c r="D17" s="18"/>
      <c r="F17" s="19"/>
      <c r="H17" s="19"/>
      <c r="I17" s="19"/>
      <c r="J17" s="56"/>
    </row>
    <row r="18" spans="1:10" ht="12.75">
      <c r="A18" s="21" t="s">
        <v>76</v>
      </c>
      <c r="B18" s="74">
        <v>919421179.1755927</v>
      </c>
      <c r="C18" s="74"/>
      <c r="D18" s="74">
        <f>SUM(B18)</f>
        <v>919421179.1755927</v>
      </c>
      <c r="E18" s="75">
        <v>0.0008100000000000001</v>
      </c>
      <c r="F18" s="16">
        <f>+E18*D18</f>
        <v>744731.1551322301</v>
      </c>
      <c r="G18" s="75">
        <f>+'Primary Voltage Schedule 31'!$C$56</f>
        <v>0.00093</v>
      </c>
      <c r="H18" s="16">
        <f>+G18*D18</f>
        <v>855061.6966333012</v>
      </c>
      <c r="I18" s="72">
        <f>+H18-F18</f>
        <v>110330.54150107107</v>
      </c>
      <c r="J18" s="53">
        <f>+I18/F18</f>
        <v>0.14814814814814806</v>
      </c>
    </row>
    <row r="19" spans="1:10" ht="12.75">
      <c r="A19" s="21"/>
      <c r="B19" s="76"/>
      <c r="C19" s="76"/>
      <c r="D19" s="76"/>
      <c r="E19" s="75"/>
      <c r="F19" s="19"/>
      <c r="G19" s="75"/>
      <c r="H19" s="19"/>
      <c r="I19" s="77"/>
      <c r="J19" s="56"/>
    </row>
    <row r="20" spans="1:10" ht="12.75">
      <c r="A20" s="14" t="s">
        <v>60</v>
      </c>
      <c r="D20" s="74">
        <f>+D12</f>
        <v>1657531591.0765023</v>
      </c>
      <c r="E20" s="55">
        <v>0.002045</v>
      </c>
      <c r="F20" s="16">
        <f>+E20*D20</f>
        <v>3389652.103751447</v>
      </c>
      <c r="G20" s="75">
        <v>0</v>
      </c>
      <c r="H20" s="16">
        <f>+G20*D20</f>
        <v>0</v>
      </c>
      <c r="I20" s="72">
        <f>+H20-F20</f>
        <v>-3389652.103751447</v>
      </c>
      <c r="J20" s="53">
        <f>+I20/F20</f>
        <v>-1</v>
      </c>
    </row>
    <row r="21" ht="12.75">
      <c r="D21" s="58"/>
    </row>
    <row r="22" spans="1:10" ht="13.5" thickBot="1">
      <c r="A22" t="s">
        <v>61</v>
      </c>
      <c r="F22" s="59">
        <f>SUM(F18,F16,F12,F10,F20)</f>
        <v>96838451.52020907</v>
      </c>
      <c r="H22" s="59">
        <f>SUM(H18,H16,H12,H10,H20)</f>
        <v>103915382.10452503</v>
      </c>
      <c r="I22" s="59">
        <f>SUM(I18,I16,I12,I10,I20)</f>
        <v>7076930.584315959</v>
      </c>
      <c r="J22" s="60">
        <f>+I22/F22</f>
        <v>0.0730797578154075</v>
      </c>
    </row>
    <row r="23" ht="13.5" thickTop="1"/>
    <row r="25" spans="4:9" ht="12.75">
      <c r="D25" s="58"/>
      <c r="H25" s="33"/>
      <c r="I25" s="55"/>
    </row>
    <row r="26" spans="4:9" ht="12.75">
      <c r="D26" s="58"/>
      <c r="H26" s="33"/>
      <c r="I26" s="55"/>
    </row>
    <row r="28" ht="12.75">
      <c r="D28" s="58"/>
    </row>
    <row r="29" ht="12.75">
      <c r="D29" s="58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4" sqref="G14"/>
    </sheetView>
  </sheetViews>
  <sheetFormatPr defaultColWidth="9.140625" defaultRowHeight="12.75"/>
  <cols>
    <col min="1" max="1" width="27.8515625" style="0" bestFit="1" customWidth="1"/>
    <col min="2" max="2" width="13.8515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9.710937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87</v>
      </c>
      <c r="B4" s="1"/>
      <c r="C4" s="1"/>
      <c r="D4" s="1"/>
      <c r="E4" s="1"/>
      <c r="F4" s="1"/>
      <c r="G4" s="1"/>
      <c r="H4" s="1"/>
    </row>
    <row r="5" spans="1:8" ht="12.75">
      <c r="A5" s="1" t="s">
        <v>88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2:8" ht="12.75">
      <c r="B8" s="10" t="s">
        <v>89</v>
      </c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3" t="s">
        <v>90</v>
      </c>
      <c r="C9" s="68" t="str">
        <f>+'Residential Sch 7'!E9</f>
        <v>Charge</v>
      </c>
      <c r="D9" s="61" t="str">
        <f>+'Residential Sch 7'!F9</f>
        <v>Revenue</v>
      </c>
      <c r="E9" s="70" t="str">
        <f>+'Residential Sch 7'!G9</f>
        <v>Charge</v>
      </c>
      <c r="F9" s="61" t="str">
        <f>+'Residential Sch 7'!H9</f>
        <v>Revenue</v>
      </c>
      <c r="G9" s="62" t="str">
        <f>+'Residential Sch 7'!I9</f>
        <v>$</v>
      </c>
      <c r="H9" s="61" t="str">
        <f>+'Residential Sch 7'!J9</f>
        <v>%</v>
      </c>
    </row>
    <row r="10" spans="1:8" ht="12.75">
      <c r="A10" t="s">
        <v>55</v>
      </c>
      <c r="B10" s="74">
        <v>12</v>
      </c>
      <c r="C10" s="50">
        <v>200</v>
      </c>
      <c r="D10" s="16">
        <f>+C10*B10</f>
        <v>2400</v>
      </c>
      <c r="E10" s="51">
        <f>+'Primary Voltage Schedule 35'!$C$38</f>
        <v>200</v>
      </c>
      <c r="F10" s="16">
        <f>+E10*B10</f>
        <v>2400</v>
      </c>
      <c r="G10" s="72">
        <f>+F10-D10</f>
        <v>0</v>
      </c>
      <c r="H10" s="53">
        <f>+G10/D10</f>
        <v>0</v>
      </c>
    </row>
    <row r="11" spans="4:6" ht="12.75">
      <c r="D11" s="35"/>
      <c r="F11" s="35"/>
    </row>
    <row r="12" spans="1:8" ht="12.75">
      <c r="A12" s="21" t="s">
        <v>72</v>
      </c>
      <c r="B12" s="15">
        <v>4966200</v>
      </c>
      <c r="C12" s="80">
        <v>0.033147</v>
      </c>
      <c r="D12" s="16">
        <f>+C12*B12</f>
        <v>164614.6314</v>
      </c>
      <c r="E12" s="80">
        <f>+'Primary Voltage Schedule 35'!$C$61</f>
        <v>0.037054</v>
      </c>
      <c r="F12" s="16">
        <f>+E12*B12</f>
        <v>184017.57479999997</v>
      </c>
      <c r="G12" s="72">
        <f>+F12-D12</f>
        <v>19402.94339999996</v>
      </c>
      <c r="H12" s="53">
        <f>+G12/D12</f>
        <v>0.11786888707877008</v>
      </c>
    </row>
    <row r="13" ht="12.75">
      <c r="B13" s="58"/>
    </row>
    <row r="14" spans="1:8" ht="12.75">
      <c r="A14" s="21" t="s">
        <v>79</v>
      </c>
      <c r="B14" s="54">
        <v>1064.7927927927929</v>
      </c>
      <c r="C14" s="50">
        <v>3.33</v>
      </c>
      <c r="D14" s="35">
        <f>+C14*B14</f>
        <v>3545.76</v>
      </c>
      <c r="E14" s="51">
        <f>+'Primary Voltage Schedule 35'!$C$46</f>
        <v>4.08</v>
      </c>
      <c r="F14" s="35">
        <f>+E14*B14</f>
        <v>4344.354594594595</v>
      </c>
      <c r="G14" s="33">
        <f>+F14-D14</f>
        <v>798.594594594595</v>
      </c>
      <c r="H14" s="52">
        <f>+G14/D14</f>
        <v>0.22522522522522534</v>
      </c>
    </row>
    <row r="15" spans="1:8" ht="12.75">
      <c r="A15" s="21" t="s">
        <v>80</v>
      </c>
      <c r="B15" s="54">
        <v>8009.004504504505</v>
      </c>
      <c r="C15" s="50">
        <v>2.22</v>
      </c>
      <c r="D15" s="35">
        <f>+C15*B15</f>
        <v>17779.990000000005</v>
      </c>
      <c r="E15" s="51">
        <f>+'Primary Voltage Schedule 35'!$C$47</f>
        <v>2.72</v>
      </c>
      <c r="F15" s="35">
        <f>+E15*B15</f>
        <v>21784.492252252257</v>
      </c>
      <c r="G15" s="33">
        <f>+F15-D15</f>
        <v>4004.502252252252</v>
      </c>
      <c r="H15" s="52">
        <f>+G15/D15</f>
        <v>0.22522522522522515</v>
      </c>
    </row>
    <row r="16" spans="1:8" ht="12.75">
      <c r="A16" s="21" t="s">
        <v>75</v>
      </c>
      <c r="B16" s="15">
        <f>SUM(B14:B15)</f>
        <v>9073.797297297298</v>
      </c>
      <c r="D16" s="16">
        <f>SUM(D14:D15)</f>
        <v>21325.750000000007</v>
      </c>
      <c r="F16" s="16">
        <f>SUM(F14:F15)</f>
        <v>26128.846846846853</v>
      </c>
      <c r="G16" s="16">
        <f>SUM(G14:G15)</f>
        <v>4803.096846846847</v>
      </c>
      <c r="H16" s="53">
        <f>+G16/D16</f>
        <v>0.22522522522522517</v>
      </c>
    </row>
    <row r="17" spans="2:8" ht="12.75">
      <c r="B17" s="18"/>
      <c r="D17" s="19"/>
      <c r="F17" s="19"/>
      <c r="G17" s="19"/>
      <c r="H17" s="56"/>
    </row>
    <row r="18" spans="1:8" ht="12.75">
      <c r="A18" s="21" t="s">
        <v>76</v>
      </c>
      <c r="B18" s="74">
        <v>2344204.8192771086</v>
      </c>
      <c r="C18" s="75">
        <v>0.00083</v>
      </c>
      <c r="D18" s="16">
        <f>+C18*B18</f>
        <v>1945.6900000000003</v>
      </c>
      <c r="E18" s="75">
        <f>+'Primary Voltage Schedule 35'!$C$53</f>
        <v>0.00088</v>
      </c>
      <c r="F18" s="16">
        <f>+E18*B18</f>
        <v>2062.9002409638556</v>
      </c>
      <c r="G18" s="72">
        <f>+F18-D18</f>
        <v>117.21024096385531</v>
      </c>
      <c r="H18" s="53">
        <f>+G18/D18</f>
        <v>0.060240963855421624</v>
      </c>
    </row>
    <row r="19" spans="1:8" ht="12.75">
      <c r="A19" s="21"/>
      <c r="B19" s="76"/>
      <c r="C19" s="75"/>
      <c r="D19" s="19"/>
      <c r="E19" s="75"/>
      <c r="F19" s="19"/>
      <c r="G19" s="77"/>
      <c r="H19" s="56"/>
    </row>
    <row r="20" spans="1:8" ht="12.75">
      <c r="A20" s="14" t="s">
        <v>60</v>
      </c>
      <c r="B20" s="74">
        <f>+B12</f>
        <v>4966200</v>
      </c>
      <c r="C20" s="75">
        <v>0.001954</v>
      </c>
      <c r="D20" s="16">
        <f>+C20*B20</f>
        <v>9703.9548</v>
      </c>
      <c r="E20" s="75">
        <v>0</v>
      </c>
      <c r="F20" s="16">
        <f>+E20*B20</f>
        <v>0</v>
      </c>
      <c r="G20" s="72">
        <f>+F20-D20</f>
        <v>-9703.9548</v>
      </c>
      <c r="H20" s="53">
        <f>+G20/D20</f>
        <v>-1</v>
      </c>
    </row>
    <row r="21" ht="12.75">
      <c r="B21" s="58"/>
    </row>
    <row r="22" spans="1:8" ht="13.5" thickBot="1">
      <c r="A22" t="s">
        <v>61</v>
      </c>
      <c r="D22" s="59">
        <f>SUM(D18,D16,D12,D10,D20)</f>
        <v>199990.02620000002</v>
      </c>
      <c r="F22" s="59">
        <f>SUM(F18,F16,F12,F10,F20)</f>
        <v>214609.32188781069</v>
      </c>
      <c r="G22" s="59">
        <f>SUM(G18,G16,G12,G10,G20)</f>
        <v>14619.295687810663</v>
      </c>
      <c r="H22" s="60">
        <f>+G22/D22</f>
        <v>0.07310012386913053</v>
      </c>
    </row>
    <row r="23" ht="13.5" thickTop="1"/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14" sqref="G14"/>
    </sheetView>
  </sheetViews>
  <sheetFormatPr defaultColWidth="9.140625" defaultRowHeight="12.75"/>
  <cols>
    <col min="1" max="1" width="24.140625" style="0" bestFit="1" customWidth="1"/>
    <col min="2" max="2" width="12.28125" style="0" bestFit="1" customWidth="1"/>
    <col min="3" max="3" width="11.28125" style="0" bestFit="1" customWidth="1"/>
    <col min="4" max="4" width="12.281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2.28125" style="0" bestFit="1" customWidth="1"/>
    <col min="9" max="9" width="11.7109375" style="0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91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92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2388.0666</v>
      </c>
      <c r="C10" s="74"/>
      <c r="D10" s="74">
        <f>SUM(B10:C10)</f>
        <v>2388.0666</v>
      </c>
      <c r="E10" s="50">
        <v>200</v>
      </c>
      <c r="F10" s="16">
        <f>+E10*D10</f>
        <v>477613.32</v>
      </c>
      <c r="G10" s="50">
        <f>+'Primary Voltage Schedule 43'!$C$40</f>
        <v>200</v>
      </c>
      <c r="H10" s="16">
        <f>+G10*D10</f>
        <v>477613.32</v>
      </c>
      <c r="I10" s="72">
        <f>+H10-F10</f>
        <v>0</v>
      </c>
      <c r="J10" s="53">
        <f>+I10/F10</f>
        <v>0</v>
      </c>
    </row>
    <row r="11" spans="6:8" ht="12.75">
      <c r="F11" s="35"/>
      <c r="H11" s="35"/>
    </row>
    <row r="12" spans="1:10" ht="12.75">
      <c r="A12" s="21" t="s">
        <v>72</v>
      </c>
      <c r="B12" s="15">
        <v>175656470.41949996</v>
      </c>
      <c r="C12" s="15">
        <v>14036294.438764367</v>
      </c>
      <c r="D12" s="74">
        <f>SUM(B12:C12)</f>
        <v>189692764.85826433</v>
      </c>
      <c r="E12" s="55">
        <v>0.040898000000000004</v>
      </c>
      <c r="F12" s="16">
        <f>+E12*D12</f>
        <v>7758054.697173296</v>
      </c>
      <c r="G12" s="55">
        <f>+'Primary Voltage Schedule 43'!$C$60</f>
        <v>0.047432</v>
      </c>
      <c r="H12" s="16">
        <f>+G12*D12</f>
        <v>8997507.222757194</v>
      </c>
      <c r="I12" s="72">
        <f>+H12-F12</f>
        <v>1239452.5255838986</v>
      </c>
      <c r="J12" s="53">
        <f>+I12/F12</f>
        <v>0.15976331360946738</v>
      </c>
    </row>
    <row r="13" spans="2:4" ht="12.75">
      <c r="B13" s="58"/>
      <c r="C13" s="58"/>
      <c r="D13" s="58"/>
    </row>
    <row r="14" spans="1:10" ht="12.75">
      <c r="A14" s="21" t="s">
        <v>75</v>
      </c>
      <c r="B14" s="15">
        <v>864944.7382920106</v>
      </c>
      <c r="C14" s="15"/>
      <c r="D14" s="74">
        <f>SUM(B14:C14)</f>
        <v>864944.7382920106</v>
      </c>
      <c r="E14" s="50">
        <v>3.63</v>
      </c>
      <c r="F14" s="16">
        <f>+E14*D14</f>
        <v>3139749.3999999985</v>
      </c>
      <c r="G14" s="50">
        <f>+'Primary Voltage Schedule 43'!$C$46</f>
        <v>4.18</v>
      </c>
      <c r="H14" s="16">
        <f>+G14*D14</f>
        <v>3615469.006060604</v>
      </c>
      <c r="I14" s="72">
        <f>+H14-F14</f>
        <v>475719.6060606055</v>
      </c>
      <c r="J14" s="53">
        <f>+I14/F14</f>
        <v>0.1515151515151514</v>
      </c>
    </row>
    <row r="15" spans="2:10" ht="12.75">
      <c r="B15" s="18"/>
      <c r="C15" s="18"/>
      <c r="D15" s="18"/>
      <c r="F15" s="19"/>
      <c r="H15" s="19"/>
      <c r="I15" s="19"/>
      <c r="J15" s="56"/>
    </row>
    <row r="16" spans="1:10" ht="12.75">
      <c r="A16" s="21" t="s">
        <v>76</v>
      </c>
      <c r="B16" s="74">
        <v>82811957.44680853</v>
      </c>
      <c r="C16" s="74"/>
      <c r="D16" s="74">
        <f>SUM(B16:C16)</f>
        <v>82811957.44680853</v>
      </c>
      <c r="E16" s="75">
        <v>0.0023499999999999997</v>
      </c>
      <c r="F16" s="16">
        <f>+E16*D16</f>
        <v>194608.10000000003</v>
      </c>
      <c r="G16" s="75">
        <f>+'Primary Voltage Schedule 43'!$C$52</f>
        <v>0.00261</v>
      </c>
      <c r="H16" s="16">
        <f>+G16*D16</f>
        <v>216139.20893617027</v>
      </c>
      <c r="I16" s="72">
        <f>+H16-F16</f>
        <v>21531.108936170232</v>
      </c>
      <c r="J16" s="53">
        <f>+I16/F16</f>
        <v>0.1106382978723405</v>
      </c>
    </row>
    <row r="17" ht="12.75">
      <c r="D17" s="58"/>
    </row>
    <row r="18" spans="1:10" ht="12.75">
      <c r="A18" s="14" t="s">
        <v>60</v>
      </c>
      <c r="D18" s="74">
        <f>+D12</f>
        <v>189692764.85826433</v>
      </c>
      <c r="E18" s="55">
        <v>0.002223</v>
      </c>
      <c r="F18" s="16">
        <f>+E18*D18</f>
        <v>421687.01627992163</v>
      </c>
      <c r="G18" s="55">
        <v>0</v>
      </c>
      <c r="H18" s="16">
        <f>+G18*D18</f>
        <v>0</v>
      </c>
      <c r="I18" s="72">
        <f>+H18-F18</f>
        <v>-421687.01627992163</v>
      </c>
      <c r="J18" s="53">
        <f>+I18/F18</f>
        <v>-1</v>
      </c>
    </row>
    <row r="19" ht="12.75">
      <c r="D19" s="58"/>
    </row>
    <row r="20" spans="1:10" ht="13.5" thickBot="1">
      <c r="A20" t="s">
        <v>61</v>
      </c>
      <c r="F20" s="59">
        <f>SUM(F16,F14,F12,F10,F18)</f>
        <v>11991712.533453215</v>
      </c>
      <c r="H20" s="59">
        <f>SUM(H16,H14,H12,H10,H18)</f>
        <v>13306728.757753968</v>
      </c>
      <c r="I20" s="59">
        <f>SUM(I16,I14,I12,I10,I18)</f>
        <v>1315016.2243007526</v>
      </c>
      <c r="J20" s="60">
        <f>+I20/F20</f>
        <v>0.10966041927975334</v>
      </c>
    </row>
    <row r="21" ht="13.5" thickTop="1"/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2004-11-03T08:36:23Z</cp:lastPrinted>
  <dcterms:created xsi:type="dcterms:W3CDTF">2004-11-01T17:34:44Z</dcterms:created>
  <dcterms:modified xsi:type="dcterms:W3CDTF">2004-11-05T01:00:58Z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