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120" windowHeight="8445" firstSheet="2" activeTab="3"/>
  </bookViews>
  <sheets>
    <sheet name="RevenueRequirement" sheetId="1" r:id="rId1"/>
    <sheet name="JL4 CostOfService" sheetId="2" r:id="rId2"/>
    <sheet name="JL5 Rate Spread" sheetId="3" r:id="rId3"/>
    <sheet name="JL6 ResRates" sheetId="4" r:id="rId4"/>
    <sheet name="JL-7Sched11Rates" sheetId="5" r:id="rId5"/>
    <sheet name="ResRatesWP" sheetId="6" r:id="rId6"/>
    <sheet name="Sched11WP" sheetId="7" r:id="rId7"/>
  </sheets>
  <externalReferences>
    <externalReference r:id="rId10"/>
  </externalReferences>
  <definedNames/>
  <calcPr fullCalcOnLoad="1"/>
</workbook>
</file>

<file path=xl/comments5.xml><?xml version="1.0" encoding="utf-8"?>
<comments xmlns="http://schemas.openxmlformats.org/spreadsheetml/2006/main">
  <authors>
    <author>Jim Lazar</author>
  </authors>
  <commentList>
    <comment ref="C12" authorId="0">
      <text>
        <r>
          <rPr>
            <b/>
            <sz val="8"/>
            <rFont val="Tahoma"/>
            <family val="0"/>
          </rPr>
          <t>Jim Lazar:From last page of response to PC 205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<sst xmlns="http://schemas.openxmlformats.org/spreadsheetml/2006/main" count="313" uniqueCount="159">
  <si>
    <t>Proposed General Increase</t>
  </si>
  <si>
    <t>Base Tariff at Proposed Rates</t>
  </si>
  <si>
    <t>Base Tariff Percent Increase</t>
  </si>
  <si>
    <t>Base Tariff At Present Rates</t>
  </si>
  <si>
    <t>kWh</t>
  </si>
  <si>
    <t>Average Increase per kWh</t>
  </si>
  <si>
    <t>Residential</t>
  </si>
  <si>
    <t>GS 11</t>
  </si>
  <si>
    <t>Lg GS 21</t>
  </si>
  <si>
    <t>XL GS 25</t>
  </si>
  <si>
    <t>Pumping</t>
  </si>
  <si>
    <t>Lights</t>
  </si>
  <si>
    <t>Total</t>
  </si>
  <si>
    <t>Revenue at Current Rates</t>
  </si>
  <si>
    <t>Revenue Requirement</t>
  </si>
  <si>
    <t>Revenue to Cost Ratio</t>
  </si>
  <si>
    <t>Residual Increase</t>
  </si>
  <si>
    <t>Residual Revenue</t>
  </si>
  <si>
    <t>Residual Percentage Increase</t>
  </si>
  <si>
    <t>Final Increase By Class</t>
  </si>
  <si>
    <t>Percentage Increase over Base Rates</t>
  </si>
  <si>
    <t>Company Study TLK-3</t>
  </si>
  <si>
    <t>Response to PC #125</t>
  </si>
  <si>
    <t>Alternative Cost of Service Results</t>
  </si>
  <si>
    <t>Page 1 of 1</t>
  </si>
  <si>
    <t>Public Counsel Study</t>
  </si>
  <si>
    <t>Note: Company does not have 200-hour peak usage data to fully comply with request #125.  Results shown reflect only the change</t>
  </si>
  <si>
    <t xml:space="preserve">         in the peak credit factor requested.</t>
  </si>
  <si>
    <t>Avista Rate Spread Proposal</t>
  </si>
  <si>
    <t>Schedule 11 = 75% of average increase</t>
  </si>
  <si>
    <t>Schedule 21 = 85% of average increase</t>
  </si>
  <si>
    <t>Uniform Increase to Remaining Classes</t>
  </si>
  <si>
    <t>Company Proposal</t>
  </si>
  <si>
    <t>Apply 75% to 11, 85% to 21</t>
  </si>
  <si>
    <t>Assumed Total Increase</t>
  </si>
  <si>
    <t>$ x 1000</t>
  </si>
  <si>
    <t>Public Counsel Proposal Based on assumed increase of $6,000,000</t>
  </si>
  <si>
    <t>Difference from Company Proposal $</t>
  </si>
  <si>
    <t>Difference from Company Proposal %</t>
  </si>
  <si>
    <t>Increase $/kWh</t>
  </si>
  <si>
    <t>Avista Rate Increase</t>
  </si>
  <si>
    <t>Current Base</t>
  </si>
  <si>
    <t>Current Billing</t>
  </si>
  <si>
    <t>Proposed Base</t>
  </si>
  <si>
    <t>Proposed Billing</t>
  </si>
  <si>
    <t>Increase Base</t>
  </si>
  <si>
    <t>Increase Billing</t>
  </si>
  <si>
    <t>Basic Charge</t>
  </si>
  <si>
    <t>First 600</t>
  </si>
  <si>
    <t>Next 700</t>
  </si>
  <si>
    <t>Over 1,300</t>
  </si>
  <si>
    <t>Workpapers for Company Proposal</t>
  </si>
  <si>
    <t>From Knox Workpaper P. 98</t>
  </si>
  <si>
    <t>Units</t>
  </si>
  <si>
    <t>Current Base Rate</t>
  </si>
  <si>
    <t>Current Base Revenue</t>
  </si>
  <si>
    <t>Proposed Base Rate</t>
  </si>
  <si>
    <t>Proposed Base Revenue</t>
  </si>
  <si>
    <t>Increase</t>
  </si>
  <si>
    <t>Increase %</t>
  </si>
  <si>
    <t>Block Ratios At Current and Proposed Rates</t>
  </si>
  <si>
    <t>Current</t>
  </si>
  <si>
    <t>Ratio</t>
  </si>
  <si>
    <t>Proposed</t>
  </si>
  <si>
    <t>Block 1</t>
  </si>
  <si>
    <t>Block 2</t>
  </si>
  <si>
    <t>Block 3</t>
  </si>
  <si>
    <t>Weighted Average</t>
  </si>
  <si>
    <t>Alternative 1:  Uniform Percentage Increase</t>
  </si>
  <si>
    <t>Total:</t>
  </si>
  <si>
    <t>Alternative 2:  Cost-Based Rates:  Move to 1.2 Ratio of Mid-Block and 1.8 Ratio of End Block</t>
  </si>
  <si>
    <t>Alternative 3:  75% of Average increase to First Block; Average to Second</t>
  </si>
  <si>
    <t>Other Utilities Rate Designs</t>
  </si>
  <si>
    <t>Not including PCA, or Conservation Surcharges</t>
  </si>
  <si>
    <t>Puget</t>
  </si>
  <si>
    <t>Pacific</t>
  </si>
  <si>
    <t>Over 1300</t>
  </si>
  <si>
    <t>Residential Rate Design</t>
  </si>
  <si>
    <t>Current Rates</t>
  </si>
  <si>
    <t>Current Residential Rate</t>
  </si>
  <si>
    <t>Avista Proposed Rates</t>
  </si>
  <si>
    <t>Alternative Proposed Rates</t>
  </si>
  <si>
    <t>Current Revenue</t>
  </si>
  <si>
    <t>Increase $</t>
  </si>
  <si>
    <t>Adjusted Base Rates</t>
  </si>
  <si>
    <t>Page 1 of 2</t>
  </si>
  <si>
    <t>Comparison of Residential Rates</t>
  </si>
  <si>
    <t>Company-Proposed Base</t>
  </si>
  <si>
    <t>Public Counsel Proposed Base</t>
  </si>
  <si>
    <t>Company Proposed Increase</t>
  </si>
  <si>
    <t>Public Counsel Proposed Increase</t>
  </si>
  <si>
    <t>Comparison of Residential Bills at Base Rates</t>
  </si>
  <si>
    <t>Usage</t>
  </si>
  <si>
    <t>Company Proposed Rates</t>
  </si>
  <si>
    <t>Public Counsel Proposed Rates</t>
  </si>
  <si>
    <t>Element</t>
  </si>
  <si>
    <t>Page 2 of 2</t>
  </si>
  <si>
    <t>Current Rate</t>
  </si>
  <si>
    <t>Proposed Revenue</t>
  </si>
  <si>
    <t>Customers</t>
  </si>
  <si>
    <t>Block 1 kWh</t>
  </si>
  <si>
    <t>Total Energy</t>
  </si>
  <si>
    <t>Excess Demand</t>
  </si>
  <si>
    <t xml:space="preserve">Total  </t>
  </si>
  <si>
    <t>Current Rates and Company Proposed Rates</t>
  </si>
  <si>
    <t>Alternative Rates</t>
  </si>
  <si>
    <t>Assume:  All schedule shifting is Block 2</t>
  </si>
  <si>
    <t>Assume:  Block breaks at 4,000 kWh</t>
  </si>
  <si>
    <t>kWh over 3,650</t>
  </si>
  <si>
    <t>Total kWh</t>
  </si>
  <si>
    <t>Avista Small General Service Rate Design</t>
  </si>
  <si>
    <t>Billing Determinants</t>
  </si>
  <si>
    <t>Kilowatt-Hours</t>
  </si>
  <si>
    <t>Revenue</t>
  </si>
  <si>
    <t>Knox WP 98/99</t>
  </si>
  <si>
    <t>Proposed Rates</t>
  </si>
  <si>
    <t>Change $</t>
  </si>
  <si>
    <t>Change %</t>
  </si>
  <si>
    <t>Note:  Base Tariff Rates Only</t>
  </si>
  <si>
    <t>Customer + Energy</t>
  </si>
  <si>
    <t>Average @ 30% LF</t>
  </si>
  <si>
    <t>Average @ 60% LF</t>
  </si>
  <si>
    <t>Effective Cost / kWh @ Load Factor at Company proposed rates</t>
  </si>
  <si>
    <t>Demand @ 30% LF</t>
  </si>
  <si>
    <t>Total @ 30% LF</t>
  </si>
  <si>
    <t>Demand @ 60% LF</t>
  </si>
  <si>
    <t>Total @ 60% LF</t>
  </si>
  <si>
    <t>Effect of Alternative Rate Design</t>
  </si>
  <si>
    <t>kW @ 30% LF</t>
  </si>
  <si>
    <t>kW @ 60% LF</t>
  </si>
  <si>
    <t>Customer Charge</t>
  </si>
  <si>
    <t>First 4000 kWh</t>
  </si>
  <si>
    <t>Demand Charge over 20 kw</t>
  </si>
  <si>
    <t>Over 4000 kWh</t>
  </si>
  <si>
    <t>Comparison of Existing, Proposed, and Alternative Rates @ 30% Load Factor</t>
  </si>
  <si>
    <t>Alternative</t>
  </si>
  <si>
    <t>Alternative vs. Proposed</t>
  </si>
  <si>
    <t>Alternative vs. Current</t>
  </si>
  <si>
    <t>Proposed vs. Current</t>
  </si>
  <si>
    <t>Based on Guesstimated Billing Determinants</t>
  </si>
  <si>
    <t>Public Counsel Proposal</t>
  </si>
  <si>
    <t>Proposed Rate</t>
  </si>
  <si>
    <t>Schedule 11 Small General Service Rates</t>
  </si>
  <si>
    <t>Bill Comparison</t>
  </si>
  <si>
    <t>Company Proposed Increase %</t>
  </si>
  <si>
    <t>Public Counsel Proposed Increase %</t>
  </si>
  <si>
    <t>Demand</t>
  </si>
  <si>
    <t>Estimate of Rate Blocks</t>
  </si>
  <si>
    <t>Revenue Requirement Assumption</t>
  </si>
  <si>
    <t>Electric:</t>
  </si>
  <si>
    <t>Per Dittmer</t>
  </si>
  <si>
    <t>Assumed ICNU</t>
  </si>
  <si>
    <t>Remaining Increase</t>
  </si>
  <si>
    <t>Gas</t>
  </si>
  <si>
    <t xml:space="preserve">   &lt;&lt;&lt; Estimate for this filing deadline</t>
  </si>
  <si>
    <t>First 3,650 kWh</t>
  </si>
  <si>
    <t>Over 3,650 kWh</t>
  </si>
  <si>
    <t>Company-Proposed Rate</t>
  </si>
  <si>
    <t>Public Counsel Proposed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</si>
</sst>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_(* #,##0.00000_);_(* \(#,##0.00000\);_(* &quot;-&quot;?????_);_(@_)"/>
    <numFmt numFmtId="174" formatCode="_(* #,##0.0000_);_(* \(#,##0.0000\);_(* &quot;-&quot;??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8" fontId="0" fillId="0" borderId="1" xfId="17" applyNumberFormat="1" applyBorder="1" applyAlignment="1">
      <alignment/>
    </xf>
    <xf numFmtId="169" fontId="0" fillId="0" borderId="1" xfId="19" applyNumberFormat="1" applyBorder="1" applyAlignment="1">
      <alignment/>
    </xf>
    <xf numFmtId="171" fontId="0" fillId="0" borderId="1" xfId="15" applyNumberFormat="1" applyBorder="1" applyAlignment="1">
      <alignment/>
    </xf>
    <xf numFmtId="166" fontId="0" fillId="0" borderId="1" xfId="17" applyNumberFormat="1" applyBorder="1" applyAlignment="1">
      <alignment/>
    </xf>
    <xf numFmtId="9" fontId="0" fillId="0" borderId="1" xfId="19" applyBorder="1" applyAlignment="1">
      <alignment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8" fontId="0" fillId="0" borderId="5" xfId="17" applyNumberFormat="1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Border="1" applyAlignment="1">
      <alignment/>
    </xf>
    <xf numFmtId="169" fontId="0" fillId="0" borderId="5" xfId="19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10" xfId="19" applyBorder="1" applyAlignment="1">
      <alignment/>
    </xf>
    <xf numFmtId="9" fontId="0" fillId="0" borderId="11" xfId="19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9" fontId="1" fillId="0" borderId="10" xfId="19" applyFont="1" applyBorder="1" applyAlignment="1">
      <alignment/>
    </xf>
    <xf numFmtId="9" fontId="1" fillId="0" borderId="11" xfId="19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171" fontId="0" fillId="0" borderId="5" xfId="15" applyNumberFormat="1" applyBorder="1" applyAlignment="1">
      <alignment/>
    </xf>
    <xf numFmtId="166" fontId="0" fillId="0" borderId="10" xfId="17" applyNumberFormat="1" applyBorder="1" applyAlignment="1">
      <alignment/>
    </xf>
    <xf numFmtId="166" fontId="0" fillId="0" borderId="11" xfId="17" applyNumberFormat="1" applyBorder="1" applyAlignment="1">
      <alignment/>
    </xf>
    <xf numFmtId="0" fontId="0" fillId="0" borderId="12" xfId="0" applyBorder="1" applyAlignment="1">
      <alignment/>
    </xf>
    <xf numFmtId="168" fontId="0" fillId="0" borderId="13" xfId="17" applyNumberFormat="1" applyBorder="1" applyAlignment="1">
      <alignment/>
    </xf>
    <xf numFmtId="168" fontId="0" fillId="0" borderId="14" xfId="17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5" fontId="0" fillId="0" borderId="1" xfId="17" applyNumberFormat="1" applyBorder="1" applyAlignment="1">
      <alignment/>
    </xf>
    <xf numFmtId="0" fontId="1" fillId="0" borderId="4" xfId="0" applyFont="1" applyBorder="1" applyAlignment="1">
      <alignment/>
    </xf>
    <xf numFmtId="169" fontId="1" fillId="0" borderId="1" xfId="19" applyNumberFormat="1" applyFont="1" applyBorder="1" applyAlignment="1">
      <alignment/>
    </xf>
    <xf numFmtId="169" fontId="1" fillId="0" borderId="5" xfId="19" applyNumberFormat="1" applyFont="1" applyBorder="1" applyAlignment="1">
      <alignment/>
    </xf>
    <xf numFmtId="0" fontId="1" fillId="0" borderId="18" xfId="0" applyFont="1" applyBorder="1" applyAlignment="1">
      <alignment/>
    </xf>
    <xf numFmtId="169" fontId="1" fillId="0" borderId="19" xfId="19" applyNumberFormat="1" applyFont="1" applyBorder="1" applyAlignment="1">
      <alignment/>
    </xf>
    <xf numFmtId="169" fontId="1" fillId="0" borderId="20" xfId="19" applyNumberFormat="1" applyFont="1" applyBorder="1" applyAlignment="1">
      <alignment/>
    </xf>
    <xf numFmtId="168" fontId="1" fillId="0" borderId="19" xfId="17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0" fillId="0" borderId="1" xfId="0" applyNumberFormat="1" applyBorder="1" applyAlignment="1">
      <alignment wrapText="1"/>
    </xf>
    <xf numFmtId="168" fontId="0" fillId="0" borderId="1" xfId="17" applyNumberFormat="1" applyBorder="1" applyAlignment="1">
      <alignment wrapText="1"/>
    </xf>
    <xf numFmtId="168" fontId="0" fillId="0" borderId="1" xfId="0" applyNumberFormat="1" applyBorder="1" applyAlignment="1">
      <alignment wrapText="1"/>
    </xf>
    <xf numFmtId="169" fontId="0" fillId="0" borderId="1" xfId="19" applyNumberFormat="1" applyBorder="1" applyAlignment="1">
      <alignment wrapText="1"/>
    </xf>
    <xf numFmtId="166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6" fontId="0" fillId="0" borderId="1" xfId="0" applyNumberFormat="1" applyBorder="1" applyAlignment="1">
      <alignment wrapText="1"/>
    </xf>
    <xf numFmtId="171" fontId="0" fillId="0" borderId="0" xfId="15" applyNumberFormat="1" applyAlignment="1">
      <alignment/>
    </xf>
    <xf numFmtId="0" fontId="0" fillId="0" borderId="1" xfId="0" applyBorder="1" applyAlignment="1">
      <alignment horizontal="right" wrapText="1"/>
    </xf>
    <xf numFmtId="168" fontId="0" fillId="0" borderId="1" xfId="0" applyNumberFormat="1" applyBorder="1" applyAlignment="1">
      <alignment horizontal="left"/>
    </xf>
    <xf numFmtId="44" fontId="0" fillId="0" borderId="1" xfId="0" applyNumberFormat="1" applyBorder="1" applyAlignment="1">
      <alignment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44" fontId="0" fillId="0" borderId="5" xfId="0" applyNumberFormat="1" applyBorder="1" applyAlignment="1">
      <alignment/>
    </xf>
    <xf numFmtId="166" fontId="0" fillId="0" borderId="5" xfId="17" applyNumberFormat="1" applyBorder="1" applyAlignment="1">
      <alignment/>
    </xf>
    <xf numFmtId="0" fontId="0" fillId="0" borderId="10" xfId="0" applyBorder="1" applyAlignment="1">
      <alignment/>
    </xf>
    <xf numFmtId="171" fontId="0" fillId="0" borderId="10" xfId="15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9" fontId="0" fillId="0" borderId="10" xfId="19" applyNumberFormat="1" applyBorder="1" applyAlignment="1">
      <alignment/>
    </xf>
    <xf numFmtId="169" fontId="0" fillId="0" borderId="11" xfId="19" applyNumberFormat="1" applyBorder="1" applyAlignment="1">
      <alignment/>
    </xf>
    <xf numFmtId="44" fontId="0" fillId="0" borderId="5" xfId="17" applyBorder="1" applyAlignment="1">
      <alignment/>
    </xf>
    <xf numFmtId="44" fontId="0" fillId="0" borderId="10" xfId="17" applyBorder="1" applyAlignment="1">
      <alignment/>
    </xf>
    <xf numFmtId="168" fontId="0" fillId="0" borderId="10" xfId="17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0" fillId="0" borderId="1" xfId="17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5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/>
    </xf>
    <xf numFmtId="165" fontId="0" fillId="0" borderId="1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1" xfId="0" applyNumberFormat="1" applyBorder="1" applyAlignment="1">
      <alignment/>
    </xf>
    <xf numFmtId="171" fontId="0" fillId="0" borderId="23" xfId="0" applyNumberFormat="1" applyBorder="1" applyAlignment="1">
      <alignment/>
    </xf>
    <xf numFmtId="171" fontId="0" fillId="0" borderId="23" xfId="15" applyNumberFormat="1" applyBorder="1" applyAlignment="1">
      <alignment/>
    </xf>
    <xf numFmtId="171" fontId="0" fillId="0" borderId="24" xfId="15" applyNumberFormat="1" applyBorder="1" applyAlignment="1">
      <alignment/>
    </xf>
    <xf numFmtId="0" fontId="0" fillId="0" borderId="8" xfId="0" applyFill="1" applyBorder="1" applyAlignment="1">
      <alignment horizontal="right" wrapText="1"/>
    </xf>
    <xf numFmtId="0" fontId="0" fillId="0" borderId="9" xfId="0" applyFill="1" applyBorder="1" applyAlignment="1">
      <alignment horizontal="right" wrapText="1"/>
    </xf>
    <xf numFmtId="9" fontId="0" fillId="0" borderId="5" xfId="19" applyBorder="1" applyAlignment="1">
      <alignment/>
    </xf>
    <xf numFmtId="170" fontId="0" fillId="0" borderId="1" xfId="15" applyNumberFormat="1" applyBorder="1" applyAlignment="1">
      <alignment/>
    </xf>
    <xf numFmtId="165" fontId="0" fillId="0" borderId="5" xfId="17" applyNumberFormat="1" applyBorder="1" applyAlignment="1">
      <alignment/>
    </xf>
    <xf numFmtId="170" fontId="0" fillId="0" borderId="10" xfId="15" applyNumberFormat="1" applyBorder="1" applyAlignment="1">
      <alignment/>
    </xf>
    <xf numFmtId="44" fontId="0" fillId="0" borderId="10" xfId="0" applyNumberFormat="1" applyBorder="1" applyAlignment="1">
      <alignment/>
    </xf>
    <xf numFmtId="165" fontId="0" fillId="0" borderId="10" xfId="17" applyNumberFormat="1" applyBorder="1" applyAlignment="1">
      <alignment/>
    </xf>
    <xf numFmtId="165" fontId="0" fillId="0" borderId="11" xfId="17" applyNumberFormat="1" applyBorder="1" applyAlignment="1">
      <alignment/>
    </xf>
    <xf numFmtId="0" fontId="0" fillId="0" borderId="4" xfId="0" applyFill="1" applyBorder="1" applyAlignment="1">
      <alignment/>
    </xf>
    <xf numFmtId="168" fontId="0" fillId="0" borderId="11" xfId="17" applyNumberFormat="1" applyBorder="1" applyAlignment="1">
      <alignment/>
    </xf>
    <xf numFmtId="0" fontId="0" fillId="0" borderId="6" xfId="0" applyFill="1" applyBorder="1" applyAlignment="1">
      <alignment/>
    </xf>
    <xf numFmtId="168" fontId="0" fillId="0" borderId="11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right" wrapText="1"/>
    </xf>
    <xf numFmtId="168" fontId="0" fillId="0" borderId="0" xfId="17" applyNumberFormat="1" applyAlignment="1">
      <alignment horizontal="left"/>
    </xf>
    <xf numFmtId="168" fontId="1" fillId="0" borderId="5" xfId="17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44" fontId="0" fillId="0" borderId="0" xfId="17" applyBorder="1" applyAlignment="1">
      <alignment/>
    </xf>
    <xf numFmtId="168" fontId="0" fillId="0" borderId="0" xfId="17" applyNumberFormat="1" applyBorder="1" applyAlignment="1">
      <alignment/>
    </xf>
    <xf numFmtId="166" fontId="0" fillId="0" borderId="0" xfId="17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4" fontId="0" fillId="0" borderId="11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Avista Schedule 11 Rate Inversion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30% Load Factor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'[1]Rate Comparison'!$A$18:$A$26</c:f>
              <c:numCache>
                <c:ptCount val="9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5000</c:v>
                </c:pt>
                <c:pt idx="4">
                  <c:v>10000</c:v>
                </c:pt>
                <c:pt idx="5">
                  <c:v>15000</c:v>
                </c:pt>
                <c:pt idx="6">
                  <c:v>20000</c:v>
                </c:pt>
                <c:pt idx="7">
                  <c:v>30000</c:v>
                </c:pt>
                <c:pt idx="8">
                  <c:v>50000</c:v>
                </c:pt>
              </c:numCache>
            </c:numRef>
          </c:cat>
          <c:val>
            <c:numRef>
              <c:f>'[1]Rate Comparison'!$I$18:$I$26</c:f>
              <c:numCache>
                <c:ptCount val="9"/>
                <c:pt idx="0">
                  <c:v>0.09174000000000002</c:v>
                </c:pt>
                <c:pt idx="1">
                  <c:v>0.08574000000000001</c:v>
                </c:pt>
                <c:pt idx="2">
                  <c:v>0.08274000000000001</c:v>
                </c:pt>
                <c:pt idx="3">
                  <c:v>0.08314370370370372</c:v>
                </c:pt>
                <c:pt idx="4">
                  <c:v>0.08954370370370372</c:v>
                </c:pt>
                <c:pt idx="5">
                  <c:v>0.09167703703703704</c:v>
                </c:pt>
                <c:pt idx="6">
                  <c:v>0.09274370370370372</c:v>
                </c:pt>
                <c:pt idx="7">
                  <c:v>0.09381037037037038</c:v>
                </c:pt>
                <c:pt idx="8">
                  <c:v>0.09466370370370372</c:v>
                </c:pt>
              </c:numCache>
            </c:numRef>
          </c:val>
          <c:smooth val="0"/>
        </c:ser>
        <c:ser>
          <c:idx val="1"/>
          <c:order val="1"/>
          <c:tx>
            <c:v>60% Load Factor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'[1]Rate Comparison'!$A$18:$A$26</c:f>
              <c:numCache>
                <c:ptCount val="9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5000</c:v>
                </c:pt>
                <c:pt idx="4">
                  <c:v>10000</c:v>
                </c:pt>
                <c:pt idx="5">
                  <c:v>15000</c:v>
                </c:pt>
                <c:pt idx="6">
                  <c:v>20000</c:v>
                </c:pt>
                <c:pt idx="7">
                  <c:v>30000</c:v>
                </c:pt>
                <c:pt idx="8">
                  <c:v>50000</c:v>
                </c:pt>
              </c:numCache>
            </c:numRef>
          </c:cat>
          <c:val>
            <c:numRef>
              <c:f>'[1]Rate Comparison'!$J$18:$J$26</c:f>
              <c:numCache>
                <c:ptCount val="9"/>
                <c:pt idx="0">
                  <c:v>0.09174000000000002</c:v>
                </c:pt>
                <c:pt idx="1">
                  <c:v>0.08574000000000001</c:v>
                </c:pt>
                <c:pt idx="2">
                  <c:v>0.08274000000000001</c:v>
                </c:pt>
                <c:pt idx="3">
                  <c:v>0.08094000000000001</c:v>
                </c:pt>
                <c:pt idx="4">
                  <c:v>0.08144185185185186</c:v>
                </c:pt>
                <c:pt idx="5">
                  <c:v>0.0835751851851852</c:v>
                </c:pt>
                <c:pt idx="6">
                  <c:v>0.08464185185185186</c:v>
                </c:pt>
                <c:pt idx="7">
                  <c:v>0.08570851851851853</c:v>
                </c:pt>
                <c:pt idx="8">
                  <c:v>0.08656185185185186</c:v>
                </c:pt>
              </c:numCache>
            </c:numRef>
          </c:val>
          <c:smooth val="0"/>
        </c:ser>
        <c:ser>
          <c:idx val="2"/>
          <c:order val="2"/>
          <c:tx>
            <c:v>Alternative 30%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'[1]Rate Comparison'!$I$61:$I$69</c:f>
              <c:numCache>
                <c:ptCount val="9"/>
                <c:pt idx="0">
                  <c:v>0.09252671452137867</c:v>
                </c:pt>
                <c:pt idx="1">
                  <c:v>0.08652671452137868</c:v>
                </c:pt>
                <c:pt idx="2">
                  <c:v>0.08352671452137868</c:v>
                </c:pt>
                <c:pt idx="3">
                  <c:v>0.08282507532080664</c:v>
                </c:pt>
                <c:pt idx="4">
                  <c:v>0.08701438951225517</c:v>
                </c:pt>
                <c:pt idx="5">
                  <c:v>0.08841082757607134</c:v>
                </c:pt>
                <c:pt idx="6">
                  <c:v>0.08910904660797944</c:v>
                </c:pt>
                <c:pt idx="7">
                  <c:v>0.08980726563988753</c:v>
                </c:pt>
                <c:pt idx="8">
                  <c:v>0.090365840865414</c:v>
                </c:pt>
              </c:numCache>
            </c:numRef>
          </c:val>
          <c:smooth val="0"/>
        </c:ser>
        <c:ser>
          <c:idx val="3"/>
          <c:order val="3"/>
          <c:tx>
            <c:v>Alternative 60%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'[1]Rate Comparison'!$J$61:$J$69</c:f>
              <c:numCache>
                <c:ptCount val="9"/>
                <c:pt idx="0">
                  <c:v>0.09252671452137867</c:v>
                </c:pt>
                <c:pt idx="1">
                  <c:v>0.08652671452137868</c:v>
                </c:pt>
                <c:pt idx="2">
                  <c:v>0.08352671452137868</c:v>
                </c:pt>
                <c:pt idx="3">
                  <c:v>0.08062137161710295</c:v>
                </c:pt>
                <c:pt idx="4">
                  <c:v>0.07891253766040332</c:v>
                </c:pt>
                <c:pt idx="5">
                  <c:v>0.0803089757242195</c:v>
                </c:pt>
                <c:pt idx="6">
                  <c:v>0.08100719475612758</c:v>
                </c:pt>
                <c:pt idx="7">
                  <c:v>0.08170541378803568</c:v>
                </c:pt>
                <c:pt idx="8">
                  <c:v>0.08226398901356215</c:v>
                </c:pt>
              </c:numCache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  <c:min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$/kWh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Avista Schedule 11 Rate Inversion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30% Load Factor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'[1]Rate Comparison'!$A$18:$A$26</c:f>
              <c:numCache>
                <c:ptCount val="9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5000</c:v>
                </c:pt>
                <c:pt idx="4">
                  <c:v>10000</c:v>
                </c:pt>
                <c:pt idx="5">
                  <c:v>15000</c:v>
                </c:pt>
                <c:pt idx="6">
                  <c:v>20000</c:v>
                </c:pt>
                <c:pt idx="7">
                  <c:v>30000</c:v>
                </c:pt>
                <c:pt idx="8">
                  <c:v>50000</c:v>
                </c:pt>
              </c:numCache>
            </c:numRef>
          </c:cat>
          <c:val>
            <c:numRef>
              <c:f>'[1]Rate Comparison'!$I$18:$I$26</c:f>
              <c:numCache>
                <c:ptCount val="9"/>
                <c:pt idx="0">
                  <c:v>0.09174000000000002</c:v>
                </c:pt>
                <c:pt idx="1">
                  <c:v>0.08574000000000001</c:v>
                </c:pt>
                <c:pt idx="2">
                  <c:v>0.08274000000000001</c:v>
                </c:pt>
                <c:pt idx="3">
                  <c:v>0.08314370370370372</c:v>
                </c:pt>
                <c:pt idx="4">
                  <c:v>0.08954370370370372</c:v>
                </c:pt>
                <c:pt idx="5">
                  <c:v>0.09167703703703704</c:v>
                </c:pt>
                <c:pt idx="6">
                  <c:v>0.09274370370370372</c:v>
                </c:pt>
                <c:pt idx="7">
                  <c:v>0.09381037037037038</c:v>
                </c:pt>
                <c:pt idx="8">
                  <c:v>0.09466370370370372</c:v>
                </c:pt>
              </c:numCache>
            </c:numRef>
          </c:val>
          <c:smooth val="0"/>
        </c:ser>
        <c:ser>
          <c:idx val="1"/>
          <c:order val="1"/>
          <c:tx>
            <c:v>60% Load Factor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'[1]Rate Comparison'!$A$18:$A$26</c:f>
              <c:numCache>
                <c:ptCount val="9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5000</c:v>
                </c:pt>
                <c:pt idx="4">
                  <c:v>10000</c:v>
                </c:pt>
                <c:pt idx="5">
                  <c:v>15000</c:v>
                </c:pt>
                <c:pt idx="6">
                  <c:v>20000</c:v>
                </c:pt>
                <c:pt idx="7">
                  <c:v>30000</c:v>
                </c:pt>
                <c:pt idx="8">
                  <c:v>50000</c:v>
                </c:pt>
              </c:numCache>
            </c:numRef>
          </c:cat>
          <c:val>
            <c:numRef>
              <c:f>'[1]Rate Comparison'!$J$18:$J$26</c:f>
              <c:numCache>
                <c:ptCount val="9"/>
                <c:pt idx="0">
                  <c:v>0.09174000000000002</c:v>
                </c:pt>
                <c:pt idx="1">
                  <c:v>0.08574000000000001</c:v>
                </c:pt>
                <c:pt idx="2">
                  <c:v>0.08274000000000001</c:v>
                </c:pt>
                <c:pt idx="3">
                  <c:v>0.08094000000000001</c:v>
                </c:pt>
                <c:pt idx="4">
                  <c:v>0.08144185185185186</c:v>
                </c:pt>
                <c:pt idx="5">
                  <c:v>0.0835751851851852</c:v>
                </c:pt>
                <c:pt idx="6">
                  <c:v>0.08464185185185186</c:v>
                </c:pt>
                <c:pt idx="7">
                  <c:v>0.08570851851851853</c:v>
                </c:pt>
                <c:pt idx="8">
                  <c:v>0.08656185185185186</c:v>
                </c:pt>
              </c:numCache>
            </c:numRef>
          </c:val>
          <c:smooth val="0"/>
        </c:ser>
        <c:ser>
          <c:idx val="2"/>
          <c:order val="2"/>
          <c:tx>
            <c:v>Alternative 30%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'[1]Rate Comparison'!$I$61:$I$69</c:f>
              <c:numCache>
                <c:ptCount val="9"/>
                <c:pt idx="0">
                  <c:v>0.09252671452137867</c:v>
                </c:pt>
                <c:pt idx="1">
                  <c:v>0.08652671452137868</c:v>
                </c:pt>
                <c:pt idx="2">
                  <c:v>0.08352671452137868</c:v>
                </c:pt>
                <c:pt idx="3">
                  <c:v>0.08282507532080664</c:v>
                </c:pt>
                <c:pt idx="4">
                  <c:v>0.08701438951225517</c:v>
                </c:pt>
                <c:pt idx="5">
                  <c:v>0.08841082757607134</c:v>
                </c:pt>
                <c:pt idx="6">
                  <c:v>0.08910904660797944</c:v>
                </c:pt>
                <c:pt idx="7">
                  <c:v>0.08980726563988753</c:v>
                </c:pt>
                <c:pt idx="8">
                  <c:v>0.090365840865414</c:v>
                </c:pt>
              </c:numCache>
            </c:numRef>
          </c:val>
          <c:smooth val="0"/>
        </c:ser>
        <c:ser>
          <c:idx val="3"/>
          <c:order val="3"/>
          <c:tx>
            <c:v>Alternative 60%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'[1]Rate Comparison'!$J$61:$J$69</c:f>
              <c:numCache>
                <c:ptCount val="9"/>
                <c:pt idx="0">
                  <c:v>0.09252671452137867</c:v>
                </c:pt>
                <c:pt idx="1">
                  <c:v>0.08652671452137868</c:v>
                </c:pt>
                <c:pt idx="2">
                  <c:v>0.08352671452137868</c:v>
                </c:pt>
                <c:pt idx="3">
                  <c:v>0.08062137161710295</c:v>
                </c:pt>
                <c:pt idx="4">
                  <c:v>0.07891253766040332</c:v>
                </c:pt>
                <c:pt idx="5">
                  <c:v>0.0803089757242195</c:v>
                </c:pt>
                <c:pt idx="6">
                  <c:v>0.08100719475612758</c:v>
                </c:pt>
                <c:pt idx="7">
                  <c:v>0.08170541378803568</c:v>
                </c:pt>
                <c:pt idx="8">
                  <c:v>0.08226398901356215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  <c:min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$/kWh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31</xdr:row>
      <xdr:rowOff>0</xdr:rowOff>
    </xdr:from>
    <xdr:to>
      <xdr:col>7</xdr:col>
      <xdr:colOff>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71550" y="5543550"/>
        <a:ext cx="4171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28</xdr:row>
      <xdr:rowOff>0</xdr:rowOff>
    </xdr:from>
    <xdr:to>
      <xdr:col>7</xdr:col>
      <xdr:colOff>476250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971550" y="5057775"/>
        <a:ext cx="46482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ses\UE\UE-050482%20&amp;%20UG-050483%20-%20Avista%20Electric%20&amp;%20Gas%20GRC%202005\Testimony%20&amp;%20Exhibits\Public%20Counsel\Lazar%20draft%20testimony%20and%20exhibits\schedule%2011%20rate%20desi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 Comparison"/>
      <sheetName val="Development of Alternative"/>
      <sheetName val="Sheet3"/>
    </sheetNames>
    <sheetDataSet>
      <sheetData sheetId="0">
        <row r="18">
          <cell r="A18">
            <v>500</v>
          </cell>
          <cell r="I18">
            <v>0.09174000000000002</v>
          </cell>
          <cell r="J18">
            <v>0.09174000000000002</v>
          </cell>
        </row>
        <row r="19">
          <cell r="A19">
            <v>1000</v>
          </cell>
          <cell r="I19">
            <v>0.08574000000000001</v>
          </cell>
          <cell r="J19">
            <v>0.08574000000000001</v>
          </cell>
        </row>
        <row r="20">
          <cell r="A20">
            <v>2000</v>
          </cell>
          <cell r="I20">
            <v>0.08274000000000001</v>
          </cell>
          <cell r="J20">
            <v>0.08274000000000001</v>
          </cell>
        </row>
        <row r="21">
          <cell r="A21">
            <v>5000</v>
          </cell>
          <cell r="I21">
            <v>0.08314370370370372</v>
          </cell>
          <cell r="J21">
            <v>0.08094000000000001</v>
          </cell>
        </row>
        <row r="22">
          <cell r="A22">
            <v>10000</v>
          </cell>
          <cell r="I22">
            <v>0.08954370370370372</v>
          </cell>
          <cell r="J22">
            <v>0.08144185185185186</v>
          </cell>
        </row>
        <row r="23">
          <cell r="A23">
            <v>15000</v>
          </cell>
          <cell r="I23">
            <v>0.09167703703703704</v>
          </cell>
          <cell r="J23">
            <v>0.0835751851851852</v>
          </cell>
        </row>
        <row r="24">
          <cell r="A24">
            <v>20000</v>
          </cell>
          <cell r="I24">
            <v>0.09274370370370372</v>
          </cell>
          <cell r="J24">
            <v>0.08464185185185186</v>
          </cell>
        </row>
        <row r="25">
          <cell r="A25">
            <v>30000</v>
          </cell>
          <cell r="I25">
            <v>0.09381037037037038</v>
          </cell>
          <cell r="J25">
            <v>0.08570851851851853</v>
          </cell>
        </row>
        <row r="26">
          <cell r="A26">
            <v>50000</v>
          </cell>
          <cell r="I26">
            <v>0.09466370370370372</v>
          </cell>
          <cell r="J26">
            <v>0.08656185185185186</v>
          </cell>
        </row>
        <row r="61">
          <cell r="I61">
            <v>0.09252671452137867</v>
          </cell>
          <cell r="J61">
            <v>0.09252671452137867</v>
          </cell>
        </row>
        <row r="62">
          <cell r="I62">
            <v>0.08652671452137868</v>
          </cell>
          <cell r="J62">
            <v>0.08652671452137868</v>
          </cell>
        </row>
        <row r="63">
          <cell r="I63">
            <v>0.08352671452137868</v>
          </cell>
          <cell r="J63">
            <v>0.08352671452137868</v>
          </cell>
        </row>
        <row r="64">
          <cell r="I64">
            <v>0.08282507532080664</v>
          </cell>
          <cell r="J64">
            <v>0.08062137161710295</v>
          </cell>
        </row>
        <row r="65">
          <cell r="I65">
            <v>0.08701438951225517</v>
          </cell>
          <cell r="J65">
            <v>0.07891253766040332</v>
          </cell>
        </row>
        <row r="66">
          <cell r="I66">
            <v>0.08841082757607134</v>
          </cell>
          <cell r="J66">
            <v>0.0803089757242195</v>
          </cell>
        </row>
        <row r="67">
          <cell r="I67">
            <v>0.08910904660797944</v>
          </cell>
          <cell r="J67">
            <v>0.08100719475612758</v>
          </cell>
        </row>
        <row r="68">
          <cell r="I68">
            <v>0.08980726563988753</v>
          </cell>
          <cell r="J68">
            <v>0.08170541378803568</v>
          </cell>
        </row>
        <row r="69">
          <cell r="I69">
            <v>0.090365840865414</v>
          </cell>
          <cell r="J69">
            <v>0.08226398901356215</v>
          </cell>
        </row>
      </sheetData>
      <sheetData sheetId="1">
        <row r="10">
          <cell r="H10">
            <v>6</v>
          </cell>
        </row>
        <row r="11">
          <cell r="H11">
            <v>0.08052671452137868</v>
          </cell>
        </row>
        <row r="12">
          <cell r="H12">
            <v>0.075</v>
          </cell>
        </row>
        <row r="14">
          <cell r="H14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0"/>
    </sheetView>
  </sheetViews>
  <sheetFormatPr defaultColWidth="9.140625" defaultRowHeight="12.75"/>
  <cols>
    <col min="4" max="4" width="16.57421875" style="0" bestFit="1" customWidth="1"/>
  </cols>
  <sheetData>
    <row r="1" ht="12.75">
      <c r="A1" t="s">
        <v>148</v>
      </c>
    </row>
    <row r="4" ht="12.75">
      <c r="A4" t="s">
        <v>149</v>
      </c>
    </row>
    <row r="6" spans="2:4" ht="12.75">
      <c r="B6" t="s">
        <v>150</v>
      </c>
      <c r="D6" s="117">
        <v>11733000</v>
      </c>
    </row>
    <row r="7" ht="12.75">
      <c r="D7" s="117"/>
    </row>
    <row r="8" spans="2:4" ht="12.75">
      <c r="B8" t="s">
        <v>151</v>
      </c>
      <c r="D8" s="117">
        <f>+D6/2</f>
        <v>5866500</v>
      </c>
    </row>
    <row r="9" ht="12.75">
      <c r="D9" s="117"/>
    </row>
    <row r="10" spans="2:4" ht="12.75">
      <c r="B10" t="s">
        <v>152</v>
      </c>
      <c r="D10" s="117">
        <f>+D6-D8</f>
        <v>5866500</v>
      </c>
    </row>
    <row r="11" ht="12.75">
      <c r="D11" s="117"/>
    </row>
    <row r="12" ht="12.75">
      <c r="D12" s="117"/>
    </row>
    <row r="13" ht="12.75">
      <c r="D13" s="117"/>
    </row>
    <row r="14" spans="1:4" ht="12.75">
      <c r="A14" t="s">
        <v>153</v>
      </c>
      <c r="D14" s="117"/>
    </row>
    <row r="15" ht="12.75">
      <c r="D15" s="117"/>
    </row>
    <row r="16" spans="2:4" ht="12.75">
      <c r="B16" t="s">
        <v>150</v>
      </c>
      <c r="D16" s="117">
        <v>218000</v>
      </c>
    </row>
    <row r="17" ht="12.75">
      <c r="D17" s="1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1">
      <selection activeCell="H31" sqref="H31"/>
    </sheetView>
  </sheetViews>
  <sheetFormatPr defaultColWidth="9.140625" defaultRowHeight="12.75"/>
  <cols>
    <col min="1" max="1" width="27.00390625" style="0" customWidth="1"/>
    <col min="2" max="2" width="13.421875" style="0" customWidth="1"/>
    <col min="3" max="7" width="13.00390625" style="0" customWidth="1"/>
    <col min="8" max="8" width="16.140625" style="0" customWidth="1"/>
  </cols>
  <sheetData>
    <row r="1" spans="1:8" ht="23.25">
      <c r="A1" s="31" t="s">
        <v>23</v>
      </c>
      <c r="H1" t="s">
        <v>85</v>
      </c>
    </row>
    <row r="4" ht="13.5" thickBot="1"/>
    <row r="5" spans="1:8" ht="12.75">
      <c r="A5" s="30" t="s">
        <v>21</v>
      </c>
      <c r="B5" s="28" t="s">
        <v>6</v>
      </c>
      <c r="C5" s="28" t="s">
        <v>7</v>
      </c>
      <c r="D5" s="28" t="s">
        <v>8</v>
      </c>
      <c r="E5" s="28" t="s">
        <v>9</v>
      </c>
      <c r="F5" s="28" t="s">
        <v>10</v>
      </c>
      <c r="G5" s="28" t="s">
        <v>11</v>
      </c>
      <c r="H5" s="29" t="s">
        <v>12</v>
      </c>
    </row>
    <row r="6" spans="1:8" ht="12.75">
      <c r="A6" s="12"/>
      <c r="B6" s="1"/>
      <c r="C6" s="1"/>
      <c r="D6" s="1"/>
      <c r="E6" s="1"/>
      <c r="F6" s="1"/>
      <c r="G6" s="1"/>
      <c r="H6" s="14"/>
    </row>
    <row r="7" spans="1:8" ht="12.75">
      <c r="A7" s="12" t="s">
        <v>13</v>
      </c>
      <c r="B7" s="3">
        <v>122064000</v>
      </c>
      <c r="C7" s="3">
        <v>29421000</v>
      </c>
      <c r="D7" s="3">
        <v>89467000</v>
      </c>
      <c r="E7" s="3">
        <v>34839000</v>
      </c>
      <c r="F7" s="3">
        <v>6069000</v>
      </c>
      <c r="G7" s="3">
        <v>4291000</v>
      </c>
      <c r="H7" s="13">
        <f>SUM(B7:G7)</f>
        <v>286151000</v>
      </c>
    </row>
    <row r="8" spans="1:8" ht="12.75">
      <c r="A8" s="12"/>
      <c r="B8" s="3"/>
      <c r="C8" s="3"/>
      <c r="D8" s="3"/>
      <c r="E8" s="3"/>
      <c r="F8" s="3"/>
      <c r="G8" s="3"/>
      <c r="H8" s="13"/>
    </row>
    <row r="9" spans="1:8" ht="12.75">
      <c r="A9" s="12" t="s">
        <v>14</v>
      </c>
      <c r="B9" s="3">
        <v>137525486</v>
      </c>
      <c r="C9" s="3">
        <v>23198475</v>
      </c>
      <c r="D9" s="3">
        <v>76919705</v>
      </c>
      <c r="E9" s="3">
        <v>38414528</v>
      </c>
      <c r="F9" s="3">
        <v>5972792</v>
      </c>
      <c r="G9" s="3">
        <v>4120014</v>
      </c>
      <c r="H9" s="13">
        <f>SUM(B9:G9)</f>
        <v>286151000</v>
      </c>
    </row>
    <row r="10" spans="1:8" ht="12.75">
      <c r="A10" s="12"/>
      <c r="B10" s="1"/>
      <c r="C10" s="1"/>
      <c r="D10" s="1"/>
      <c r="E10" s="1"/>
      <c r="F10" s="1"/>
      <c r="G10" s="1"/>
      <c r="H10" s="14"/>
    </row>
    <row r="11" spans="1:8" ht="13.5" thickBot="1">
      <c r="A11" s="25" t="s">
        <v>15</v>
      </c>
      <c r="B11" s="26">
        <f aca="true" t="shared" si="0" ref="B11:H11">+B7/B9</f>
        <v>0.8875736676182333</v>
      </c>
      <c r="C11" s="26">
        <f t="shared" si="0"/>
        <v>1.2682299159750803</v>
      </c>
      <c r="D11" s="26">
        <f t="shared" si="0"/>
        <v>1.1631219854522323</v>
      </c>
      <c r="E11" s="26">
        <f t="shared" si="0"/>
        <v>0.9069225059852356</v>
      </c>
      <c r="F11" s="26">
        <f t="shared" si="0"/>
        <v>1.016107709761197</v>
      </c>
      <c r="G11" s="26">
        <f t="shared" si="0"/>
        <v>1.0415013152867927</v>
      </c>
      <c r="H11" s="27">
        <f t="shared" si="0"/>
        <v>1</v>
      </c>
    </row>
    <row r="14" spans="1:8" ht="13.5" thickBot="1">
      <c r="A14" s="23" t="s">
        <v>25</v>
      </c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10</v>
      </c>
      <c r="G14" s="24" t="s">
        <v>11</v>
      </c>
      <c r="H14" s="24" t="s">
        <v>12</v>
      </c>
    </row>
    <row r="15" spans="1:8" ht="12.75">
      <c r="A15" s="18" t="s">
        <v>22</v>
      </c>
      <c r="B15" s="19"/>
      <c r="C15" s="19"/>
      <c r="D15" s="19"/>
      <c r="E15" s="19"/>
      <c r="F15" s="19"/>
      <c r="G15" s="19"/>
      <c r="H15" s="20"/>
    </row>
    <row r="16" spans="1:8" ht="12.75">
      <c r="A16" s="12"/>
      <c r="B16" s="1"/>
      <c r="C16" s="1"/>
      <c r="D16" s="1"/>
      <c r="E16" s="1"/>
      <c r="F16" s="1"/>
      <c r="G16" s="1"/>
      <c r="H16" s="14"/>
    </row>
    <row r="17" spans="1:8" ht="12.75">
      <c r="A17" s="12" t="s">
        <v>13</v>
      </c>
      <c r="B17" s="3">
        <v>122064000</v>
      </c>
      <c r="C17" s="3">
        <v>29421000</v>
      </c>
      <c r="D17" s="3">
        <v>89467000</v>
      </c>
      <c r="E17" s="3">
        <v>34839000</v>
      </c>
      <c r="F17" s="3">
        <v>6069000</v>
      </c>
      <c r="G17" s="3">
        <v>4291000</v>
      </c>
      <c r="H17" s="13">
        <f>SUM(B17:G17)</f>
        <v>286151000</v>
      </c>
    </row>
    <row r="18" spans="1:8" ht="12.75">
      <c r="A18" s="12"/>
      <c r="B18" s="3"/>
      <c r="C18" s="3"/>
      <c r="D18" s="3"/>
      <c r="E18" s="3"/>
      <c r="F18" s="3"/>
      <c r="G18" s="3"/>
      <c r="H18" s="13"/>
    </row>
    <row r="19" spans="1:8" ht="12.75">
      <c r="A19" s="12" t="s">
        <v>14</v>
      </c>
      <c r="B19" s="3">
        <v>136057654</v>
      </c>
      <c r="C19" s="3">
        <v>23174691</v>
      </c>
      <c r="D19" s="3">
        <v>77791043</v>
      </c>
      <c r="E19" s="3">
        <v>38853971</v>
      </c>
      <c r="F19" s="3">
        <v>6094978</v>
      </c>
      <c r="G19" s="3">
        <v>4178662</v>
      </c>
      <c r="H19" s="13">
        <f>SUM(B19:G19)</f>
        <v>286150999</v>
      </c>
    </row>
    <row r="20" spans="1:8" ht="12.75">
      <c r="A20" s="12"/>
      <c r="B20" s="1"/>
      <c r="C20" s="1"/>
      <c r="D20" s="1"/>
      <c r="E20" s="1"/>
      <c r="F20" s="1"/>
      <c r="G20" s="1"/>
      <c r="H20" s="14"/>
    </row>
    <row r="21" spans="1:8" ht="13.5" thickBot="1">
      <c r="A21" s="25" t="s">
        <v>15</v>
      </c>
      <c r="B21" s="26">
        <f aca="true" t="shared" si="1" ref="B21:H21">+B17/B19</f>
        <v>0.8971490865188665</v>
      </c>
      <c r="C21" s="26">
        <f t="shared" si="1"/>
        <v>1.2695314901933321</v>
      </c>
      <c r="D21" s="26">
        <f t="shared" si="1"/>
        <v>1.1500938482082057</v>
      </c>
      <c r="E21" s="26">
        <f t="shared" si="1"/>
        <v>0.896665105350493</v>
      </c>
      <c r="F21" s="26">
        <f t="shared" si="1"/>
        <v>0.995737802499041</v>
      </c>
      <c r="G21" s="26">
        <f t="shared" si="1"/>
        <v>1.0268837249818243</v>
      </c>
      <c r="H21" s="27">
        <f t="shared" si="1"/>
        <v>1.0000000034946583</v>
      </c>
    </row>
    <row r="23" ht="12.75">
      <c r="A23" t="s">
        <v>26</v>
      </c>
    </row>
    <row r="24" ht="12.75">
      <c r="A24" t="s">
        <v>27</v>
      </c>
    </row>
    <row r="31" spans="7:8" ht="12.75">
      <c r="G31" s="32"/>
      <c r="H31" t="s">
        <v>96</v>
      </c>
    </row>
    <row r="32" ht="20.25">
      <c r="A32" s="84" t="s">
        <v>148</v>
      </c>
    </row>
    <row r="35" ht="12.75">
      <c r="A35" t="s">
        <v>149</v>
      </c>
    </row>
    <row r="37" spans="2:4" ht="12.75">
      <c r="B37" t="s">
        <v>150</v>
      </c>
      <c r="D37" s="117">
        <v>11733</v>
      </c>
    </row>
    <row r="38" ht="12.75">
      <c r="D38" s="117"/>
    </row>
    <row r="39" spans="2:5" ht="12.75">
      <c r="B39" t="s">
        <v>151</v>
      </c>
      <c r="D39" s="117">
        <f>+D37/2</f>
        <v>5866.5</v>
      </c>
      <c r="E39" t="s">
        <v>154</v>
      </c>
    </row>
    <row r="40" ht="12.75">
      <c r="D40" s="117"/>
    </row>
    <row r="41" spans="2:4" ht="12.75">
      <c r="B41" t="s">
        <v>152</v>
      </c>
      <c r="D41" s="117">
        <f>+D37-D39</f>
        <v>5866.5</v>
      </c>
    </row>
  </sheetData>
  <printOptions/>
  <pageMargins left="0.75" right="0.75" top="1.25" bottom="1" header="1" footer="0.5"/>
  <pageSetup horizontalDpi="600" verticalDpi="600" orientation="landscape" r:id="rId1"/>
  <headerFooter alignWithMargins="0">
    <oddHeader>&amp;RDocket No. UE-050482 and UG-050483
Exhibit No. ______ (JL-4)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C1">
      <selection activeCell="H1" sqref="H1"/>
    </sheetView>
  </sheetViews>
  <sheetFormatPr defaultColWidth="9.140625" defaultRowHeight="12.75"/>
  <cols>
    <col min="1" max="1" width="35.28125" style="0" customWidth="1"/>
    <col min="2" max="2" width="16.00390625" style="0" bestFit="1" customWidth="1"/>
    <col min="3" max="7" width="12.57421875" style="0" customWidth="1"/>
    <col min="8" max="8" width="13.57421875" style="0" customWidth="1"/>
  </cols>
  <sheetData>
    <row r="1" spans="1:8" ht="23.25">
      <c r="A1" s="31" t="s">
        <v>28</v>
      </c>
      <c r="H1" t="s">
        <v>24</v>
      </c>
    </row>
    <row r="2" ht="12.75">
      <c r="A2" t="s">
        <v>35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3.5" thickBot="1"/>
    <row r="8" spans="1:8" ht="13.5" thickBot="1">
      <c r="A8" s="41" t="s">
        <v>32</v>
      </c>
      <c r="B8" s="42" t="s">
        <v>6</v>
      </c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3" t="s">
        <v>12</v>
      </c>
    </row>
    <row r="9" spans="1:8" ht="12.75">
      <c r="A9" s="38" t="s">
        <v>3</v>
      </c>
      <c r="B9" s="39">
        <v>122064</v>
      </c>
      <c r="C9" s="39">
        <v>29421</v>
      </c>
      <c r="D9" s="39">
        <v>89467</v>
      </c>
      <c r="E9" s="39">
        <v>34839</v>
      </c>
      <c r="F9" s="39">
        <v>6068</v>
      </c>
      <c r="G9" s="39">
        <v>4291</v>
      </c>
      <c r="H9" s="40">
        <f>SUM(B9:G9)</f>
        <v>286150</v>
      </c>
    </row>
    <row r="10" spans="1:8" ht="12.75">
      <c r="A10" s="12" t="s">
        <v>0</v>
      </c>
      <c r="B10" s="3">
        <v>17482</v>
      </c>
      <c r="C10" s="3">
        <v>2599</v>
      </c>
      <c r="D10" s="3">
        <v>9400</v>
      </c>
      <c r="E10" s="3">
        <v>4626</v>
      </c>
      <c r="F10" s="3">
        <v>726</v>
      </c>
      <c r="G10" s="3">
        <v>470</v>
      </c>
      <c r="H10" s="13">
        <f>SUM(B10:G10)</f>
        <v>35303</v>
      </c>
    </row>
    <row r="11" spans="1:8" ht="12.75">
      <c r="A11" s="12" t="s">
        <v>1</v>
      </c>
      <c r="B11" s="3">
        <f aca="true" t="shared" si="0" ref="B11:H11">+B10+B9</f>
        <v>139546</v>
      </c>
      <c r="C11" s="3">
        <f t="shared" si="0"/>
        <v>32020</v>
      </c>
      <c r="D11" s="3">
        <f t="shared" si="0"/>
        <v>98867</v>
      </c>
      <c r="E11" s="3">
        <f t="shared" si="0"/>
        <v>39465</v>
      </c>
      <c r="F11" s="3">
        <f t="shared" si="0"/>
        <v>6794</v>
      </c>
      <c r="G11" s="3">
        <f t="shared" si="0"/>
        <v>4761</v>
      </c>
      <c r="H11" s="13">
        <f t="shared" si="0"/>
        <v>321453</v>
      </c>
    </row>
    <row r="12" spans="1:8" ht="12.75">
      <c r="A12" s="12" t="s">
        <v>2</v>
      </c>
      <c r="B12" s="4">
        <f>+B10/B9</f>
        <v>0.14321995019006423</v>
      </c>
      <c r="C12" s="4">
        <f aca="true" t="shared" si="1" ref="C12:H12">+C10/C9</f>
        <v>0.08833826178579926</v>
      </c>
      <c r="D12" s="4">
        <f t="shared" si="1"/>
        <v>0.10506667262789632</v>
      </c>
      <c r="E12" s="4">
        <f t="shared" si="1"/>
        <v>0.13278222681477655</v>
      </c>
      <c r="F12" s="4">
        <f t="shared" si="1"/>
        <v>0.11964403427818061</v>
      </c>
      <c r="G12" s="4">
        <f t="shared" si="1"/>
        <v>0.109531577720811</v>
      </c>
      <c r="H12" s="16">
        <f t="shared" si="1"/>
        <v>0.1233723571553381</v>
      </c>
    </row>
    <row r="13" spans="1:8" ht="12.75">
      <c r="A13" s="12" t="s">
        <v>4</v>
      </c>
      <c r="B13" s="5">
        <v>2205386</v>
      </c>
      <c r="C13" s="5">
        <v>371391</v>
      </c>
      <c r="D13" s="5">
        <v>1521166</v>
      </c>
      <c r="E13" s="5">
        <v>908595</v>
      </c>
      <c r="F13" s="5">
        <v>120125</v>
      </c>
      <c r="G13" s="5">
        <v>27362</v>
      </c>
      <c r="H13" s="35">
        <f>SUM(B13:G13)</f>
        <v>5154025</v>
      </c>
    </row>
    <row r="14" spans="1:8" ht="13.5" thickBot="1">
      <c r="A14" s="17" t="s">
        <v>5</v>
      </c>
      <c r="B14" s="36">
        <f>+B10/B13</f>
        <v>0.007926957004352073</v>
      </c>
      <c r="C14" s="36">
        <f aca="true" t="shared" si="2" ref="C14:H14">+C10/C13</f>
        <v>0.00699801556849789</v>
      </c>
      <c r="D14" s="36">
        <f t="shared" si="2"/>
        <v>0.006179470222184824</v>
      </c>
      <c r="E14" s="36">
        <f t="shared" si="2"/>
        <v>0.00509137734634243</v>
      </c>
      <c r="F14" s="36">
        <f t="shared" si="2"/>
        <v>0.006043704474505723</v>
      </c>
      <c r="G14" s="36">
        <f t="shared" si="2"/>
        <v>0.01717710693662744</v>
      </c>
      <c r="H14" s="37">
        <f t="shared" si="2"/>
        <v>0.0068495981296171436</v>
      </c>
    </row>
    <row r="16" ht="13.5" thickBot="1"/>
    <row r="17" spans="1:8" ht="12.75">
      <c r="A17" s="30" t="s">
        <v>36</v>
      </c>
      <c r="B17" s="19"/>
      <c r="C17" s="19"/>
      <c r="D17" s="19"/>
      <c r="E17" s="19"/>
      <c r="F17" s="19"/>
      <c r="G17" s="19"/>
      <c r="H17" s="20"/>
    </row>
    <row r="18" spans="1:8" ht="12.75">
      <c r="A18" s="12"/>
      <c r="B18" s="24" t="s">
        <v>6</v>
      </c>
      <c r="C18" s="24" t="s">
        <v>7</v>
      </c>
      <c r="D18" s="24" t="s">
        <v>8</v>
      </c>
      <c r="E18" s="24" t="s">
        <v>9</v>
      </c>
      <c r="F18" s="24" t="s">
        <v>10</v>
      </c>
      <c r="G18" s="24" t="s">
        <v>11</v>
      </c>
      <c r="H18" s="119" t="s">
        <v>12</v>
      </c>
    </row>
    <row r="19" spans="1:8" ht="12.75">
      <c r="A19" s="12" t="s">
        <v>34</v>
      </c>
      <c r="B19" s="2"/>
      <c r="C19" s="2"/>
      <c r="D19" s="2"/>
      <c r="E19" s="2"/>
      <c r="F19" s="2"/>
      <c r="G19" s="2"/>
      <c r="H19" s="118">
        <f>+'JL4 CostOfService'!D41</f>
        <v>5866.5</v>
      </c>
    </row>
    <row r="20" spans="1:8" ht="12.75">
      <c r="A20" s="12" t="s">
        <v>33</v>
      </c>
      <c r="B20" s="3"/>
      <c r="C20" s="3">
        <f>0.75*H26*C9</f>
        <v>452.3806478245675</v>
      </c>
      <c r="D20" s="3">
        <f>0.85*H26*D9</f>
        <v>1559.0754225930455</v>
      </c>
      <c r="E20" s="3"/>
      <c r="F20" s="3"/>
      <c r="G20" s="3"/>
      <c r="H20" s="13">
        <f>SUM(B20:G20)</f>
        <v>2011.4560704176129</v>
      </c>
    </row>
    <row r="21" spans="1:8" ht="12.75">
      <c r="A21" s="12" t="s">
        <v>16</v>
      </c>
      <c r="B21" s="1"/>
      <c r="C21" s="1"/>
      <c r="D21" s="1"/>
      <c r="E21" s="1"/>
      <c r="F21" s="1"/>
      <c r="G21" s="1"/>
      <c r="H21" s="15">
        <f>+H19-H20</f>
        <v>3855.043929582387</v>
      </c>
    </row>
    <row r="22" spans="1:8" ht="12.75">
      <c r="A22" s="12" t="s">
        <v>17</v>
      </c>
      <c r="B22" s="8">
        <f>+B9</f>
        <v>122064</v>
      </c>
      <c r="C22" s="1"/>
      <c r="D22" s="1"/>
      <c r="E22" s="8">
        <f>+E9</f>
        <v>34839</v>
      </c>
      <c r="F22" s="8">
        <f>+F9</f>
        <v>6068</v>
      </c>
      <c r="G22" s="8">
        <f>+G9</f>
        <v>4291</v>
      </c>
      <c r="H22" s="13">
        <f>SUM(B22:G22)</f>
        <v>167262</v>
      </c>
    </row>
    <row r="23" spans="1:8" ht="12.75">
      <c r="A23" s="12" t="s">
        <v>18</v>
      </c>
      <c r="B23" s="1"/>
      <c r="C23" s="1"/>
      <c r="D23" s="1"/>
      <c r="E23" s="1"/>
      <c r="F23" s="1"/>
      <c r="G23" s="1"/>
      <c r="H23" s="16">
        <f>+H21/H22</f>
        <v>0.02304793634885621</v>
      </c>
    </row>
    <row r="24" spans="1:8" ht="12.75">
      <c r="A24" s="12" t="s">
        <v>19</v>
      </c>
      <c r="B24" s="3">
        <f>+$H$23*B9</f>
        <v>2813.3233024867845</v>
      </c>
      <c r="C24" s="8">
        <f>+C20</f>
        <v>452.3806478245675</v>
      </c>
      <c r="D24" s="8">
        <f>+D20</f>
        <v>1559.0754225930455</v>
      </c>
      <c r="E24" s="3">
        <f>+$H$23*E9</f>
        <v>802.9670544578015</v>
      </c>
      <c r="F24" s="3">
        <f>+$H$23*F9</f>
        <v>139.85487776485948</v>
      </c>
      <c r="G24" s="3">
        <f>+$H$23*G9</f>
        <v>98.89869487294199</v>
      </c>
      <c r="H24" s="13">
        <f>SUM(B24:G24)</f>
        <v>5866.499999999999</v>
      </c>
    </row>
    <row r="25" spans="1:8" ht="12.75">
      <c r="A25" s="12" t="s">
        <v>39</v>
      </c>
      <c r="B25" s="44">
        <f aca="true" t="shared" si="3" ref="B25:H25">+B24/B13</f>
        <v>0.0012756602710304612</v>
      </c>
      <c r="C25" s="44">
        <f t="shared" si="3"/>
        <v>0.001218071110566943</v>
      </c>
      <c r="D25" s="44">
        <f t="shared" si="3"/>
        <v>0.0010249212923461645</v>
      </c>
      <c r="E25" s="44">
        <f t="shared" si="3"/>
        <v>0.0008837458432610806</v>
      </c>
      <c r="F25" s="44">
        <f t="shared" si="3"/>
        <v>0.001164244559957207</v>
      </c>
      <c r="G25" s="44">
        <f t="shared" si="3"/>
        <v>0.0036144541653732177</v>
      </c>
      <c r="H25" s="44">
        <f t="shared" si="3"/>
        <v>0.0011382366208933792</v>
      </c>
    </row>
    <row r="26" spans="1:8" ht="12.75">
      <c r="A26" s="45" t="s">
        <v>20</v>
      </c>
      <c r="B26" s="46">
        <f aca="true" t="shared" si="4" ref="B26:G26">+B24/B9</f>
        <v>0.02304793634885621</v>
      </c>
      <c r="C26" s="46">
        <f t="shared" si="4"/>
        <v>0.015376113926262449</v>
      </c>
      <c r="D26" s="46">
        <f t="shared" si="4"/>
        <v>0.01742626244976411</v>
      </c>
      <c r="E26" s="46">
        <f t="shared" si="4"/>
        <v>0.02304793634885621</v>
      </c>
      <c r="F26" s="46">
        <f t="shared" si="4"/>
        <v>0.02304793634885621</v>
      </c>
      <c r="G26" s="46">
        <f t="shared" si="4"/>
        <v>0.02304793634885621</v>
      </c>
      <c r="H26" s="47">
        <f>+H19/H9</f>
        <v>0.0205014852350166</v>
      </c>
    </row>
    <row r="27" spans="1:8" ht="12.75">
      <c r="A27" s="48"/>
      <c r="B27" s="49"/>
      <c r="C27" s="49"/>
      <c r="D27" s="49"/>
      <c r="E27" s="49"/>
      <c r="F27" s="49"/>
      <c r="G27" s="49"/>
      <c r="H27" s="50"/>
    </row>
    <row r="28" spans="1:8" ht="12.75">
      <c r="A28" s="48" t="s">
        <v>37</v>
      </c>
      <c r="B28" s="51">
        <f aca="true" t="shared" si="5" ref="B28:H28">+B24-B10</f>
        <v>-14668.676697513216</v>
      </c>
      <c r="C28" s="51">
        <f t="shared" si="5"/>
        <v>-2146.6193521754326</v>
      </c>
      <c r="D28" s="51">
        <f t="shared" si="5"/>
        <v>-7840.924577406955</v>
      </c>
      <c r="E28" s="51">
        <f t="shared" si="5"/>
        <v>-3823.0329455421984</v>
      </c>
      <c r="F28" s="51">
        <f t="shared" si="5"/>
        <v>-586.1451222351405</v>
      </c>
      <c r="G28" s="51">
        <f t="shared" si="5"/>
        <v>-371.101305127058</v>
      </c>
      <c r="H28" s="51">
        <f t="shared" si="5"/>
        <v>-29436.5</v>
      </c>
    </row>
    <row r="29" spans="1:8" ht="13.5" thickBot="1">
      <c r="A29" s="25" t="s">
        <v>38</v>
      </c>
      <c r="B29" s="52">
        <f aca="true" t="shared" si="6" ref="B29:H29">+B26-B12</f>
        <v>-0.12017201384120801</v>
      </c>
      <c r="C29" s="52">
        <f t="shared" si="6"/>
        <v>-0.07296214785953681</v>
      </c>
      <c r="D29" s="52">
        <f t="shared" si="6"/>
        <v>-0.0876404101781322</v>
      </c>
      <c r="E29" s="52">
        <f t="shared" si="6"/>
        <v>-0.10973429046592034</v>
      </c>
      <c r="F29" s="52">
        <f t="shared" si="6"/>
        <v>-0.0965960979293244</v>
      </c>
      <c r="G29" s="52">
        <f t="shared" si="6"/>
        <v>-0.08648364137195479</v>
      </c>
      <c r="H29" s="53">
        <f t="shared" si="6"/>
        <v>-0.1028708719203215</v>
      </c>
    </row>
  </sheetData>
  <printOptions/>
  <pageMargins left="0.57" right="0.56" top="1.25" bottom="1" header="1" footer="0.5"/>
  <pageSetup horizontalDpi="600" verticalDpi="600" orientation="landscape" r:id="rId1"/>
  <headerFooter alignWithMargins="0">
    <oddHeader>&amp;RDocket Nos. UE-050482 and UG-050483
Exhibit No. _____ (JL-5)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C25">
      <selection activeCell="K35" sqref="K35"/>
    </sheetView>
  </sheetViews>
  <sheetFormatPr defaultColWidth="9.140625" defaultRowHeight="12.75"/>
  <cols>
    <col min="2" max="2" width="10.7109375" style="0" bestFit="1" customWidth="1"/>
    <col min="3" max="3" width="13.421875" style="0" customWidth="1"/>
    <col min="4" max="4" width="14.8515625" style="0" customWidth="1"/>
    <col min="5" max="5" width="13.421875" style="0" customWidth="1"/>
    <col min="6" max="6" width="13.8515625" style="0" bestFit="1" customWidth="1"/>
    <col min="7" max="7" width="10.28125" style="0" customWidth="1"/>
    <col min="8" max="8" width="11.00390625" style="0" customWidth="1"/>
    <col min="9" max="9" width="9.140625" style="0" customWidth="1"/>
    <col min="10" max="10" width="8.57421875" style="0" customWidth="1"/>
    <col min="11" max="11" width="10.7109375" style="0" customWidth="1"/>
  </cols>
  <sheetData>
    <row r="1" spans="1:11" ht="23.25">
      <c r="A1" s="31" t="s">
        <v>77</v>
      </c>
      <c r="K1" t="s">
        <v>85</v>
      </c>
    </row>
    <row r="3" ht="18">
      <c r="A3" s="54" t="s">
        <v>79</v>
      </c>
    </row>
    <row r="4" ht="13.5" thickBot="1"/>
    <row r="5" spans="1:4" ht="12.75">
      <c r="A5" s="18"/>
      <c r="B5" s="19"/>
      <c r="C5" s="74" t="s">
        <v>41</v>
      </c>
      <c r="D5" s="75" t="s">
        <v>42</v>
      </c>
    </row>
    <row r="6" spans="1:4" ht="12.75">
      <c r="A6" s="12"/>
      <c r="B6" s="1"/>
      <c r="C6" s="1"/>
      <c r="D6" s="14"/>
    </row>
    <row r="7" spans="1:4" ht="12.75">
      <c r="A7" s="12" t="s">
        <v>47</v>
      </c>
      <c r="B7" s="1"/>
      <c r="C7" s="34">
        <v>5</v>
      </c>
      <c r="D7" s="78">
        <v>5</v>
      </c>
    </row>
    <row r="8" spans="1:4" ht="12.75">
      <c r="A8" s="12" t="s">
        <v>48</v>
      </c>
      <c r="B8" s="1"/>
      <c r="C8" s="6">
        <v>0.04522</v>
      </c>
      <c r="D8" s="71">
        <v>0.04633</v>
      </c>
    </row>
    <row r="9" spans="1:4" ht="12.75">
      <c r="A9" s="12" t="s">
        <v>49</v>
      </c>
      <c r="B9" s="1"/>
      <c r="C9" s="6">
        <v>0.05261</v>
      </c>
      <c r="D9" s="71">
        <v>0.05574</v>
      </c>
    </row>
    <row r="10" spans="1:4" ht="13.5" thickBot="1">
      <c r="A10" s="17" t="s">
        <v>50</v>
      </c>
      <c r="B10" s="72"/>
      <c r="C10" s="36">
        <v>0.06167</v>
      </c>
      <c r="D10" s="37">
        <v>0.06726</v>
      </c>
    </row>
    <row r="12" ht="18">
      <c r="A12" s="54" t="s">
        <v>80</v>
      </c>
    </row>
    <row r="13" ht="13.5" thickBot="1"/>
    <row r="14" spans="1:7" ht="25.5">
      <c r="A14" s="30" t="s">
        <v>95</v>
      </c>
      <c r="B14" s="93"/>
      <c r="C14" s="89" t="s">
        <v>43</v>
      </c>
      <c r="D14" s="89" t="s">
        <v>44</v>
      </c>
      <c r="E14" s="89"/>
      <c r="F14" s="89" t="s">
        <v>45</v>
      </c>
      <c r="G14" s="90" t="s">
        <v>46</v>
      </c>
    </row>
    <row r="15" spans="1:7" ht="12.75">
      <c r="A15" s="12"/>
      <c r="B15" s="1"/>
      <c r="C15" s="1"/>
      <c r="D15" s="1"/>
      <c r="E15" s="1"/>
      <c r="F15" s="1"/>
      <c r="G15" s="14"/>
    </row>
    <row r="16" spans="1:7" ht="12.75">
      <c r="A16" s="12" t="s">
        <v>47</v>
      </c>
      <c r="B16" s="1"/>
      <c r="C16" s="34">
        <v>5.5</v>
      </c>
      <c r="D16" s="34">
        <v>5.5</v>
      </c>
      <c r="E16" s="1"/>
      <c r="F16" s="4">
        <f aca="true" t="shared" si="0" ref="F16:G19">+C16/C7-1</f>
        <v>0.10000000000000009</v>
      </c>
      <c r="G16" s="16">
        <f t="shared" si="0"/>
        <v>0.10000000000000009</v>
      </c>
    </row>
    <row r="17" spans="1:7" ht="12.75">
      <c r="A17" s="12" t="s">
        <v>48</v>
      </c>
      <c r="B17" s="1"/>
      <c r="C17" s="6">
        <v>0.05264</v>
      </c>
      <c r="D17" s="6">
        <v>0.05375</v>
      </c>
      <c r="E17" s="1"/>
      <c r="F17" s="4">
        <f t="shared" si="0"/>
        <v>0.16408668730650144</v>
      </c>
      <c r="G17" s="16">
        <f t="shared" si="0"/>
        <v>0.16015540686380314</v>
      </c>
    </row>
    <row r="18" spans="1:7" ht="12.75">
      <c r="A18" s="12" t="s">
        <v>49</v>
      </c>
      <c r="B18" s="1"/>
      <c r="C18" s="6">
        <v>0.06003</v>
      </c>
      <c r="D18" s="6">
        <v>0.06316</v>
      </c>
      <c r="E18" s="1"/>
      <c r="F18" s="4">
        <f t="shared" si="0"/>
        <v>0.14103782550845856</v>
      </c>
      <c r="G18" s="16">
        <f t="shared" si="0"/>
        <v>0.13311804808037309</v>
      </c>
    </row>
    <row r="19" spans="1:7" ht="13.5" thickBot="1">
      <c r="A19" s="17" t="s">
        <v>50</v>
      </c>
      <c r="B19" s="72"/>
      <c r="C19" s="36">
        <v>0.06909</v>
      </c>
      <c r="D19" s="36">
        <v>0.07468</v>
      </c>
      <c r="E19" s="72"/>
      <c r="F19" s="76">
        <f t="shared" si="0"/>
        <v>0.12031782065834262</v>
      </c>
      <c r="G19" s="77">
        <f t="shared" si="0"/>
        <v>0.11031816830211105</v>
      </c>
    </row>
    <row r="21" ht="18">
      <c r="A21" s="54" t="s">
        <v>81</v>
      </c>
    </row>
    <row r="22" ht="13.5" thickBot="1"/>
    <row r="23" spans="1:8" ht="25.5">
      <c r="A23" s="30" t="s">
        <v>95</v>
      </c>
      <c r="B23" s="93"/>
      <c r="C23" s="89" t="s">
        <v>41</v>
      </c>
      <c r="D23" s="89" t="s">
        <v>53</v>
      </c>
      <c r="E23" s="89" t="s">
        <v>82</v>
      </c>
      <c r="F23" s="89" t="s">
        <v>83</v>
      </c>
      <c r="G23" s="89" t="s">
        <v>58</v>
      </c>
      <c r="H23" s="90" t="s">
        <v>84</v>
      </c>
    </row>
    <row r="24" spans="1:8" ht="12.75">
      <c r="A24" s="12"/>
      <c r="B24" s="1"/>
      <c r="C24" s="1"/>
      <c r="D24" s="1"/>
      <c r="E24" s="1"/>
      <c r="F24" s="3"/>
      <c r="G24" s="1"/>
      <c r="H24" s="14"/>
    </row>
    <row r="25" spans="1:8" ht="12.75">
      <c r="A25" s="12" t="s">
        <v>47</v>
      </c>
      <c r="B25" s="1"/>
      <c r="C25" s="34">
        <v>5</v>
      </c>
      <c r="D25" s="5">
        <f>+ResRatesWP!C20</f>
        <v>2235890</v>
      </c>
      <c r="E25" s="66">
        <f>+D25*C25</f>
        <v>11179450</v>
      </c>
      <c r="F25" s="3">
        <v>0</v>
      </c>
      <c r="G25" s="34">
        <f>+F25/D25</f>
        <v>0</v>
      </c>
      <c r="H25" s="70">
        <f>+G25+C25</f>
        <v>5</v>
      </c>
    </row>
    <row r="26" spans="1:8" ht="12.75">
      <c r="A26" s="12" t="s">
        <v>48</v>
      </c>
      <c r="B26" s="1"/>
      <c r="C26" s="6">
        <v>0.04522</v>
      </c>
      <c r="D26" s="5">
        <f>+ResRatesWP!C21</f>
        <v>1158260171</v>
      </c>
      <c r="E26" s="66">
        <f>+D26*C26</f>
        <v>52376524.932620004</v>
      </c>
      <c r="F26" s="3">
        <v>0</v>
      </c>
      <c r="G26" s="34">
        <f>+F26/D26</f>
        <v>0</v>
      </c>
      <c r="H26" s="71">
        <f>+G26+C26</f>
        <v>0.04522</v>
      </c>
    </row>
    <row r="27" spans="1:8" ht="12.75">
      <c r="A27" s="12" t="s">
        <v>49</v>
      </c>
      <c r="B27" s="1"/>
      <c r="C27" s="6">
        <v>0.05261</v>
      </c>
      <c r="D27" s="5">
        <f>+ResRatesWP!C22</f>
        <v>659513997</v>
      </c>
      <c r="E27" s="66">
        <f>+D27*C27</f>
        <v>34697031.38217</v>
      </c>
      <c r="F27" s="3">
        <f>+F30/2</f>
        <v>1406661.6512433924</v>
      </c>
      <c r="G27" s="6">
        <f>+F27/D27</f>
        <v>0.0021328761142932837</v>
      </c>
      <c r="H27" s="71">
        <f>+G27+C27</f>
        <v>0.05474287611429328</v>
      </c>
    </row>
    <row r="28" spans="1:8" ht="12.75">
      <c r="A28" s="12" t="s">
        <v>50</v>
      </c>
      <c r="B28" s="1"/>
      <c r="C28" s="6">
        <v>0.06167</v>
      </c>
      <c r="D28" s="5">
        <f>+ResRatesWP!C23</f>
        <v>376142213</v>
      </c>
      <c r="E28" s="66">
        <f>+D28*C28</f>
        <v>23196690.27571</v>
      </c>
      <c r="F28" s="3">
        <f>+F27</f>
        <v>1406661.6512433924</v>
      </c>
      <c r="G28" s="6">
        <f>+F28/D28</f>
        <v>0.0037397069582386713</v>
      </c>
      <c r="H28" s="71">
        <f>+G28+C28</f>
        <v>0.06540970695823867</v>
      </c>
    </row>
    <row r="29" spans="1:8" ht="12.75">
      <c r="A29" s="12"/>
      <c r="B29" s="1"/>
      <c r="C29" s="1"/>
      <c r="D29" s="1"/>
      <c r="E29" s="1"/>
      <c r="F29" s="1"/>
      <c r="G29" s="1"/>
      <c r="H29" s="14"/>
    </row>
    <row r="30" spans="1:8" ht="13.5" thickBot="1">
      <c r="A30" s="17" t="s">
        <v>69</v>
      </c>
      <c r="B30" s="72"/>
      <c r="C30" s="72"/>
      <c r="D30" s="72"/>
      <c r="E30" s="81">
        <f>SUM(E25:E29)</f>
        <v>121449696.59050001</v>
      </c>
      <c r="F30" s="80">
        <f>+'JL5 Rate Spread'!B24*1000</f>
        <v>2813323.3024867848</v>
      </c>
      <c r="G30" s="72"/>
      <c r="H30" s="82"/>
    </row>
    <row r="35" ht="12.75">
      <c r="K35" t="s">
        <v>96</v>
      </c>
    </row>
    <row r="37" ht="20.25">
      <c r="A37" s="84" t="s">
        <v>86</v>
      </c>
    </row>
    <row r="39" spans="1:7" ht="51">
      <c r="A39" s="23" t="s">
        <v>95</v>
      </c>
      <c r="B39" s="23"/>
      <c r="C39" s="91" t="s">
        <v>41</v>
      </c>
      <c r="D39" s="92" t="s">
        <v>87</v>
      </c>
      <c r="E39" s="91" t="s">
        <v>88</v>
      </c>
      <c r="F39" s="92" t="s">
        <v>89</v>
      </c>
      <c r="G39" s="92" t="s">
        <v>90</v>
      </c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 t="s">
        <v>47</v>
      </c>
      <c r="B41" s="1"/>
      <c r="C41" s="34">
        <v>5</v>
      </c>
      <c r="D41" s="34">
        <v>5.5</v>
      </c>
      <c r="E41" s="67">
        <f>+H25</f>
        <v>5</v>
      </c>
      <c r="F41" s="7">
        <f>+D41/C41-1</f>
        <v>0.10000000000000009</v>
      </c>
      <c r="G41" s="7">
        <f>+E41/C41-1</f>
        <v>0</v>
      </c>
    </row>
    <row r="42" spans="1:7" ht="12.75">
      <c r="A42" s="1" t="s">
        <v>48</v>
      </c>
      <c r="B42" s="1"/>
      <c r="C42" s="6">
        <v>0.04522</v>
      </c>
      <c r="D42" s="6">
        <v>0.05264</v>
      </c>
      <c r="E42" s="6">
        <f>+H26</f>
        <v>0.04522</v>
      </c>
      <c r="F42" s="7">
        <f>+D42/C42-1</f>
        <v>0.16408668730650144</v>
      </c>
      <c r="G42" s="7">
        <f>+E42/C42-1</f>
        <v>0</v>
      </c>
    </row>
    <row r="43" spans="1:7" ht="12.75">
      <c r="A43" s="1" t="s">
        <v>49</v>
      </c>
      <c r="B43" s="1"/>
      <c r="C43" s="6">
        <v>0.05261</v>
      </c>
      <c r="D43" s="6">
        <v>0.06003</v>
      </c>
      <c r="E43" s="6">
        <f>+H27</f>
        <v>0.05474287611429328</v>
      </c>
      <c r="F43" s="7">
        <f>+D43/C43-1</f>
        <v>0.14103782550845856</v>
      </c>
      <c r="G43" s="7">
        <f>+E43/C43-1</f>
        <v>0.040541268091489835</v>
      </c>
    </row>
    <row r="44" spans="1:7" ht="12.75">
      <c r="A44" s="1" t="s">
        <v>50</v>
      </c>
      <c r="B44" s="1"/>
      <c r="C44" s="6">
        <v>0.06167</v>
      </c>
      <c r="D44" s="6">
        <v>0.06909</v>
      </c>
      <c r="E44" s="83">
        <f>+H28</f>
        <v>0.06540970695823867</v>
      </c>
      <c r="F44" s="7">
        <f>+D44/C44-1</f>
        <v>0.12031782065834262</v>
      </c>
      <c r="G44" s="7">
        <f>+E44/C44-1</f>
        <v>0.060640618748802666</v>
      </c>
    </row>
    <row r="47" ht="18">
      <c r="A47" s="54" t="s">
        <v>91</v>
      </c>
    </row>
    <row r="49" ht="13.5" thickBot="1"/>
    <row r="50" spans="1:5" ht="38.25">
      <c r="A50" s="88" t="s">
        <v>92</v>
      </c>
      <c r="B50" s="89" t="s">
        <v>78</v>
      </c>
      <c r="C50" s="89" t="s">
        <v>93</v>
      </c>
      <c r="D50" s="90" t="s">
        <v>94</v>
      </c>
      <c r="E50" s="56"/>
    </row>
    <row r="51" spans="1:4" ht="12.75">
      <c r="A51" s="12"/>
      <c r="B51" s="1"/>
      <c r="C51" s="1"/>
      <c r="D51" s="14"/>
    </row>
    <row r="52" spans="1:4" ht="12.75">
      <c r="A52" s="12">
        <v>0</v>
      </c>
      <c r="B52" s="67">
        <f>+C41</f>
        <v>5</v>
      </c>
      <c r="C52" s="67">
        <f>+D41</f>
        <v>5.5</v>
      </c>
      <c r="D52" s="70">
        <f>+E41</f>
        <v>5</v>
      </c>
    </row>
    <row r="53" spans="1:4" ht="12.75">
      <c r="A53" s="12">
        <v>100</v>
      </c>
      <c r="B53" s="33">
        <f>+B52+100*C42</f>
        <v>9.522</v>
      </c>
      <c r="C53" s="33">
        <f>+C52+100*D42</f>
        <v>10.764</v>
      </c>
      <c r="D53" s="85">
        <f>+D52+100*E42</f>
        <v>9.522</v>
      </c>
    </row>
    <row r="54" spans="1:4" ht="12.75">
      <c r="A54" s="12">
        <v>300</v>
      </c>
      <c r="B54" s="33">
        <f>+B53+200*C42</f>
        <v>18.566000000000003</v>
      </c>
      <c r="C54" s="33">
        <f>+C53+200*D42</f>
        <v>21.292</v>
      </c>
      <c r="D54" s="85">
        <f>+D53+200*E42</f>
        <v>18.566000000000003</v>
      </c>
    </row>
    <row r="55" spans="1:4" ht="12.75">
      <c r="A55" s="12">
        <v>600</v>
      </c>
      <c r="B55" s="33">
        <f aca="true" t="shared" si="1" ref="B55:D56">+B54+300*C42</f>
        <v>32.132000000000005</v>
      </c>
      <c r="C55" s="33">
        <f t="shared" si="1"/>
        <v>37.084</v>
      </c>
      <c r="D55" s="85">
        <f t="shared" si="1"/>
        <v>32.132000000000005</v>
      </c>
    </row>
    <row r="56" spans="1:4" ht="12.75">
      <c r="A56" s="12">
        <v>1000</v>
      </c>
      <c r="B56" s="33">
        <f t="shared" si="1"/>
        <v>47.915000000000006</v>
      </c>
      <c r="C56" s="33">
        <f t="shared" si="1"/>
        <v>55.093</v>
      </c>
      <c r="D56" s="85">
        <f t="shared" si="1"/>
        <v>48.55486283428799</v>
      </c>
    </row>
    <row r="57" spans="1:4" ht="12.75">
      <c r="A57" s="12">
        <v>1300</v>
      </c>
      <c r="B57" s="33">
        <f>+B56+300*C43</f>
        <v>63.69800000000001</v>
      </c>
      <c r="C57" s="33">
        <f>+C56+300*D43</f>
        <v>73.102</v>
      </c>
      <c r="D57" s="85">
        <f>+D56+300*E43</f>
        <v>64.97772566857597</v>
      </c>
    </row>
    <row r="58" spans="1:4" ht="12.75">
      <c r="A58" s="12">
        <v>2000</v>
      </c>
      <c r="B58" s="33">
        <f>+B57+700*C44</f>
        <v>106.86700000000002</v>
      </c>
      <c r="C58" s="33">
        <f>+C57+700*D44</f>
        <v>121.465</v>
      </c>
      <c r="D58" s="85">
        <f>+D57+700*E44</f>
        <v>110.76452053934304</v>
      </c>
    </row>
    <row r="59" spans="1:4" ht="13.5" thickBot="1">
      <c r="A59" s="17">
        <v>3000</v>
      </c>
      <c r="B59" s="86">
        <f>+B58+1000*C44</f>
        <v>168.53700000000003</v>
      </c>
      <c r="C59" s="86">
        <f>+C58+1000*D44</f>
        <v>190.555</v>
      </c>
      <c r="D59" s="87">
        <f>+D58+1000*E44</f>
        <v>176.1742274975817</v>
      </c>
    </row>
  </sheetData>
  <printOptions/>
  <pageMargins left="0.75" right="0.75" top="1.25" bottom="1" header="1" footer="0.5"/>
  <pageSetup horizontalDpi="600" verticalDpi="600" orientation="landscape" scale="96" r:id="rId1"/>
  <headerFooter alignWithMargins="0">
    <oddHeader>&amp;RDocket Nos. UE-050482 and UG-050483
Exhibit No. _____ (JL-6)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1" sqref="G1"/>
    </sheetView>
  </sheetViews>
  <sheetFormatPr defaultColWidth="9.140625" defaultRowHeight="12.75"/>
  <cols>
    <col min="3" max="3" width="12.57421875" style="0" customWidth="1"/>
    <col min="4" max="4" width="13.28125" style="0" customWidth="1"/>
    <col min="5" max="5" width="13.7109375" style="0" customWidth="1"/>
    <col min="6" max="6" width="12.7109375" style="0" customWidth="1"/>
    <col min="7" max="7" width="13.421875" style="0" customWidth="1"/>
  </cols>
  <sheetData>
    <row r="1" ht="12.75">
      <c r="G1" t="s">
        <v>24</v>
      </c>
    </row>
    <row r="4" ht="23.25">
      <c r="A4" s="31" t="s">
        <v>142</v>
      </c>
    </row>
    <row r="6" ht="20.25">
      <c r="A6" s="84" t="s">
        <v>104</v>
      </c>
    </row>
    <row r="7" ht="13.5" thickBot="1"/>
    <row r="8" spans="1:7" ht="25.5">
      <c r="A8" s="30"/>
      <c r="B8" s="93"/>
      <c r="C8" s="89" t="s">
        <v>53</v>
      </c>
      <c r="D8" s="89" t="s">
        <v>97</v>
      </c>
      <c r="E8" s="89" t="s">
        <v>82</v>
      </c>
      <c r="F8" s="89" t="s">
        <v>32</v>
      </c>
      <c r="G8" s="90" t="s">
        <v>98</v>
      </c>
    </row>
    <row r="9" spans="1:7" ht="12.75">
      <c r="A9" s="12"/>
      <c r="B9" s="1"/>
      <c r="C9" s="1"/>
      <c r="D9" s="1"/>
      <c r="E9" s="1"/>
      <c r="F9" s="1"/>
      <c r="G9" s="14"/>
    </row>
    <row r="10" spans="1:7" ht="12.75">
      <c r="A10" s="12" t="s">
        <v>99</v>
      </c>
      <c r="B10" s="1"/>
      <c r="C10" s="5">
        <v>296635</v>
      </c>
      <c r="D10" s="67">
        <v>5.75</v>
      </c>
      <c r="E10" s="3">
        <f>+D10*C10</f>
        <v>1705651.25</v>
      </c>
      <c r="F10" s="34">
        <v>6</v>
      </c>
      <c r="G10" s="13">
        <f>+F10*C10</f>
        <v>1779810</v>
      </c>
    </row>
    <row r="11" spans="1:7" ht="12.75">
      <c r="A11" s="12" t="s">
        <v>155</v>
      </c>
      <c r="B11" s="1"/>
      <c r="C11" s="5">
        <f>+Sched11WP!D99</f>
        <v>318524398</v>
      </c>
      <c r="D11" s="94">
        <v>0.073</v>
      </c>
      <c r="E11" s="3">
        <f>+D11*C11</f>
        <v>23252281.053999998</v>
      </c>
      <c r="F11" s="6">
        <v>0.07974</v>
      </c>
      <c r="G11" s="13">
        <f>+F11*C11</f>
        <v>25399135.49652</v>
      </c>
    </row>
    <row r="12" spans="1:7" ht="12.75">
      <c r="A12" s="12" t="s">
        <v>156</v>
      </c>
      <c r="B12" s="1"/>
      <c r="C12" s="5">
        <v>56963519</v>
      </c>
      <c r="D12" s="94">
        <v>0.073</v>
      </c>
      <c r="E12" s="3">
        <f>+D12*C12</f>
        <v>4158336.8869999996</v>
      </c>
      <c r="F12" s="6">
        <v>0.07974</v>
      </c>
      <c r="G12" s="13">
        <f>+F12*C12</f>
        <v>4542271.00506</v>
      </c>
    </row>
    <row r="13" spans="1:7" ht="12.75">
      <c r="A13" s="12" t="s">
        <v>101</v>
      </c>
      <c r="B13" s="1"/>
      <c r="C13" s="5">
        <f>+C12+C11</f>
        <v>375487917</v>
      </c>
      <c r="D13" s="1"/>
      <c r="E13" s="3">
        <f>+D13*C13</f>
        <v>0</v>
      </c>
      <c r="F13" s="6">
        <v>0.07974</v>
      </c>
      <c r="G13" s="13">
        <f>+G12+G11</f>
        <v>29941406.50158</v>
      </c>
    </row>
    <row r="14" spans="1:7" ht="12.75">
      <c r="A14" s="12" t="s">
        <v>102</v>
      </c>
      <c r="B14" s="1"/>
      <c r="C14" s="5">
        <v>115794</v>
      </c>
      <c r="D14" s="67">
        <v>3.5</v>
      </c>
      <c r="E14" s="3">
        <f>+D14*C14</f>
        <v>405279</v>
      </c>
      <c r="F14" s="34">
        <v>3.5</v>
      </c>
      <c r="G14" s="13">
        <f>+F14*C14</f>
        <v>405279</v>
      </c>
    </row>
    <row r="15" spans="1:7" ht="13.5" thickBot="1">
      <c r="A15" s="113" t="s">
        <v>103</v>
      </c>
      <c r="B15" s="72"/>
      <c r="C15" s="72"/>
      <c r="D15" s="72"/>
      <c r="E15" s="81">
        <f>SUM(E10:E14)</f>
        <v>29521548.190999996</v>
      </c>
      <c r="F15" s="72"/>
      <c r="G15" s="114">
        <f>+G14+G13+G10</f>
        <v>32126495.50158</v>
      </c>
    </row>
    <row r="18" ht="20.25">
      <c r="A18" s="84" t="s">
        <v>140</v>
      </c>
    </row>
    <row r="19" ht="13.5" thickBot="1"/>
    <row r="20" spans="1:7" ht="25.5">
      <c r="A20" s="30"/>
      <c r="B20" s="93"/>
      <c r="C20" s="89" t="s">
        <v>53</v>
      </c>
      <c r="D20" s="89" t="s">
        <v>97</v>
      </c>
      <c r="E20" s="89" t="s">
        <v>82</v>
      </c>
      <c r="F20" s="89" t="s">
        <v>141</v>
      </c>
      <c r="G20" s="90" t="s">
        <v>98</v>
      </c>
    </row>
    <row r="21" spans="1:7" ht="12.75">
      <c r="A21" s="12"/>
      <c r="B21" s="1"/>
      <c r="C21" s="1"/>
      <c r="D21" s="1"/>
      <c r="E21" s="1"/>
      <c r="F21" s="1"/>
      <c r="G21" s="14"/>
    </row>
    <row r="22" spans="1:7" ht="12.75">
      <c r="A22" s="12" t="s">
        <v>99</v>
      </c>
      <c r="B22" s="1"/>
      <c r="C22" s="5">
        <f>+C10</f>
        <v>296635</v>
      </c>
      <c r="D22" s="67">
        <v>5.75</v>
      </c>
      <c r="E22" s="3">
        <f>+D22*C22</f>
        <v>1705651.25</v>
      </c>
      <c r="F22" s="34">
        <f>+D22</f>
        <v>5.75</v>
      </c>
      <c r="G22" s="13">
        <f>+F22*C22</f>
        <v>1705651.25</v>
      </c>
    </row>
    <row r="23" spans="1:7" ht="12.75">
      <c r="A23" s="12" t="s">
        <v>155</v>
      </c>
      <c r="B23" s="1"/>
      <c r="C23" s="5">
        <f>+C11</f>
        <v>318524398</v>
      </c>
      <c r="D23" s="94">
        <v>0.073</v>
      </c>
      <c r="E23" s="3">
        <f>+D23*C23</f>
        <v>23252281.053999998</v>
      </c>
      <c r="F23" s="6">
        <f>+D23+(G28/C23)</f>
        <v>0.07442023860861223</v>
      </c>
      <c r="G23" s="13">
        <f>+F23*C23</f>
        <v>23704661.70182457</v>
      </c>
    </row>
    <row r="24" spans="1:7" ht="12.75">
      <c r="A24" s="12" t="s">
        <v>156</v>
      </c>
      <c r="B24" s="1"/>
      <c r="C24" s="5">
        <f>+C12</f>
        <v>56963519</v>
      </c>
      <c r="D24" s="94">
        <v>0.073</v>
      </c>
      <c r="E24" s="3">
        <f>+D24*C24</f>
        <v>4158336.8869999996</v>
      </c>
      <c r="F24" s="6">
        <f>+D24</f>
        <v>0.073</v>
      </c>
      <c r="G24" s="13">
        <f>+F24*C24</f>
        <v>4158336.8869999996</v>
      </c>
    </row>
    <row r="25" spans="1:7" ht="12.75">
      <c r="A25" s="12" t="s">
        <v>101</v>
      </c>
      <c r="B25" s="1"/>
      <c r="C25" s="5">
        <f>+C13</f>
        <v>375487917</v>
      </c>
      <c r="D25" s="1"/>
      <c r="E25" s="3">
        <f>+D25*C25</f>
        <v>0</v>
      </c>
      <c r="F25" s="6"/>
      <c r="G25" s="13">
        <f>+G24+G23</f>
        <v>27862998.588824566</v>
      </c>
    </row>
    <row r="26" spans="1:7" ht="12.75">
      <c r="A26" s="12" t="s">
        <v>102</v>
      </c>
      <c r="B26" s="1"/>
      <c r="C26" s="5">
        <f>+C14</f>
        <v>115794</v>
      </c>
      <c r="D26" s="67">
        <v>3.5</v>
      </c>
      <c r="E26" s="3">
        <f>+D26*C26</f>
        <v>405279</v>
      </c>
      <c r="F26" s="34">
        <v>3.5</v>
      </c>
      <c r="G26" s="13">
        <f>+F26*C26</f>
        <v>405279</v>
      </c>
    </row>
    <row r="27" spans="1:7" ht="12.75">
      <c r="A27" s="111" t="s">
        <v>103</v>
      </c>
      <c r="B27" s="1"/>
      <c r="C27" s="1"/>
      <c r="D27" s="1"/>
      <c r="E27" s="8">
        <f>SUM(E22:E26)</f>
        <v>29521548.190999996</v>
      </c>
      <c r="F27" s="1"/>
      <c r="G27" s="15">
        <f>+G26+G25+G22</f>
        <v>29973928.838824566</v>
      </c>
    </row>
    <row r="28" spans="1:7" ht="13.5" thickBot="1">
      <c r="A28" s="17" t="s">
        <v>58</v>
      </c>
      <c r="B28" s="72"/>
      <c r="C28" s="72"/>
      <c r="D28" s="72"/>
      <c r="E28" s="72"/>
      <c r="F28" s="72"/>
      <c r="G28" s="112">
        <f>+'JL5 Rate Spread'!C24*1000</f>
        <v>452380.6478245675</v>
      </c>
    </row>
    <row r="30" ht="13.5" thickBot="1"/>
    <row r="31" spans="1:7" ht="12.75">
      <c r="A31" s="18" t="s">
        <v>143</v>
      </c>
      <c r="B31" s="19"/>
      <c r="C31" s="19"/>
      <c r="D31" s="19"/>
      <c r="E31" s="19"/>
      <c r="F31" s="19"/>
      <c r="G31" s="20"/>
    </row>
    <row r="32" spans="1:7" ht="12.75">
      <c r="A32" s="12"/>
      <c r="B32" s="1"/>
      <c r="C32" s="1"/>
      <c r="D32" s="1"/>
      <c r="E32" s="1"/>
      <c r="F32" s="1"/>
      <c r="G32" s="14"/>
    </row>
    <row r="33" spans="1:7" ht="51">
      <c r="A33" s="115" t="s">
        <v>92</v>
      </c>
      <c r="B33" s="65" t="s">
        <v>146</v>
      </c>
      <c r="C33" s="65" t="s">
        <v>78</v>
      </c>
      <c r="D33" s="65" t="s">
        <v>93</v>
      </c>
      <c r="E33" s="65" t="s">
        <v>94</v>
      </c>
      <c r="F33" s="65" t="s">
        <v>144</v>
      </c>
      <c r="G33" s="116" t="s">
        <v>145</v>
      </c>
    </row>
    <row r="34" spans="1:7" ht="12.75">
      <c r="A34" s="12"/>
      <c r="B34" s="1"/>
      <c r="C34" s="1"/>
      <c r="D34" s="1"/>
      <c r="E34" s="1"/>
      <c r="F34" s="1"/>
      <c r="G34" s="14"/>
    </row>
    <row r="35" spans="1:7" ht="12.75">
      <c r="A35" s="12">
        <v>0</v>
      </c>
      <c r="B35" s="1"/>
      <c r="C35" s="34">
        <f>+D22</f>
        <v>5.75</v>
      </c>
      <c r="D35" s="67">
        <f>+F10</f>
        <v>6</v>
      </c>
      <c r="E35" s="34">
        <f>+F22</f>
        <v>5.75</v>
      </c>
      <c r="F35" s="7">
        <f>+D35/C35-1</f>
        <v>0.04347826086956519</v>
      </c>
      <c r="G35" s="104">
        <f>+E35/C35-1</f>
        <v>0</v>
      </c>
    </row>
    <row r="36" spans="1:7" ht="12.75">
      <c r="A36" s="12">
        <v>100</v>
      </c>
      <c r="B36" s="1">
        <v>1</v>
      </c>
      <c r="C36" s="34">
        <f>+C35+100*D23</f>
        <v>13.05</v>
      </c>
      <c r="D36" s="33">
        <f>+D35+100*F11</f>
        <v>13.974</v>
      </c>
      <c r="E36" s="34">
        <f>+E35+100*F23</f>
        <v>13.192023860861223</v>
      </c>
      <c r="F36" s="7">
        <f aca="true" t="shared" si="0" ref="F36:F43">+D36/C36-1</f>
        <v>0.07080459770114933</v>
      </c>
      <c r="G36" s="104">
        <f aca="true" t="shared" si="1" ref="G36:G43">+E36/C36-1</f>
        <v>0.010883054472124343</v>
      </c>
    </row>
    <row r="37" spans="1:7" ht="12.75">
      <c r="A37" s="12">
        <v>300</v>
      </c>
      <c r="B37" s="1">
        <v>2</v>
      </c>
      <c r="C37" s="34">
        <f>+C36+200*D23</f>
        <v>27.65</v>
      </c>
      <c r="D37" s="33">
        <f>+D36+200*F11</f>
        <v>29.922</v>
      </c>
      <c r="E37" s="34">
        <f>+E36+200*F23</f>
        <v>28.07607158258367</v>
      </c>
      <c r="F37" s="7">
        <f t="shared" si="0"/>
        <v>0.08216998191681735</v>
      </c>
      <c r="G37" s="104">
        <f t="shared" si="1"/>
        <v>0.015409460491272009</v>
      </c>
    </row>
    <row r="38" spans="1:7" ht="12.75">
      <c r="A38" s="12">
        <v>500</v>
      </c>
      <c r="B38" s="1">
        <v>3</v>
      </c>
      <c r="C38" s="34">
        <f>+C37+200*D23</f>
        <v>42.25</v>
      </c>
      <c r="D38" s="33">
        <f>+D37+200*F12</f>
        <v>45.870000000000005</v>
      </c>
      <c r="E38" s="34">
        <f>+E37+200*F23</f>
        <v>42.96011930430612</v>
      </c>
      <c r="F38" s="7">
        <f t="shared" si="0"/>
        <v>0.08568047337278117</v>
      </c>
      <c r="G38" s="104">
        <f t="shared" si="1"/>
        <v>0.016807557498369707</v>
      </c>
    </row>
    <row r="39" spans="1:7" ht="12.75">
      <c r="A39" s="12">
        <v>1000</v>
      </c>
      <c r="B39" s="1">
        <v>10</v>
      </c>
      <c r="C39" s="34">
        <f>+C38+500*D23</f>
        <v>78.75</v>
      </c>
      <c r="D39" s="33">
        <f>+D38+500*F11</f>
        <v>85.74000000000001</v>
      </c>
      <c r="E39" s="34">
        <f>+E38+500*F23</f>
        <v>80.17023860861224</v>
      </c>
      <c r="F39" s="7">
        <f t="shared" si="0"/>
        <v>0.08876190476190482</v>
      </c>
      <c r="G39" s="104">
        <f t="shared" si="1"/>
        <v>0.01803477598237757</v>
      </c>
    </row>
    <row r="40" spans="1:7" ht="12.75">
      <c r="A40" s="12">
        <v>3000</v>
      </c>
      <c r="B40" s="1">
        <v>15</v>
      </c>
      <c r="C40" s="34">
        <f>+C39+2000*D23</f>
        <v>224.75</v>
      </c>
      <c r="D40" s="33">
        <f>+D39+2000*F11</f>
        <v>245.22000000000003</v>
      </c>
      <c r="E40" s="34">
        <f>+E39+2000*F23</f>
        <v>229.01071582583668</v>
      </c>
      <c r="F40" s="7">
        <f t="shared" si="0"/>
        <v>0.09107897664071207</v>
      </c>
      <c r="G40" s="104">
        <f t="shared" si="1"/>
        <v>0.018957578757893945</v>
      </c>
    </row>
    <row r="41" spans="1:7" ht="12.75">
      <c r="A41" s="12">
        <v>4000</v>
      </c>
      <c r="B41" s="1">
        <v>25</v>
      </c>
      <c r="C41" s="34">
        <f>+C40+1000*D23+5*D26</f>
        <v>315.25</v>
      </c>
      <c r="D41" s="33">
        <f>+D40+1000*F11+5*F14</f>
        <v>342.46000000000004</v>
      </c>
      <c r="E41" s="34">
        <f>+E40+1000*F23+5*F26</f>
        <v>320.9309544344489</v>
      </c>
      <c r="F41" s="7">
        <f t="shared" si="0"/>
        <v>0.08631245043616187</v>
      </c>
      <c r="G41" s="104">
        <f t="shared" si="1"/>
        <v>0.018020474018870303</v>
      </c>
    </row>
    <row r="42" spans="1:7" ht="12.75">
      <c r="A42" s="12">
        <v>10000</v>
      </c>
      <c r="B42" s="1">
        <v>40</v>
      </c>
      <c r="C42" s="34">
        <f>+C41+6000*D24+15*D26</f>
        <v>805.75</v>
      </c>
      <c r="D42" s="33">
        <f>+D41+6000*F12+15*F14</f>
        <v>873.4000000000001</v>
      </c>
      <c r="E42" s="34">
        <f>+E41+6000*F24+15*F26</f>
        <v>811.430954434449</v>
      </c>
      <c r="F42" s="7">
        <f t="shared" si="0"/>
        <v>0.08395904436860069</v>
      </c>
      <c r="G42" s="104">
        <f t="shared" si="1"/>
        <v>0.007050517448897287</v>
      </c>
    </row>
    <row r="43" spans="1:7" ht="13.5" thickBot="1">
      <c r="A43" s="17">
        <v>20000</v>
      </c>
      <c r="B43" s="72">
        <v>75</v>
      </c>
      <c r="C43" s="79">
        <f>+C42+10000*D24+35*D26</f>
        <v>1658.25</v>
      </c>
      <c r="D43" s="86">
        <f>+D42+10000*F12+35*F14</f>
        <v>1793.3000000000002</v>
      </c>
      <c r="E43" s="79">
        <f>+E42+10000*F24+35*F26</f>
        <v>1663.930954434449</v>
      </c>
      <c r="F43" s="21">
        <f t="shared" si="0"/>
        <v>0.08144127845620397</v>
      </c>
      <c r="G43" s="22">
        <f t="shared" si="1"/>
        <v>0.0034258733209400205</v>
      </c>
    </row>
    <row r="48" ht="13.5" thickBot="1"/>
    <row r="49" spans="1:7" ht="51">
      <c r="A49" s="30"/>
      <c r="B49" s="93"/>
      <c r="C49" s="89" t="s">
        <v>97</v>
      </c>
      <c r="D49" s="89" t="s">
        <v>157</v>
      </c>
      <c r="E49" s="90" t="s">
        <v>158</v>
      </c>
      <c r="F49" s="120"/>
      <c r="G49" s="120"/>
    </row>
    <row r="50" spans="1:7" ht="12.75">
      <c r="A50" s="12"/>
      <c r="B50" s="1"/>
      <c r="C50" s="1"/>
      <c r="D50" s="1"/>
      <c r="E50" s="14"/>
      <c r="F50" s="11"/>
      <c r="G50" s="11"/>
    </row>
    <row r="51" spans="1:7" ht="12.75">
      <c r="A51" s="12" t="s">
        <v>130</v>
      </c>
      <c r="B51" s="1"/>
      <c r="C51" s="34">
        <f>+D22</f>
        <v>5.75</v>
      </c>
      <c r="D51" s="34">
        <f>+F10</f>
        <v>6</v>
      </c>
      <c r="E51" s="78">
        <f>+F22</f>
        <v>5.75</v>
      </c>
      <c r="F51" s="121"/>
      <c r="G51" s="122"/>
    </row>
    <row r="52" spans="1:7" ht="12.75">
      <c r="A52" s="12" t="s">
        <v>155</v>
      </c>
      <c r="B52" s="1"/>
      <c r="C52" s="6">
        <f>+D23</f>
        <v>0.073</v>
      </c>
      <c r="D52" s="6">
        <f>+F11</f>
        <v>0.07974</v>
      </c>
      <c r="E52" s="71">
        <f>+F23</f>
        <v>0.07442023860861223</v>
      </c>
      <c r="F52" s="123"/>
      <c r="G52" s="122"/>
    </row>
    <row r="53" spans="1:7" ht="12.75">
      <c r="A53" s="12" t="s">
        <v>156</v>
      </c>
      <c r="B53" s="1"/>
      <c r="C53" s="6">
        <f>+D24</f>
        <v>0.073</v>
      </c>
      <c r="D53" s="6">
        <f>+F12</f>
        <v>0.07974</v>
      </c>
      <c r="E53" s="71">
        <f>+F24</f>
        <v>0.073</v>
      </c>
      <c r="F53" s="123"/>
      <c r="G53" s="122"/>
    </row>
    <row r="54" spans="1:7" ht="12.75">
      <c r="A54" s="12"/>
      <c r="B54" s="1"/>
      <c r="C54" s="5"/>
      <c r="D54" s="1"/>
      <c r="E54" s="13">
        <f>+D54*C54</f>
        <v>0</v>
      </c>
      <c r="F54" s="123"/>
      <c r="G54" s="122"/>
    </row>
    <row r="55" spans="1:7" ht="13.5" thickBot="1">
      <c r="A55" s="17" t="s">
        <v>102</v>
      </c>
      <c r="B55" s="72"/>
      <c r="C55" s="79">
        <f>+D26</f>
        <v>3.5</v>
      </c>
      <c r="D55" s="79">
        <f>+F14</f>
        <v>3.5</v>
      </c>
      <c r="E55" s="126">
        <f>+F26</f>
        <v>3.5</v>
      </c>
      <c r="F55" s="121"/>
      <c r="G55" s="122"/>
    </row>
    <row r="56" spans="1:7" ht="12.75">
      <c r="A56" s="125"/>
      <c r="B56" s="11"/>
      <c r="C56" s="11"/>
      <c r="D56" s="11"/>
      <c r="E56" s="124"/>
      <c r="F56" s="11"/>
      <c r="G56" s="124"/>
    </row>
  </sheetData>
  <printOptions/>
  <pageMargins left="0.75" right="0.75" top="1" bottom="1" header="0.65" footer="0.5"/>
  <pageSetup horizontalDpi="600" verticalDpi="600" orientation="portrait" r:id="rId3"/>
  <headerFooter alignWithMargins="0">
    <oddHeader>&amp;RDocket Nos. UE-050482 and UG-050483
Exhibit No. _____ (JL-7)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K72"/>
  <sheetViews>
    <sheetView workbookViewId="0" topLeftCell="A1">
      <selection activeCell="H28" sqref="H28"/>
    </sheetView>
  </sheetViews>
  <sheetFormatPr defaultColWidth="9.140625" defaultRowHeight="12.75"/>
  <cols>
    <col min="3" max="3" width="14.28125" style="0" customWidth="1"/>
    <col min="4" max="4" width="11.7109375" style="0" customWidth="1"/>
    <col min="5" max="5" width="4.00390625" style="0" customWidth="1"/>
    <col min="6" max="6" width="14.00390625" style="0" customWidth="1"/>
    <col min="7" max="7" width="11.00390625" style="0" customWidth="1"/>
    <col min="8" max="8" width="4.8515625" style="0" customWidth="1"/>
    <col min="9" max="9" width="13.8515625" style="0" customWidth="1"/>
    <col min="10" max="10" width="12.7109375" style="0" customWidth="1"/>
  </cols>
  <sheetData>
    <row r="5" ht="12.75">
      <c r="A5" t="s">
        <v>40</v>
      </c>
    </row>
    <row r="8" ht="12.75">
      <c r="A8" t="s">
        <v>6</v>
      </c>
    </row>
    <row r="9" spans="1:11" ht="25.5">
      <c r="A9" s="1"/>
      <c r="B9" s="1"/>
      <c r="C9" s="55" t="s">
        <v>41</v>
      </c>
      <c r="D9" s="55" t="s">
        <v>42</v>
      </c>
      <c r="E9" s="55"/>
      <c r="F9" s="55" t="s">
        <v>43</v>
      </c>
      <c r="G9" s="55" t="s">
        <v>44</v>
      </c>
      <c r="H9" s="55"/>
      <c r="I9" s="55" t="s">
        <v>45</v>
      </c>
      <c r="J9" s="55" t="s">
        <v>46</v>
      </c>
      <c r="K9" s="56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47</v>
      </c>
      <c r="B11" s="1"/>
      <c r="C11" s="34">
        <v>5</v>
      </c>
      <c r="D11" s="34">
        <v>5</v>
      </c>
      <c r="E11" s="34"/>
      <c r="F11" s="34">
        <v>5.5</v>
      </c>
      <c r="G11" s="34">
        <v>5.5</v>
      </c>
      <c r="H11" s="1"/>
      <c r="I11" s="4">
        <f aca="true" t="shared" si="0" ref="I11:J14">+F11/C11-1</f>
        <v>0.10000000000000009</v>
      </c>
      <c r="J11" s="7">
        <f t="shared" si="0"/>
        <v>0.10000000000000009</v>
      </c>
    </row>
    <row r="12" spans="1:10" ht="12.75">
      <c r="A12" s="1" t="s">
        <v>48</v>
      </c>
      <c r="B12" s="1"/>
      <c r="C12" s="6">
        <v>0.04522</v>
      </c>
      <c r="D12" s="6">
        <v>0.04633</v>
      </c>
      <c r="E12" s="6"/>
      <c r="F12" s="6">
        <v>0.05264</v>
      </c>
      <c r="G12" s="6">
        <v>0.05375</v>
      </c>
      <c r="H12" s="1"/>
      <c r="I12" s="4">
        <f t="shared" si="0"/>
        <v>0.16408668730650144</v>
      </c>
      <c r="J12" s="7">
        <f t="shared" si="0"/>
        <v>0.16015540686380314</v>
      </c>
    </row>
    <row r="13" spans="1:10" ht="12.75">
      <c r="A13" s="1" t="s">
        <v>49</v>
      </c>
      <c r="B13" s="1"/>
      <c r="C13" s="6">
        <v>0.05261</v>
      </c>
      <c r="D13" s="6">
        <v>0.05574</v>
      </c>
      <c r="E13" s="6"/>
      <c r="F13" s="6">
        <v>0.06003</v>
      </c>
      <c r="G13" s="6">
        <v>0.06316</v>
      </c>
      <c r="H13" s="1"/>
      <c r="I13" s="4">
        <f t="shared" si="0"/>
        <v>0.14103782550845856</v>
      </c>
      <c r="J13" s="7">
        <f t="shared" si="0"/>
        <v>0.13311804808037309</v>
      </c>
    </row>
    <row r="14" spans="1:10" ht="12.75">
      <c r="A14" s="1" t="s">
        <v>50</v>
      </c>
      <c r="B14" s="1"/>
      <c r="C14" s="6">
        <v>0.06167</v>
      </c>
      <c r="D14" s="6">
        <v>0.06726</v>
      </c>
      <c r="E14" s="6"/>
      <c r="F14" s="6">
        <v>0.06909</v>
      </c>
      <c r="G14" s="6">
        <v>0.07468</v>
      </c>
      <c r="H14" s="1"/>
      <c r="I14" s="4">
        <f t="shared" si="0"/>
        <v>0.12031782065834262</v>
      </c>
      <c r="J14" s="7">
        <f t="shared" si="0"/>
        <v>0.11031816830211105</v>
      </c>
    </row>
    <row r="17" ht="12.75">
      <c r="A17" s="32" t="s">
        <v>51</v>
      </c>
    </row>
    <row r="18" ht="12.75">
      <c r="A18" s="32" t="s">
        <v>52</v>
      </c>
    </row>
    <row r="19" spans="1:11" ht="25.5">
      <c r="A19" s="1"/>
      <c r="B19" s="1"/>
      <c r="C19" s="55" t="s">
        <v>53</v>
      </c>
      <c r="D19" s="55" t="s">
        <v>54</v>
      </c>
      <c r="E19" s="55"/>
      <c r="F19" s="55" t="s">
        <v>55</v>
      </c>
      <c r="G19" s="55" t="s">
        <v>56</v>
      </c>
      <c r="H19" s="1"/>
      <c r="I19" s="55" t="s">
        <v>57</v>
      </c>
      <c r="J19" s="55" t="s">
        <v>58</v>
      </c>
      <c r="K19" s="55" t="s">
        <v>59</v>
      </c>
    </row>
    <row r="20" spans="1:11" ht="12.75">
      <c r="A20" s="1" t="s">
        <v>47</v>
      </c>
      <c r="B20" s="1"/>
      <c r="C20" s="5">
        <v>2235890</v>
      </c>
      <c r="D20" s="57">
        <f>+C11</f>
        <v>5</v>
      </c>
      <c r="E20" s="55"/>
      <c r="F20" s="58">
        <f>+D20*C20</f>
        <v>11179450</v>
      </c>
      <c r="G20" s="57">
        <f>+F11</f>
        <v>5.5</v>
      </c>
      <c r="H20" s="55"/>
      <c r="I20" s="58">
        <f>+G20*C20</f>
        <v>12297395</v>
      </c>
      <c r="J20" s="59">
        <f>+I20-F20</f>
        <v>1117945</v>
      </c>
      <c r="K20" s="60">
        <f>+J20/F20</f>
        <v>0.1</v>
      </c>
    </row>
    <row r="21" spans="1:11" ht="12.75">
      <c r="A21" s="1" t="s">
        <v>48</v>
      </c>
      <c r="B21" s="1"/>
      <c r="C21" s="5">
        <v>1158260171</v>
      </c>
      <c r="D21" s="6">
        <f>+C12</f>
        <v>0.04522</v>
      </c>
      <c r="E21" s="1"/>
      <c r="F21" s="58">
        <f>+D21*C21</f>
        <v>52376524.932620004</v>
      </c>
      <c r="G21" s="61">
        <f>+F12</f>
        <v>0.05264</v>
      </c>
      <c r="H21" s="1"/>
      <c r="I21" s="58">
        <f>+G21*C21</f>
        <v>60970815.40144</v>
      </c>
      <c r="J21" s="59">
        <f>+I21-F21</f>
        <v>8594290.468819998</v>
      </c>
      <c r="K21" s="60">
        <f>+J21/F21</f>
        <v>0.1640866873065015</v>
      </c>
    </row>
    <row r="22" spans="1:11" ht="12.75">
      <c r="A22" s="1" t="s">
        <v>49</v>
      </c>
      <c r="B22" s="1"/>
      <c r="C22" s="5">
        <v>659513997</v>
      </c>
      <c r="D22" s="6">
        <f>+C13</f>
        <v>0.05261</v>
      </c>
      <c r="E22" s="1"/>
      <c r="F22" s="58">
        <f>+D22*C22</f>
        <v>34697031.38217</v>
      </c>
      <c r="G22" s="61">
        <f>+F13</f>
        <v>0.06003</v>
      </c>
      <c r="H22" s="1"/>
      <c r="I22" s="58">
        <f>+G22*C22</f>
        <v>39590625.23991</v>
      </c>
      <c r="J22" s="59">
        <f>+I22-F22</f>
        <v>4893593.85774</v>
      </c>
      <c r="K22" s="60">
        <f>+J22/F22</f>
        <v>0.14103782550845848</v>
      </c>
    </row>
    <row r="23" spans="1:11" ht="12.75">
      <c r="A23" s="1" t="s">
        <v>50</v>
      </c>
      <c r="B23" s="1"/>
      <c r="C23" s="5">
        <v>376142213</v>
      </c>
      <c r="D23" s="6">
        <f>+C14</f>
        <v>0.06167</v>
      </c>
      <c r="E23" s="1"/>
      <c r="F23" s="58">
        <f>+D23*C23</f>
        <v>23196690.27571</v>
      </c>
      <c r="G23" s="61">
        <f>+F14</f>
        <v>0.06909</v>
      </c>
      <c r="H23" s="1"/>
      <c r="I23" s="58">
        <f>+G23*C23</f>
        <v>25987665.49617</v>
      </c>
      <c r="J23" s="59">
        <f>+I23-F23</f>
        <v>2790975.2204599977</v>
      </c>
      <c r="K23" s="60">
        <f>+J23/F23</f>
        <v>0.12031782065834268</v>
      </c>
    </row>
    <row r="24" spans="1:11" ht="12.75">
      <c r="A24" s="1"/>
      <c r="B24" s="1"/>
      <c r="C24" s="5">
        <f>SUM(C21:C23)</f>
        <v>2193916381</v>
      </c>
      <c r="D24" s="1"/>
      <c r="E24" s="1"/>
      <c r="F24" s="8">
        <f>SUM(F20:F23)</f>
        <v>121449696.59050001</v>
      </c>
      <c r="G24" s="1"/>
      <c r="H24" s="1"/>
      <c r="I24" s="8">
        <f>SUM(I20:I23)</f>
        <v>138846501.13752002</v>
      </c>
      <c r="J24" s="8">
        <f>SUM(J20:J23)</f>
        <v>17396804.547019996</v>
      </c>
      <c r="K24" s="60">
        <f>+J24/F24</f>
        <v>0.14324288191248394</v>
      </c>
    </row>
    <row r="25" ht="12.75">
      <c r="K25" s="62"/>
    </row>
    <row r="26" ht="12.75">
      <c r="K26" s="62"/>
    </row>
    <row r="27" ht="12.75">
      <c r="K27" s="62"/>
    </row>
    <row r="28" spans="1:11" ht="12.75">
      <c r="A28" s="32" t="s">
        <v>60</v>
      </c>
      <c r="B28" s="32"/>
      <c r="C28" s="32"/>
      <c r="D28" s="32"/>
      <c r="K28" s="62"/>
    </row>
    <row r="29" spans="1:11" ht="12.75">
      <c r="A29" s="1"/>
      <c r="B29" s="1"/>
      <c r="C29" s="1" t="s">
        <v>61</v>
      </c>
      <c r="D29" s="1" t="s">
        <v>62</v>
      </c>
      <c r="E29" s="1"/>
      <c r="F29" s="1" t="s">
        <v>63</v>
      </c>
      <c r="G29" s="1" t="s">
        <v>62</v>
      </c>
      <c r="K29" s="62"/>
    </row>
    <row r="30" spans="1:11" ht="12.75">
      <c r="A30" s="1" t="s">
        <v>64</v>
      </c>
      <c r="B30" s="1"/>
      <c r="C30" s="61">
        <f>+D21</f>
        <v>0.04522</v>
      </c>
      <c r="D30" s="1"/>
      <c r="E30" s="1"/>
      <c r="F30" s="61">
        <f>+G21</f>
        <v>0.05264</v>
      </c>
      <c r="G30" s="1"/>
      <c r="K30" s="62"/>
    </row>
    <row r="31" spans="1:11" ht="12.75">
      <c r="A31" s="1" t="s">
        <v>65</v>
      </c>
      <c r="B31" s="1"/>
      <c r="C31" s="61">
        <f>+D22</f>
        <v>0.05261</v>
      </c>
      <c r="D31" s="33" t="e">
        <f>+C31/C$26</f>
        <v>#DIV/0!</v>
      </c>
      <c r="E31" s="1"/>
      <c r="F31" s="61">
        <f>+G22</f>
        <v>0.06003</v>
      </c>
      <c r="G31" s="33" t="e">
        <f>+F31/F$26</f>
        <v>#DIV/0!</v>
      </c>
      <c r="K31" s="62"/>
    </row>
    <row r="32" spans="1:11" ht="12.75">
      <c r="A32" s="1" t="s">
        <v>66</v>
      </c>
      <c r="B32" s="1"/>
      <c r="C32" s="61">
        <f>+D23</f>
        <v>0.06167</v>
      </c>
      <c r="D32" s="33" t="e">
        <f>+C32/C$26</f>
        <v>#DIV/0!</v>
      </c>
      <c r="E32" s="1"/>
      <c r="F32" s="61">
        <f>+G23</f>
        <v>0.06909</v>
      </c>
      <c r="G32" s="33" t="e">
        <f>+F32/F$26</f>
        <v>#DIV/0!</v>
      </c>
      <c r="K32" s="62"/>
    </row>
    <row r="33" spans="1:11" ht="12.75">
      <c r="A33" s="1" t="s">
        <v>67</v>
      </c>
      <c r="B33" s="1"/>
      <c r="C33" s="6">
        <f>+(C22*D22+C23*D23)/(C23+C22)</f>
        <v>0.05590052094399164</v>
      </c>
      <c r="D33" s="33" t="e">
        <f>+C33/C$26</f>
        <v>#DIV/0!</v>
      </c>
      <c r="E33" s="1"/>
      <c r="F33" s="6">
        <f>+(F22*G22+F23*G23)/(F23+F22)</f>
        <v>0.06366013480356081</v>
      </c>
      <c r="G33" s="33" t="e">
        <f>+F33/F$26</f>
        <v>#DIV/0!</v>
      </c>
      <c r="K33" s="62"/>
    </row>
    <row r="34" ht="12.75">
      <c r="K34" s="62"/>
    </row>
    <row r="36" ht="12.75">
      <c r="A36" s="32" t="s">
        <v>68</v>
      </c>
    </row>
    <row r="37" spans="1:11" ht="25.5">
      <c r="A37" s="1"/>
      <c r="B37" s="1"/>
      <c r="C37" s="55" t="s">
        <v>53</v>
      </c>
      <c r="D37" s="55" t="s">
        <v>54</v>
      </c>
      <c r="E37" s="55"/>
      <c r="F37" s="55" t="s">
        <v>55</v>
      </c>
      <c r="G37" s="55" t="s">
        <v>56</v>
      </c>
      <c r="H37" s="1"/>
      <c r="I37" s="55" t="s">
        <v>57</v>
      </c>
      <c r="J37" s="55" t="s">
        <v>58</v>
      </c>
      <c r="K37" s="55" t="s">
        <v>59</v>
      </c>
    </row>
    <row r="38" spans="1:11" ht="12.75">
      <c r="A38" s="1" t="s">
        <v>47</v>
      </c>
      <c r="B38" s="1"/>
      <c r="C38" s="5">
        <v>2235890</v>
      </c>
      <c r="D38" s="57">
        <f>+D20</f>
        <v>5</v>
      </c>
      <c r="E38" s="55"/>
      <c r="F38" s="58">
        <f>+D38*C38</f>
        <v>11179450</v>
      </c>
      <c r="G38" s="57">
        <f>+D38*(1+K24)</f>
        <v>5.71621440956242</v>
      </c>
      <c r="H38" s="55"/>
      <c r="I38" s="58">
        <f>+G38*C38</f>
        <v>12780826.63619652</v>
      </c>
      <c r="J38" s="59">
        <f>+I38-F38</f>
        <v>1601376.6361965202</v>
      </c>
      <c r="K38" s="60">
        <f>+J38/F38</f>
        <v>0.14324288191248408</v>
      </c>
    </row>
    <row r="39" spans="1:11" ht="12.75">
      <c r="A39" s="1" t="s">
        <v>48</v>
      </c>
      <c r="B39" s="1"/>
      <c r="C39" s="5">
        <v>1158260171</v>
      </c>
      <c r="D39" s="6">
        <f>+D21</f>
        <v>0.04522</v>
      </c>
      <c r="E39" s="1"/>
      <c r="F39" s="58">
        <f>+D39*C39</f>
        <v>52376524.932620004</v>
      </c>
      <c r="G39" s="63">
        <f>+D39*(1+$K$20)</f>
        <v>0.04974200000000001</v>
      </c>
      <c r="H39" s="1"/>
      <c r="I39" s="58">
        <f>+G39*C39</f>
        <v>57614177.42588201</v>
      </c>
      <c r="J39" s="59">
        <f>+I39-F39</f>
        <v>5237652.493262008</v>
      </c>
      <c r="K39" s="60">
        <f>+J39/F39</f>
        <v>0.10000000000000014</v>
      </c>
    </row>
    <row r="40" spans="1:11" ht="12.75">
      <c r="A40" s="1" t="s">
        <v>49</v>
      </c>
      <c r="B40" s="1"/>
      <c r="C40" s="5">
        <v>659513997</v>
      </c>
      <c r="D40" s="6">
        <f>+D22</f>
        <v>0.05261</v>
      </c>
      <c r="E40" s="1"/>
      <c r="F40" s="58">
        <f>+D40*C40</f>
        <v>34697031.38217</v>
      </c>
      <c r="G40" s="63">
        <f>+D40*(1+$K$20)</f>
        <v>0.057871</v>
      </c>
      <c r="H40" s="1"/>
      <c r="I40" s="58">
        <f>+G40*C40</f>
        <v>38166734.520387</v>
      </c>
      <c r="J40" s="59">
        <f>+I40-F40</f>
        <v>3469703.138217002</v>
      </c>
      <c r="K40" s="60">
        <f>+J40/F40</f>
        <v>0.10000000000000006</v>
      </c>
    </row>
    <row r="41" spans="1:11" ht="12.75">
      <c r="A41" s="1" t="s">
        <v>50</v>
      </c>
      <c r="B41" s="1"/>
      <c r="C41" s="5">
        <v>376142213</v>
      </c>
      <c r="D41" s="6">
        <f>+D23</f>
        <v>0.06167</v>
      </c>
      <c r="E41" s="1"/>
      <c r="F41" s="58">
        <f>+D41*C41</f>
        <v>23196690.27571</v>
      </c>
      <c r="G41" s="63">
        <f>+D41*(1+$K$20)</f>
        <v>0.06783700000000001</v>
      </c>
      <c r="H41" s="1"/>
      <c r="I41" s="58">
        <f>+G41*C41</f>
        <v>25516359.303281</v>
      </c>
      <c r="J41" s="59">
        <f>+I41-F41</f>
        <v>2319669.027571</v>
      </c>
      <c r="K41" s="60">
        <f>+J41/F41</f>
        <v>0.1</v>
      </c>
    </row>
    <row r="42" spans="1:11" ht="12.75">
      <c r="A42" s="1" t="s">
        <v>69</v>
      </c>
      <c r="B42" s="1"/>
      <c r="C42" s="5">
        <f>SUM(C39:C41)</f>
        <v>2193916381</v>
      </c>
      <c r="D42" s="1"/>
      <c r="E42" s="1"/>
      <c r="F42" s="8">
        <f>SUM(F38:F41)</f>
        <v>121449696.59050001</v>
      </c>
      <c r="G42" s="1"/>
      <c r="H42" s="1"/>
      <c r="I42" s="8">
        <f>SUM(I38:I41)</f>
        <v>134078097.88574654</v>
      </c>
      <c r="J42" s="8">
        <f>SUM(J38:J41)</f>
        <v>12628401.29524653</v>
      </c>
      <c r="K42" s="60">
        <f>+J42/F42</f>
        <v>0.10398050921301638</v>
      </c>
    </row>
    <row r="46" ht="12.75">
      <c r="A46" s="32" t="s">
        <v>70</v>
      </c>
    </row>
    <row r="47" spans="1:11" ht="25.5">
      <c r="A47" s="1"/>
      <c r="B47" s="1"/>
      <c r="C47" s="55" t="s">
        <v>53</v>
      </c>
      <c r="D47" s="55" t="s">
        <v>54</v>
      </c>
      <c r="E47" s="55"/>
      <c r="F47" s="55" t="s">
        <v>55</v>
      </c>
      <c r="G47" s="55" t="s">
        <v>56</v>
      </c>
      <c r="H47" s="1"/>
      <c r="I47" s="55" t="s">
        <v>57</v>
      </c>
      <c r="J47" s="55" t="s">
        <v>58</v>
      </c>
      <c r="K47" s="55" t="s">
        <v>59</v>
      </c>
    </row>
    <row r="48" spans="1:11" ht="12.75">
      <c r="A48" s="1" t="s">
        <v>47</v>
      </c>
      <c r="B48" s="1"/>
      <c r="C48" s="5">
        <v>2235890</v>
      </c>
      <c r="D48" s="57">
        <f>+D38</f>
        <v>5</v>
      </c>
      <c r="E48" s="55"/>
      <c r="F48" s="58">
        <f>+D48*C48</f>
        <v>11179450</v>
      </c>
      <c r="G48" s="57">
        <v>5.5</v>
      </c>
      <c r="H48" s="55"/>
      <c r="I48" s="58">
        <f>+G48*C48</f>
        <v>12297395</v>
      </c>
      <c r="J48" s="59">
        <f>+I48-F48</f>
        <v>1117945</v>
      </c>
      <c r="K48" s="60">
        <f>+J48/F48</f>
        <v>0.1</v>
      </c>
    </row>
    <row r="49" spans="1:11" ht="12.75">
      <c r="A49" s="1" t="s">
        <v>48</v>
      </c>
      <c r="B49" s="1"/>
      <c r="C49" s="5">
        <v>1158260171</v>
      </c>
      <c r="D49" s="6">
        <f>+D39</f>
        <v>0.04522</v>
      </c>
      <c r="E49" s="1"/>
      <c r="F49" s="58">
        <f>+D49*C49</f>
        <v>52376524.932620004</v>
      </c>
      <c r="G49" s="63">
        <v>0.04716</v>
      </c>
      <c r="H49" s="1"/>
      <c r="I49" s="58">
        <f>+G49*C49</f>
        <v>54623549.66436</v>
      </c>
      <c r="J49" s="59">
        <f>+I49-F49</f>
        <v>2247024.731739998</v>
      </c>
      <c r="K49" s="60">
        <f>+J49/F49</f>
        <v>0.04290137107474564</v>
      </c>
    </row>
    <row r="50" spans="1:11" ht="12.75">
      <c r="A50" s="1" t="s">
        <v>49</v>
      </c>
      <c r="B50" s="1"/>
      <c r="C50" s="5">
        <v>659513997</v>
      </c>
      <c r="D50" s="6">
        <f>+D40</f>
        <v>0.05261</v>
      </c>
      <c r="E50" s="1"/>
      <c r="F50" s="58">
        <f>+D50*C50</f>
        <v>34697031.38217</v>
      </c>
      <c r="G50" s="63">
        <f>+G49*1.4</f>
        <v>0.066024</v>
      </c>
      <c r="H50" s="1"/>
      <c r="I50" s="58">
        <f>+G50*C50</f>
        <v>43543752.137928</v>
      </c>
      <c r="J50" s="59">
        <f>+I50-F50</f>
        <v>8846720.755758002</v>
      </c>
      <c r="K50" s="60">
        <f>+J50/F50</f>
        <v>0.2549705379205475</v>
      </c>
    </row>
    <row r="51" spans="1:11" ht="12.75">
      <c r="A51" s="1" t="s">
        <v>50</v>
      </c>
      <c r="B51" s="1"/>
      <c r="C51" s="5">
        <v>376142213</v>
      </c>
      <c r="D51" s="6">
        <f>+D41</f>
        <v>0.06167</v>
      </c>
      <c r="E51" s="1"/>
      <c r="F51" s="58">
        <f>+D51*C51</f>
        <v>23196690.27571</v>
      </c>
      <c r="G51" s="63">
        <f>+G49*1.6</f>
        <v>0.07545600000000001</v>
      </c>
      <c r="H51" s="1"/>
      <c r="I51" s="58">
        <f>+G51*C51</f>
        <v>28382186.824128002</v>
      </c>
      <c r="J51" s="59">
        <f>+I51-F51</f>
        <v>5185496.548418</v>
      </c>
      <c r="K51" s="60">
        <f>+J51/F51</f>
        <v>0.22354467326090482</v>
      </c>
    </row>
    <row r="52" spans="1:11" ht="12.75">
      <c r="A52" s="1" t="s">
        <v>69</v>
      </c>
      <c r="B52" s="1"/>
      <c r="C52" s="5">
        <f>SUM(C49:C51)</f>
        <v>2193916381</v>
      </c>
      <c r="D52" s="1"/>
      <c r="E52" s="1"/>
      <c r="F52" s="8">
        <f>SUM(F48:F51)</f>
        <v>121449696.59050001</v>
      </c>
      <c r="G52" s="1"/>
      <c r="H52" s="1"/>
      <c r="I52" s="8">
        <f>SUM(I48:I51)</f>
        <v>138846883.626416</v>
      </c>
      <c r="J52" s="8">
        <f>SUM(J48:J51)</f>
        <v>17397187.035916</v>
      </c>
      <c r="K52" s="60">
        <f>+J52/F52</f>
        <v>0.14324603127313895</v>
      </c>
    </row>
    <row r="56" ht="12.75">
      <c r="A56" s="32" t="s">
        <v>71</v>
      </c>
    </row>
    <row r="57" spans="1:11" ht="25.5">
      <c r="A57" s="1"/>
      <c r="B57" s="1"/>
      <c r="C57" s="55" t="s">
        <v>53</v>
      </c>
      <c r="D57" s="55" t="s">
        <v>54</v>
      </c>
      <c r="E57" s="55"/>
      <c r="F57" s="55" t="s">
        <v>55</v>
      </c>
      <c r="G57" s="55" t="s">
        <v>56</v>
      </c>
      <c r="H57" s="1"/>
      <c r="I57" s="55" t="s">
        <v>57</v>
      </c>
      <c r="J57" s="55" t="s">
        <v>58</v>
      </c>
      <c r="K57" s="55" t="s">
        <v>59</v>
      </c>
    </row>
    <row r="58" spans="1:11" ht="12.75">
      <c r="A58" s="1" t="s">
        <v>47</v>
      </c>
      <c r="B58" s="1"/>
      <c r="C58" s="5">
        <v>2235890</v>
      </c>
      <c r="D58" s="57">
        <f>+D48</f>
        <v>5</v>
      </c>
      <c r="E58" s="55"/>
      <c r="F58" s="58">
        <f>+D58*C58</f>
        <v>11179450</v>
      </c>
      <c r="G58" s="57">
        <v>5.5</v>
      </c>
      <c r="H58" s="55"/>
      <c r="I58" s="58">
        <f>+G58*C58</f>
        <v>12297395</v>
      </c>
      <c r="J58" s="59">
        <f>+I58-F58</f>
        <v>1117945</v>
      </c>
      <c r="K58" s="60">
        <f>+J58/F58</f>
        <v>0.1</v>
      </c>
    </row>
    <row r="59" spans="1:11" ht="12.75">
      <c r="A59" s="1" t="s">
        <v>48</v>
      </c>
      <c r="B59" s="1"/>
      <c r="C59" s="5">
        <v>1158260171</v>
      </c>
      <c r="D59" s="6">
        <f>+D49</f>
        <v>0.04522</v>
      </c>
      <c r="E59" s="1"/>
      <c r="F59" s="58">
        <f>+D59*C59</f>
        <v>52376524.932620004</v>
      </c>
      <c r="G59" s="63">
        <f>+D59*(1+K52*0.75)</f>
        <v>0.05007818915062851</v>
      </c>
      <c r="H59" s="1"/>
      <c r="I59" s="58">
        <f>+G59*C59</f>
        <v>58003571.928977326</v>
      </c>
      <c r="J59" s="59">
        <f>+I59-F59</f>
        <v>5627046.996357322</v>
      </c>
      <c r="K59" s="60">
        <f>+J59/F59</f>
        <v>0.10743452345485424</v>
      </c>
    </row>
    <row r="60" spans="1:11" ht="12.75">
      <c r="A60" s="1" t="s">
        <v>49</v>
      </c>
      <c r="B60" s="1"/>
      <c r="C60" s="5">
        <v>659513997</v>
      </c>
      <c r="D60" s="6">
        <f>+D50</f>
        <v>0.05261</v>
      </c>
      <c r="E60" s="1"/>
      <c r="F60" s="58">
        <f>+D60*C60</f>
        <v>34697031.38217</v>
      </c>
      <c r="G60" s="63">
        <f>+D60*(1+K52)</f>
        <v>0.06014617370527984</v>
      </c>
      <c r="H60" s="1"/>
      <c r="I60" s="58">
        <f>+G60*C60</f>
        <v>39667243.424625404</v>
      </c>
      <c r="J60" s="59">
        <f>+I60-F60</f>
        <v>4970212.042455405</v>
      </c>
      <c r="K60" s="60">
        <f>+J60/F60</f>
        <v>0.1432460312731389</v>
      </c>
    </row>
    <row r="61" spans="1:11" ht="12.75">
      <c r="A61" s="1" t="s">
        <v>50</v>
      </c>
      <c r="B61" s="1"/>
      <c r="C61" s="5">
        <v>376142213</v>
      </c>
      <c r="D61" s="6">
        <f>+D51</f>
        <v>0.06167</v>
      </c>
      <c r="E61" s="1"/>
      <c r="F61" s="58">
        <f>+D61*C61</f>
        <v>23196690.27571</v>
      </c>
      <c r="G61" s="63">
        <f>+D61+(J61/C61)</f>
        <v>0.06409779785111172</v>
      </c>
      <c r="H61" s="1"/>
      <c r="I61" s="58">
        <f>+G61*C61</f>
        <v>24109887.53214381</v>
      </c>
      <c r="J61" s="59">
        <f>+J42-J60-J59-J58</f>
        <v>913197.2564338036</v>
      </c>
      <c r="K61" s="60">
        <f>+J61/F61</f>
        <v>0.03936756690630308</v>
      </c>
    </row>
    <row r="62" spans="1:11" ht="12.75">
      <c r="A62" s="1" t="s">
        <v>69</v>
      </c>
      <c r="B62" s="1"/>
      <c r="C62" s="5">
        <f>SUM(C59:C61)</f>
        <v>2193916381</v>
      </c>
      <c r="D62" s="1"/>
      <c r="E62" s="1"/>
      <c r="F62" s="8">
        <f>SUM(F58:F61)</f>
        <v>121449696.59050001</v>
      </c>
      <c r="G62" s="1"/>
      <c r="H62" s="1"/>
      <c r="I62" s="8">
        <f>SUM(I58:I61)</f>
        <v>134078097.88574654</v>
      </c>
      <c r="J62" s="8">
        <f>SUM(J58:J61)</f>
        <v>12628401.29524653</v>
      </c>
      <c r="K62" s="60">
        <f>+J62/F62</f>
        <v>0.10398050921301638</v>
      </c>
    </row>
    <row r="66" spans="1:4" ht="12.75">
      <c r="A66" s="32" t="s">
        <v>72</v>
      </c>
      <c r="B66" s="32"/>
      <c r="C66" s="32"/>
      <c r="D66" s="32"/>
    </row>
    <row r="67" spans="1:4" ht="12.75">
      <c r="A67" s="32" t="s">
        <v>73</v>
      </c>
      <c r="B67" s="32"/>
      <c r="C67" s="32"/>
      <c r="D67" s="32"/>
    </row>
    <row r="68" spans="1:7" ht="12.75">
      <c r="A68" s="1"/>
      <c r="B68" s="1"/>
      <c r="C68" s="1" t="s">
        <v>74</v>
      </c>
      <c r="D68" s="1" t="s">
        <v>62</v>
      </c>
      <c r="E68" s="1"/>
      <c r="F68" s="1" t="s">
        <v>75</v>
      </c>
      <c r="G68" s="1" t="s">
        <v>62</v>
      </c>
    </row>
    <row r="69" spans="1:7" ht="12.75">
      <c r="A69" s="1" t="s">
        <v>47</v>
      </c>
      <c r="B69" s="1"/>
      <c r="C69" s="1">
        <v>5.75</v>
      </c>
      <c r="D69" s="1"/>
      <c r="E69" s="1"/>
      <c r="F69" s="1">
        <v>4.75</v>
      </c>
      <c r="G69" s="1"/>
    </row>
    <row r="70" spans="1:7" ht="12.75">
      <c r="A70" s="1" t="s">
        <v>48</v>
      </c>
      <c r="B70" s="1"/>
      <c r="C70" s="1">
        <v>0.06933</v>
      </c>
      <c r="D70" s="1"/>
      <c r="E70" s="1"/>
      <c r="F70" s="1">
        <v>0.04285</v>
      </c>
      <c r="G70" s="1"/>
    </row>
    <row r="71" spans="1:7" ht="12.75">
      <c r="A71" s="1" t="s">
        <v>49</v>
      </c>
      <c r="B71" s="1"/>
      <c r="C71" s="1">
        <v>0.084966</v>
      </c>
      <c r="D71" s="7">
        <f>+C71/C70</f>
        <v>1.225530073561229</v>
      </c>
      <c r="E71" s="1"/>
      <c r="F71" s="1">
        <v>0.06766</v>
      </c>
      <c r="G71" s="7">
        <f>+F71/F70</f>
        <v>1.5789964994165695</v>
      </c>
    </row>
    <row r="72" spans="1:7" ht="12.75">
      <c r="A72" s="1" t="s">
        <v>76</v>
      </c>
      <c r="B72" s="1"/>
      <c r="C72" s="1">
        <v>0.084966</v>
      </c>
      <c r="D72" s="7">
        <f>+C72/C70</f>
        <v>1.225530073561229</v>
      </c>
      <c r="E72" s="1"/>
      <c r="F72" s="1">
        <v>0.06766</v>
      </c>
      <c r="G72" s="7">
        <f>+F72/F70</f>
        <v>1.5789964994165695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1">
      <selection activeCell="G100" sqref="G100"/>
    </sheetView>
  </sheetViews>
  <sheetFormatPr defaultColWidth="9.140625" defaultRowHeight="12.75"/>
  <cols>
    <col min="4" max="4" width="12.8515625" style="0" customWidth="1"/>
    <col min="5" max="5" width="11.57421875" style="0" customWidth="1"/>
    <col min="6" max="6" width="13.7109375" style="0" customWidth="1"/>
    <col min="7" max="7" width="11.57421875" style="0" customWidth="1"/>
    <col min="8" max="8" width="13.7109375" style="0" customWidth="1"/>
    <col min="9" max="9" width="11.57421875" style="0" customWidth="1"/>
  </cols>
  <sheetData>
    <row r="1" ht="12.75">
      <c r="A1" t="s">
        <v>110</v>
      </c>
    </row>
    <row r="3" ht="12.75">
      <c r="A3" t="s">
        <v>111</v>
      </c>
    </row>
    <row r="4" ht="13.5" thickBot="1">
      <c r="A4" t="s">
        <v>114</v>
      </c>
    </row>
    <row r="5" spans="1:10" ht="25.5">
      <c r="A5" s="18"/>
      <c r="B5" s="19"/>
      <c r="C5" s="19"/>
      <c r="D5" s="68" t="s">
        <v>53</v>
      </c>
      <c r="E5" s="68" t="s">
        <v>78</v>
      </c>
      <c r="F5" s="68" t="s">
        <v>113</v>
      </c>
      <c r="G5" s="102" t="s">
        <v>115</v>
      </c>
      <c r="H5" s="102" t="s">
        <v>98</v>
      </c>
      <c r="I5" s="102" t="s">
        <v>116</v>
      </c>
      <c r="J5" s="103" t="s">
        <v>117</v>
      </c>
    </row>
    <row r="6" spans="1:10" ht="12.75">
      <c r="A6" s="12"/>
      <c r="B6" s="1"/>
      <c r="C6" s="1"/>
      <c r="D6" s="1"/>
      <c r="E6" s="1"/>
      <c r="F6" s="1"/>
      <c r="G6" s="1"/>
      <c r="H6" s="1"/>
      <c r="I6" s="1"/>
      <c r="J6" s="14"/>
    </row>
    <row r="7" spans="1:10" ht="12.75">
      <c r="A7" s="12" t="s">
        <v>99</v>
      </c>
      <c r="B7" s="1"/>
      <c r="C7" s="1"/>
      <c r="D7" s="5">
        <v>296635</v>
      </c>
      <c r="E7" s="34">
        <v>5.75</v>
      </c>
      <c r="F7" s="3">
        <f>+E7*D7</f>
        <v>1705651.25</v>
      </c>
      <c r="G7" s="34">
        <v>6</v>
      </c>
      <c r="H7" s="3">
        <f>+G7*D7</f>
        <v>1779810</v>
      </c>
      <c r="I7" s="8">
        <f>+H7-F7</f>
        <v>74158.75</v>
      </c>
      <c r="J7" s="104">
        <f>+I7/F7</f>
        <v>0.043478260869565216</v>
      </c>
    </row>
    <row r="8" spans="1:10" ht="12.75">
      <c r="A8" s="12" t="s">
        <v>112</v>
      </c>
      <c r="B8" s="1"/>
      <c r="C8" s="1"/>
      <c r="D8" s="5">
        <v>371391018</v>
      </c>
      <c r="E8" s="6">
        <v>0.073</v>
      </c>
      <c r="F8" s="3">
        <f>+E8*D8</f>
        <v>27111544.314</v>
      </c>
      <c r="G8" s="6">
        <v>0.07974</v>
      </c>
      <c r="H8" s="3">
        <f>+G8*D8</f>
        <v>29614719.77532</v>
      </c>
      <c r="I8" s="8">
        <f>+H8-F8</f>
        <v>2503175.4613200016</v>
      </c>
      <c r="J8" s="104">
        <f>+I8/F8</f>
        <v>0.09232876712328773</v>
      </c>
    </row>
    <row r="9" spans="1:10" ht="13.5" thickBot="1">
      <c r="A9" s="17" t="s">
        <v>102</v>
      </c>
      <c r="B9" s="72"/>
      <c r="C9" s="72"/>
      <c r="D9" s="73">
        <v>115794</v>
      </c>
      <c r="E9" s="79">
        <v>3.5</v>
      </c>
      <c r="F9" s="3">
        <f>+E9*D9</f>
        <v>405279</v>
      </c>
      <c r="G9" s="79">
        <v>3.5</v>
      </c>
      <c r="H9" s="3">
        <f>+G9*D9</f>
        <v>405279</v>
      </c>
      <c r="I9" s="8">
        <f>+H9-F9</f>
        <v>0</v>
      </c>
      <c r="J9" s="104">
        <f>+I9/F9</f>
        <v>0</v>
      </c>
    </row>
    <row r="10" ht="12.75">
      <c r="D10" s="64"/>
    </row>
    <row r="11" ht="12.75">
      <c r="A11" t="s">
        <v>118</v>
      </c>
    </row>
    <row r="13" ht="12.75">
      <c r="A13" t="s">
        <v>122</v>
      </c>
    </row>
    <row r="14" ht="13.5" thickBot="1"/>
    <row r="15" spans="1:10" ht="38.25">
      <c r="A15" s="18" t="s">
        <v>4</v>
      </c>
      <c r="B15" s="68" t="s">
        <v>128</v>
      </c>
      <c r="C15" s="68" t="s">
        <v>129</v>
      </c>
      <c r="D15" s="68" t="s">
        <v>119</v>
      </c>
      <c r="E15" s="68" t="s">
        <v>123</v>
      </c>
      <c r="F15" s="68" t="s">
        <v>124</v>
      </c>
      <c r="G15" s="68" t="s">
        <v>125</v>
      </c>
      <c r="H15" s="68" t="s">
        <v>126</v>
      </c>
      <c r="I15" s="68" t="s">
        <v>120</v>
      </c>
      <c r="J15" s="69" t="s">
        <v>121</v>
      </c>
    </row>
    <row r="16" spans="1:10" ht="12.75">
      <c r="A16" s="12"/>
      <c r="B16" s="1"/>
      <c r="C16" s="1"/>
      <c r="D16" s="1"/>
      <c r="E16" s="1"/>
      <c r="F16" s="1"/>
      <c r="G16" s="1"/>
      <c r="H16" s="1"/>
      <c r="I16" s="1"/>
      <c r="J16" s="14"/>
    </row>
    <row r="17" spans="1:10" ht="12.75">
      <c r="A17" s="12">
        <v>0</v>
      </c>
      <c r="B17" s="105">
        <f aca="true" t="shared" si="0" ref="B17:B26">+A17/720/0.3</f>
        <v>0</v>
      </c>
      <c r="C17" s="1">
        <f>+B17/2</f>
        <v>0</v>
      </c>
      <c r="D17" s="34">
        <f>+G7</f>
        <v>6</v>
      </c>
      <c r="E17" s="34">
        <v>0</v>
      </c>
      <c r="F17" s="34">
        <f>+E17+D17</f>
        <v>6</v>
      </c>
      <c r="G17" s="1">
        <v>0</v>
      </c>
      <c r="H17" s="67">
        <f>+G17+D17</f>
        <v>6</v>
      </c>
      <c r="I17" s="1"/>
      <c r="J17" s="14"/>
    </row>
    <row r="18" spans="1:10" ht="12.75">
      <c r="A18" s="12">
        <v>500</v>
      </c>
      <c r="B18" s="105">
        <f t="shared" si="0"/>
        <v>2.314814814814815</v>
      </c>
      <c r="C18" s="105">
        <f>+B18/2</f>
        <v>1.1574074074074074</v>
      </c>
      <c r="D18" s="34">
        <f>+$G$7+A18*$G$8</f>
        <v>45.870000000000005</v>
      </c>
      <c r="E18" s="34">
        <v>0</v>
      </c>
      <c r="F18" s="34">
        <f aca="true" t="shared" si="1" ref="F18:F26">+E18+D18</f>
        <v>45.870000000000005</v>
      </c>
      <c r="G18" s="1">
        <v>0</v>
      </c>
      <c r="H18" s="67">
        <f aca="true" t="shared" si="2" ref="H18:H26">+G18+D18</f>
        <v>45.870000000000005</v>
      </c>
      <c r="I18" s="44">
        <f>+F18/A18</f>
        <v>0.09174000000000002</v>
      </c>
      <c r="J18" s="106">
        <f>+H18/A18</f>
        <v>0.09174000000000002</v>
      </c>
    </row>
    <row r="19" spans="1:10" ht="12.75">
      <c r="A19" s="12">
        <v>1000</v>
      </c>
      <c r="B19" s="105">
        <f t="shared" si="0"/>
        <v>4.62962962962963</v>
      </c>
      <c r="C19" s="105">
        <f aca="true" t="shared" si="3" ref="C19:C26">+B19/2</f>
        <v>2.314814814814815</v>
      </c>
      <c r="D19" s="34">
        <f aca="true" t="shared" si="4" ref="D19:D26">+$G$7+A19*$G$8</f>
        <v>85.74000000000001</v>
      </c>
      <c r="E19" s="34">
        <v>0</v>
      </c>
      <c r="F19" s="34">
        <f t="shared" si="1"/>
        <v>85.74000000000001</v>
      </c>
      <c r="G19" s="1">
        <v>0</v>
      </c>
      <c r="H19" s="67">
        <f t="shared" si="2"/>
        <v>85.74000000000001</v>
      </c>
      <c r="I19" s="44">
        <f aca="true" t="shared" si="5" ref="I19:I26">+F19/A19</f>
        <v>0.08574000000000001</v>
      </c>
      <c r="J19" s="106">
        <f aca="true" t="shared" si="6" ref="J19:J26">+H19/A19</f>
        <v>0.08574000000000001</v>
      </c>
    </row>
    <row r="20" spans="1:10" ht="12.75">
      <c r="A20" s="12">
        <v>2000</v>
      </c>
      <c r="B20" s="105">
        <f t="shared" si="0"/>
        <v>9.25925925925926</v>
      </c>
      <c r="C20" s="105">
        <f t="shared" si="3"/>
        <v>4.62962962962963</v>
      </c>
      <c r="D20" s="34">
        <f t="shared" si="4"/>
        <v>165.48000000000002</v>
      </c>
      <c r="E20" s="34">
        <v>0</v>
      </c>
      <c r="F20" s="34">
        <f t="shared" si="1"/>
        <v>165.48000000000002</v>
      </c>
      <c r="G20" s="1">
        <v>0</v>
      </c>
      <c r="H20" s="67">
        <f t="shared" si="2"/>
        <v>165.48000000000002</v>
      </c>
      <c r="I20" s="44">
        <f t="shared" si="5"/>
        <v>0.08274000000000001</v>
      </c>
      <c r="J20" s="106">
        <f t="shared" si="6"/>
        <v>0.08274000000000001</v>
      </c>
    </row>
    <row r="21" spans="1:10" ht="12.75">
      <c r="A21" s="12">
        <v>5000</v>
      </c>
      <c r="B21" s="105">
        <f t="shared" si="0"/>
        <v>23.14814814814815</v>
      </c>
      <c r="C21" s="105">
        <f t="shared" si="3"/>
        <v>11.574074074074074</v>
      </c>
      <c r="D21" s="34">
        <f t="shared" si="4"/>
        <v>404.70000000000005</v>
      </c>
      <c r="E21" s="34">
        <f aca="true" t="shared" si="7" ref="E21:E26">+(B21-20)*$E$9</f>
        <v>11.01851851851852</v>
      </c>
      <c r="F21" s="34">
        <f t="shared" si="1"/>
        <v>415.7185185185186</v>
      </c>
      <c r="G21" s="1">
        <v>0</v>
      </c>
      <c r="H21" s="67">
        <f t="shared" si="2"/>
        <v>404.70000000000005</v>
      </c>
      <c r="I21" s="44">
        <f t="shared" si="5"/>
        <v>0.08314370370370372</v>
      </c>
      <c r="J21" s="106">
        <f t="shared" si="6"/>
        <v>0.08094000000000001</v>
      </c>
    </row>
    <row r="22" spans="1:10" ht="12.75">
      <c r="A22" s="12">
        <v>10000</v>
      </c>
      <c r="B22" s="105">
        <f t="shared" si="0"/>
        <v>46.2962962962963</v>
      </c>
      <c r="C22" s="105">
        <f t="shared" si="3"/>
        <v>23.14814814814815</v>
      </c>
      <c r="D22" s="34">
        <f t="shared" si="4"/>
        <v>803.4000000000001</v>
      </c>
      <c r="E22" s="34">
        <f t="shared" si="7"/>
        <v>92.03703703703704</v>
      </c>
      <c r="F22" s="34">
        <f t="shared" si="1"/>
        <v>895.4370370370372</v>
      </c>
      <c r="G22" s="34">
        <f>+(C22-20)*$G$9</f>
        <v>11.01851851851852</v>
      </c>
      <c r="H22" s="67">
        <f t="shared" si="2"/>
        <v>814.4185185185186</v>
      </c>
      <c r="I22" s="44">
        <f t="shared" si="5"/>
        <v>0.08954370370370372</v>
      </c>
      <c r="J22" s="106">
        <f t="shared" si="6"/>
        <v>0.08144185185185186</v>
      </c>
    </row>
    <row r="23" spans="1:10" ht="12.75">
      <c r="A23" s="12">
        <v>15000</v>
      </c>
      <c r="B23" s="105">
        <f t="shared" si="0"/>
        <v>69.44444444444444</v>
      </c>
      <c r="C23" s="105">
        <f t="shared" si="3"/>
        <v>34.72222222222222</v>
      </c>
      <c r="D23" s="34">
        <f t="shared" si="4"/>
        <v>1202.1000000000001</v>
      </c>
      <c r="E23" s="34">
        <f t="shared" si="7"/>
        <v>173.05555555555554</v>
      </c>
      <c r="F23" s="34">
        <f t="shared" si="1"/>
        <v>1375.1555555555556</v>
      </c>
      <c r="G23" s="34">
        <f>+(C23-20)*$G$9</f>
        <v>51.52777777777777</v>
      </c>
      <c r="H23" s="67">
        <f t="shared" si="2"/>
        <v>1253.627777777778</v>
      </c>
      <c r="I23" s="44">
        <f t="shared" si="5"/>
        <v>0.09167703703703704</v>
      </c>
      <c r="J23" s="106">
        <f t="shared" si="6"/>
        <v>0.0835751851851852</v>
      </c>
    </row>
    <row r="24" spans="1:10" ht="12.75">
      <c r="A24" s="12">
        <v>20000</v>
      </c>
      <c r="B24" s="105">
        <f t="shared" si="0"/>
        <v>92.5925925925926</v>
      </c>
      <c r="C24" s="105">
        <f t="shared" si="3"/>
        <v>46.2962962962963</v>
      </c>
      <c r="D24" s="34">
        <f t="shared" si="4"/>
        <v>1600.8000000000002</v>
      </c>
      <c r="E24" s="34">
        <f t="shared" si="7"/>
        <v>254.07407407407408</v>
      </c>
      <c r="F24" s="34">
        <f t="shared" si="1"/>
        <v>1854.8740740740743</v>
      </c>
      <c r="G24" s="34">
        <f>+(C24-20)*$G$9</f>
        <v>92.03703703703704</v>
      </c>
      <c r="H24" s="67">
        <f t="shared" si="2"/>
        <v>1692.8370370370371</v>
      </c>
      <c r="I24" s="44">
        <f t="shared" si="5"/>
        <v>0.09274370370370372</v>
      </c>
      <c r="J24" s="106">
        <f t="shared" si="6"/>
        <v>0.08464185185185186</v>
      </c>
    </row>
    <row r="25" spans="1:10" ht="12.75">
      <c r="A25" s="12">
        <v>30000</v>
      </c>
      <c r="B25" s="105">
        <f t="shared" si="0"/>
        <v>138.88888888888889</v>
      </c>
      <c r="C25" s="105">
        <f t="shared" si="3"/>
        <v>69.44444444444444</v>
      </c>
      <c r="D25" s="34">
        <f t="shared" si="4"/>
        <v>2398.2000000000003</v>
      </c>
      <c r="E25" s="34">
        <f t="shared" si="7"/>
        <v>416.1111111111111</v>
      </c>
      <c r="F25" s="34">
        <f t="shared" si="1"/>
        <v>2814.311111111111</v>
      </c>
      <c r="G25" s="34">
        <f>+(C25-20)*$G$9</f>
        <v>173.05555555555554</v>
      </c>
      <c r="H25" s="67">
        <f t="shared" si="2"/>
        <v>2571.255555555556</v>
      </c>
      <c r="I25" s="44">
        <f t="shared" si="5"/>
        <v>0.09381037037037038</v>
      </c>
      <c r="J25" s="106">
        <f t="shared" si="6"/>
        <v>0.08570851851851853</v>
      </c>
    </row>
    <row r="26" spans="1:10" ht="13.5" thickBot="1">
      <c r="A26" s="17">
        <v>50000</v>
      </c>
      <c r="B26" s="107">
        <f t="shared" si="0"/>
        <v>231.4814814814815</v>
      </c>
      <c r="C26" s="107">
        <f t="shared" si="3"/>
        <v>115.74074074074075</v>
      </c>
      <c r="D26" s="34">
        <f t="shared" si="4"/>
        <v>3993.0000000000005</v>
      </c>
      <c r="E26" s="79">
        <f t="shared" si="7"/>
        <v>740.1851851851852</v>
      </c>
      <c r="F26" s="79">
        <f t="shared" si="1"/>
        <v>4733.185185185186</v>
      </c>
      <c r="G26" s="79">
        <f>+(C26-20)*$G$9</f>
        <v>335.0925925925926</v>
      </c>
      <c r="H26" s="108">
        <f t="shared" si="2"/>
        <v>4328.092592592593</v>
      </c>
      <c r="I26" s="109">
        <f t="shared" si="5"/>
        <v>0.09466370370370372</v>
      </c>
      <c r="J26" s="110">
        <f t="shared" si="6"/>
        <v>0.08656185185185186</v>
      </c>
    </row>
    <row r="53" ht="12.75">
      <c r="A53" t="s">
        <v>127</v>
      </c>
    </row>
    <row r="54" ht="12.75">
      <c r="A54" t="s">
        <v>139</v>
      </c>
    </row>
    <row r="55" spans="1:6" ht="38.25">
      <c r="A55" s="1"/>
      <c r="B55" s="1"/>
      <c r="C55" s="1"/>
      <c r="D55" s="55" t="s">
        <v>78</v>
      </c>
      <c r="E55" s="55" t="s">
        <v>93</v>
      </c>
      <c r="F55" s="55" t="s">
        <v>105</v>
      </c>
    </row>
    <row r="56" spans="1:6" ht="12.75">
      <c r="A56" s="1" t="s">
        <v>130</v>
      </c>
      <c r="B56" s="1"/>
      <c r="C56" s="1"/>
      <c r="D56" s="67">
        <f>+E7</f>
        <v>5.75</v>
      </c>
      <c r="E56" s="67">
        <f>+G7</f>
        <v>6</v>
      </c>
      <c r="F56" s="67">
        <f>+'[1]Development of Alternative'!H10</f>
        <v>6</v>
      </c>
    </row>
    <row r="57" spans="1:6" ht="12.75">
      <c r="A57" s="1" t="s">
        <v>132</v>
      </c>
      <c r="B57" s="1"/>
      <c r="C57" s="1"/>
      <c r="D57" s="67">
        <f>+F57</f>
        <v>3.5</v>
      </c>
      <c r="E57" s="67">
        <f>+G9</f>
        <v>3.5</v>
      </c>
      <c r="F57" s="67">
        <f>+'[1]Development of Alternative'!H14</f>
        <v>3.5</v>
      </c>
    </row>
    <row r="58" spans="1:6" ht="12.75">
      <c r="A58" s="1" t="s">
        <v>131</v>
      </c>
      <c r="B58" s="1"/>
      <c r="C58" s="1"/>
      <c r="D58" s="61">
        <f>+E8</f>
        <v>0.073</v>
      </c>
      <c r="E58" s="61">
        <f>+G8</f>
        <v>0.07974</v>
      </c>
      <c r="F58" s="61">
        <f>+'[1]Development of Alternative'!H11</f>
        <v>0.08052671452137868</v>
      </c>
    </row>
    <row r="59" spans="1:6" ht="12.75">
      <c r="A59" s="1" t="s">
        <v>133</v>
      </c>
      <c r="B59" s="1"/>
      <c r="C59" s="1"/>
      <c r="D59" s="61">
        <f>+D58</f>
        <v>0.073</v>
      </c>
      <c r="E59" s="61">
        <f>+E58</f>
        <v>0.07974</v>
      </c>
      <c r="F59" s="61">
        <f>+'[1]Development of Alternative'!H12</f>
        <v>0.075</v>
      </c>
    </row>
    <row r="60" ht="13.5" thickBot="1"/>
    <row r="61" spans="1:10" ht="38.25">
      <c r="A61" s="18" t="s">
        <v>4</v>
      </c>
      <c r="B61" s="68" t="s">
        <v>128</v>
      </c>
      <c r="C61" s="68" t="s">
        <v>129</v>
      </c>
      <c r="D61" s="68" t="s">
        <v>119</v>
      </c>
      <c r="E61" s="68" t="s">
        <v>123</v>
      </c>
      <c r="F61" s="68" t="s">
        <v>124</v>
      </c>
      <c r="G61" s="68" t="s">
        <v>125</v>
      </c>
      <c r="H61" s="68" t="s">
        <v>126</v>
      </c>
      <c r="I61" s="68" t="s">
        <v>120</v>
      </c>
      <c r="J61" s="69" t="s">
        <v>121</v>
      </c>
    </row>
    <row r="62" spans="1:10" ht="12.75">
      <c r="A62" s="12"/>
      <c r="B62" s="1"/>
      <c r="C62" s="1"/>
      <c r="D62" s="1"/>
      <c r="E62" s="1"/>
      <c r="F62" s="1"/>
      <c r="G62" s="1"/>
      <c r="H62" s="1"/>
      <c r="I62" s="1"/>
      <c r="J62" s="14"/>
    </row>
    <row r="63" spans="1:10" ht="12.75">
      <c r="A63" s="12">
        <v>0</v>
      </c>
      <c r="B63" s="105">
        <f aca="true" t="shared" si="8" ref="B63:B72">+A63/720/0.3</f>
        <v>0</v>
      </c>
      <c r="C63" s="1">
        <f>+B63/2</f>
        <v>0</v>
      </c>
      <c r="D63" s="34">
        <f>+F56</f>
        <v>6</v>
      </c>
      <c r="E63" s="34">
        <v>0</v>
      </c>
      <c r="F63" s="34">
        <f>+E63+D63</f>
        <v>6</v>
      </c>
      <c r="G63" s="1">
        <v>0</v>
      </c>
      <c r="H63" s="67">
        <f>+G63+D63</f>
        <v>6</v>
      </c>
      <c r="I63" s="1"/>
      <c r="J63" s="14"/>
    </row>
    <row r="64" spans="1:10" ht="12.75">
      <c r="A64" s="12">
        <v>500</v>
      </c>
      <c r="B64" s="105">
        <f t="shared" si="8"/>
        <v>2.314814814814815</v>
      </c>
      <c r="C64" s="105">
        <f>+B64/2</f>
        <v>1.1574074074074074</v>
      </c>
      <c r="D64" s="34">
        <f>+$F$56+$F$58*A64</f>
        <v>46.26335726068934</v>
      </c>
      <c r="E64" s="34">
        <v>0</v>
      </c>
      <c r="F64" s="34">
        <f aca="true" t="shared" si="9" ref="F64:F72">+E64+D64</f>
        <v>46.26335726068934</v>
      </c>
      <c r="G64" s="1">
        <v>0</v>
      </c>
      <c r="H64" s="67">
        <f aca="true" t="shared" si="10" ref="H64:H72">+G64+D64</f>
        <v>46.26335726068934</v>
      </c>
      <c r="I64" s="44">
        <f>+F64/A64</f>
        <v>0.09252671452137867</v>
      </c>
      <c r="J64" s="106">
        <f>+H64/A64</f>
        <v>0.09252671452137867</v>
      </c>
    </row>
    <row r="65" spans="1:10" ht="12.75">
      <c r="A65" s="12">
        <v>1000</v>
      </c>
      <c r="B65" s="105">
        <f t="shared" si="8"/>
        <v>4.62962962962963</v>
      </c>
      <c r="C65" s="105">
        <f aca="true" t="shared" si="11" ref="C65:C72">+B65/2</f>
        <v>2.314814814814815</v>
      </c>
      <c r="D65" s="34">
        <f>+$F$56+$F$58*A65</f>
        <v>86.52671452137868</v>
      </c>
      <c r="E65" s="34">
        <v>0</v>
      </c>
      <c r="F65" s="34">
        <f t="shared" si="9"/>
        <v>86.52671452137868</v>
      </c>
      <c r="G65" s="1">
        <v>0</v>
      </c>
      <c r="H65" s="67">
        <f t="shared" si="10"/>
        <v>86.52671452137868</v>
      </c>
      <c r="I65" s="44">
        <f aca="true" t="shared" si="12" ref="I65:I72">+F65/A65</f>
        <v>0.08652671452137868</v>
      </c>
      <c r="J65" s="106">
        <f aca="true" t="shared" si="13" ref="J65:J72">+H65/A65</f>
        <v>0.08652671452137868</v>
      </c>
    </row>
    <row r="66" spans="1:10" ht="12.75">
      <c r="A66" s="12">
        <v>2000</v>
      </c>
      <c r="B66" s="105">
        <f t="shared" si="8"/>
        <v>9.25925925925926</v>
      </c>
      <c r="C66" s="105">
        <f t="shared" si="11"/>
        <v>4.62962962962963</v>
      </c>
      <c r="D66" s="34">
        <f>+$F$56+$F$58*A66</f>
        <v>167.05342904275736</v>
      </c>
      <c r="E66" s="34">
        <v>0</v>
      </c>
      <c r="F66" s="34">
        <f t="shared" si="9"/>
        <v>167.05342904275736</v>
      </c>
      <c r="G66" s="1">
        <v>0</v>
      </c>
      <c r="H66" s="67">
        <f t="shared" si="10"/>
        <v>167.05342904275736</v>
      </c>
      <c r="I66" s="44">
        <f t="shared" si="12"/>
        <v>0.08352671452137868</v>
      </c>
      <c r="J66" s="106">
        <f t="shared" si="13"/>
        <v>0.08352671452137868</v>
      </c>
    </row>
    <row r="67" spans="1:10" ht="12.75">
      <c r="A67" s="12">
        <v>5000</v>
      </c>
      <c r="B67" s="105">
        <f t="shared" si="8"/>
        <v>23.14814814814815</v>
      </c>
      <c r="C67" s="105">
        <f t="shared" si="11"/>
        <v>11.574074074074074</v>
      </c>
      <c r="D67" s="34">
        <f aca="true" t="shared" si="14" ref="D67:D72">4000*$F$58+(A67-4000)*$F$59+$F$56</f>
        <v>403.1068580855147</v>
      </c>
      <c r="E67" s="34">
        <f aca="true" t="shared" si="15" ref="E67:E72">+(B67-20)*$E$9</f>
        <v>11.01851851851852</v>
      </c>
      <c r="F67" s="34">
        <f t="shared" si="9"/>
        <v>414.12537660403325</v>
      </c>
      <c r="G67" s="1">
        <v>0</v>
      </c>
      <c r="H67" s="67">
        <f t="shared" si="10"/>
        <v>403.1068580855147</v>
      </c>
      <c r="I67" s="44">
        <f t="shared" si="12"/>
        <v>0.08282507532080664</v>
      </c>
      <c r="J67" s="106">
        <f t="shared" si="13"/>
        <v>0.08062137161710295</v>
      </c>
    </row>
    <row r="68" spans="1:10" ht="12.75">
      <c r="A68" s="12">
        <v>10000</v>
      </c>
      <c r="B68" s="105">
        <f t="shared" si="8"/>
        <v>46.2962962962963</v>
      </c>
      <c r="C68" s="105">
        <f t="shared" si="11"/>
        <v>23.14814814814815</v>
      </c>
      <c r="D68" s="34">
        <f t="shared" si="14"/>
        <v>778.1068580855147</v>
      </c>
      <c r="E68" s="34">
        <f t="shared" si="15"/>
        <v>92.03703703703704</v>
      </c>
      <c r="F68" s="34">
        <f t="shared" si="9"/>
        <v>870.1438951225517</v>
      </c>
      <c r="G68" s="34">
        <f>+(C68-20)*$G$9</f>
        <v>11.01851851851852</v>
      </c>
      <c r="H68" s="67">
        <f t="shared" si="10"/>
        <v>789.1253766040331</v>
      </c>
      <c r="I68" s="44">
        <f t="shared" si="12"/>
        <v>0.08701438951225517</v>
      </c>
      <c r="J68" s="106">
        <f t="shared" si="13"/>
        <v>0.07891253766040332</v>
      </c>
    </row>
    <row r="69" spans="1:10" ht="12.75">
      <c r="A69" s="12">
        <v>15000</v>
      </c>
      <c r="B69" s="105">
        <f t="shared" si="8"/>
        <v>69.44444444444444</v>
      </c>
      <c r="C69" s="105">
        <f t="shared" si="11"/>
        <v>34.72222222222222</v>
      </c>
      <c r="D69" s="34">
        <f t="shared" si="14"/>
        <v>1153.1068580855147</v>
      </c>
      <c r="E69" s="34">
        <f t="shared" si="15"/>
        <v>173.05555555555554</v>
      </c>
      <c r="F69" s="34">
        <f t="shared" si="9"/>
        <v>1326.16241364107</v>
      </c>
      <c r="G69" s="34">
        <f>+(C69-20)*$G$9</f>
        <v>51.52777777777777</v>
      </c>
      <c r="H69" s="67">
        <f t="shared" si="10"/>
        <v>1204.6346358632925</v>
      </c>
      <c r="I69" s="44">
        <f t="shared" si="12"/>
        <v>0.08841082757607134</v>
      </c>
      <c r="J69" s="106">
        <f t="shared" si="13"/>
        <v>0.0803089757242195</v>
      </c>
    </row>
    <row r="70" spans="1:10" ht="12.75">
      <c r="A70" s="12">
        <v>20000</v>
      </c>
      <c r="B70" s="105">
        <f t="shared" si="8"/>
        <v>92.5925925925926</v>
      </c>
      <c r="C70" s="105">
        <f t="shared" si="11"/>
        <v>46.2962962962963</v>
      </c>
      <c r="D70" s="34">
        <f t="shared" si="14"/>
        <v>1528.1068580855147</v>
      </c>
      <c r="E70" s="34">
        <f t="shared" si="15"/>
        <v>254.07407407407408</v>
      </c>
      <c r="F70" s="34">
        <f t="shared" si="9"/>
        <v>1782.1809321595888</v>
      </c>
      <c r="G70" s="34">
        <f>+(C70-20)*$G$9</f>
        <v>92.03703703703704</v>
      </c>
      <c r="H70" s="67">
        <f t="shared" si="10"/>
        <v>1620.1438951225516</v>
      </c>
      <c r="I70" s="44">
        <f t="shared" si="12"/>
        <v>0.08910904660797944</v>
      </c>
      <c r="J70" s="106">
        <f t="shared" si="13"/>
        <v>0.08100719475612758</v>
      </c>
    </row>
    <row r="71" spans="1:10" ht="12.75">
      <c r="A71" s="12">
        <v>30000</v>
      </c>
      <c r="B71" s="105">
        <f t="shared" si="8"/>
        <v>138.88888888888889</v>
      </c>
      <c r="C71" s="105">
        <f t="shared" si="11"/>
        <v>69.44444444444444</v>
      </c>
      <c r="D71" s="34">
        <f t="shared" si="14"/>
        <v>2278.106858085515</v>
      </c>
      <c r="E71" s="34">
        <f t="shared" si="15"/>
        <v>416.1111111111111</v>
      </c>
      <c r="F71" s="34">
        <f t="shared" si="9"/>
        <v>2694.2179691966257</v>
      </c>
      <c r="G71" s="34">
        <f>+(C71-20)*$G$9</f>
        <v>173.05555555555554</v>
      </c>
      <c r="H71" s="67">
        <f t="shared" si="10"/>
        <v>2451.1624136410705</v>
      </c>
      <c r="I71" s="44">
        <f t="shared" si="12"/>
        <v>0.08980726563988753</v>
      </c>
      <c r="J71" s="106">
        <f t="shared" si="13"/>
        <v>0.08170541378803568</v>
      </c>
    </row>
    <row r="72" spans="1:10" ht="13.5" thickBot="1">
      <c r="A72" s="17">
        <v>50000</v>
      </c>
      <c r="B72" s="107">
        <f t="shared" si="8"/>
        <v>231.4814814814815</v>
      </c>
      <c r="C72" s="107">
        <f t="shared" si="11"/>
        <v>115.74074074074075</v>
      </c>
      <c r="D72" s="34">
        <f t="shared" si="14"/>
        <v>3778.106858085515</v>
      </c>
      <c r="E72" s="79">
        <f t="shared" si="15"/>
        <v>740.1851851851852</v>
      </c>
      <c r="F72" s="79">
        <f t="shared" si="9"/>
        <v>4518.2920432707</v>
      </c>
      <c r="G72" s="79">
        <f>+(C72-20)*$G$9</f>
        <v>335.0925925925926</v>
      </c>
      <c r="H72" s="108">
        <f t="shared" si="10"/>
        <v>4113.1994506781075</v>
      </c>
      <c r="I72" s="109">
        <f t="shared" si="12"/>
        <v>0.090365840865414</v>
      </c>
      <c r="J72" s="110">
        <f t="shared" si="13"/>
        <v>0.08226398901356215</v>
      </c>
    </row>
    <row r="75" ht="12.75">
      <c r="A75" t="s">
        <v>134</v>
      </c>
    </row>
    <row r="77" ht="13.5" thickBot="1"/>
    <row r="78" spans="1:10" ht="38.25">
      <c r="A78" s="18" t="s">
        <v>4</v>
      </c>
      <c r="B78" s="68" t="s">
        <v>128</v>
      </c>
      <c r="C78" s="68"/>
      <c r="D78" s="68" t="s">
        <v>61</v>
      </c>
      <c r="E78" s="68"/>
      <c r="F78" s="68" t="s">
        <v>63</v>
      </c>
      <c r="G78" s="68" t="s">
        <v>135</v>
      </c>
      <c r="H78" s="68" t="s">
        <v>138</v>
      </c>
      <c r="I78" s="68" t="s">
        <v>137</v>
      </c>
      <c r="J78" s="69" t="s">
        <v>136</v>
      </c>
    </row>
    <row r="79" spans="1:10" ht="12.75">
      <c r="A79" s="12"/>
      <c r="B79" s="1"/>
      <c r="C79" s="1"/>
      <c r="D79" s="1"/>
      <c r="E79" s="1"/>
      <c r="F79" s="1"/>
      <c r="G79" s="1"/>
      <c r="H79" s="1"/>
      <c r="I79" s="1"/>
      <c r="J79" s="14"/>
    </row>
    <row r="80" spans="1:10" ht="12.75">
      <c r="A80" s="12">
        <v>0</v>
      </c>
      <c r="B80" s="105">
        <f aca="true" t="shared" si="16" ref="B80:B89">+A80/720/0.3</f>
        <v>0</v>
      </c>
      <c r="C80" s="1"/>
      <c r="D80" s="34">
        <f>+E7</f>
        <v>5.75</v>
      </c>
      <c r="E80" s="34"/>
      <c r="F80" s="34">
        <f>+F17</f>
        <v>6</v>
      </c>
      <c r="G80" s="67">
        <f aca="true" t="shared" si="17" ref="G80:G89">+F63</f>
        <v>6</v>
      </c>
      <c r="H80" s="7">
        <f aca="true" t="shared" si="18" ref="H80:H89">+F80/D80-1</f>
        <v>0.04347826086956519</v>
      </c>
      <c r="I80" s="7">
        <f aca="true" t="shared" si="19" ref="I80:I89">+G80/D80-1</f>
        <v>0.04347826086956519</v>
      </c>
      <c r="J80" s="104">
        <f aca="true" t="shared" si="20" ref="J80:J89">+G80/F80-1</f>
        <v>0</v>
      </c>
    </row>
    <row r="81" spans="1:10" ht="12.75">
      <c r="A81" s="12">
        <v>500</v>
      </c>
      <c r="B81" s="105">
        <f t="shared" si="16"/>
        <v>2.314814814814815</v>
      </c>
      <c r="C81" s="105"/>
      <c r="D81" s="34">
        <f>+$E$7+A81*$E$8</f>
        <v>42.25</v>
      </c>
      <c r="E81" s="34"/>
      <c r="F81" s="34">
        <f aca="true" t="shared" si="21" ref="F81:F89">+F18</f>
        <v>45.870000000000005</v>
      </c>
      <c r="G81" s="67">
        <f t="shared" si="17"/>
        <v>46.26335726068934</v>
      </c>
      <c r="H81" s="7">
        <f t="shared" si="18"/>
        <v>0.08568047337278117</v>
      </c>
      <c r="I81" s="7">
        <f t="shared" si="19"/>
        <v>0.094990704395014</v>
      </c>
      <c r="J81" s="104">
        <f t="shared" si="20"/>
        <v>0.008575479849342482</v>
      </c>
    </row>
    <row r="82" spans="1:10" ht="12.75">
      <c r="A82" s="12">
        <v>1000</v>
      </c>
      <c r="B82" s="105">
        <f t="shared" si="16"/>
        <v>4.62962962962963</v>
      </c>
      <c r="C82" s="105"/>
      <c r="D82" s="34">
        <f>+$E$7+A82*$E$8</f>
        <v>78.75</v>
      </c>
      <c r="E82" s="34"/>
      <c r="F82" s="34">
        <f t="shared" si="21"/>
        <v>85.74000000000001</v>
      </c>
      <c r="G82" s="67">
        <f t="shared" si="17"/>
        <v>86.52671452137868</v>
      </c>
      <c r="H82" s="7">
        <f t="shared" si="18"/>
        <v>0.08876190476190482</v>
      </c>
      <c r="I82" s="7">
        <f t="shared" si="19"/>
        <v>0.09875193043020536</v>
      </c>
      <c r="J82" s="104">
        <f t="shared" si="20"/>
        <v>0.009175583407728727</v>
      </c>
    </row>
    <row r="83" spans="1:10" ht="12.75">
      <c r="A83" s="12">
        <v>2000</v>
      </c>
      <c r="B83" s="105">
        <f t="shared" si="16"/>
        <v>9.25925925925926</v>
      </c>
      <c r="C83" s="105"/>
      <c r="D83" s="34">
        <f>+$E$7+A83*$E$8</f>
        <v>151.75</v>
      </c>
      <c r="E83" s="34"/>
      <c r="F83" s="34">
        <f t="shared" si="21"/>
        <v>165.48000000000002</v>
      </c>
      <c r="G83" s="67">
        <f t="shared" si="17"/>
        <v>167.05342904275736</v>
      </c>
      <c r="H83" s="7">
        <f t="shared" si="18"/>
        <v>0.09047775947281722</v>
      </c>
      <c r="I83" s="7">
        <f t="shared" si="19"/>
        <v>0.10084631988637471</v>
      </c>
      <c r="J83" s="104">
        <f t="shared" si="20"/>
        <v>0.009508273161453529</v>
      </c>
    </row>
    <row r="84" spans="1:10" ht="12.75">
      <c r="A84" s="12">
        <v>5000</v>
      </c>
      <c r="B84" s="105">
        <f t="shared" si="16"/>
        <v>23.14814814814815</v>
      </c>
      <c r="C84" s="105"/>
      <c r="D84" s="34">
        <f aca="true" t="shared" si="22" ref="D84:D89">+$E$7+A84*$E$8+(B84-20)*$E$9</f>
        <v>381.76851851851853</v>
      </c>
      <c r="E84" s="34"/>
      <c r="F84" s="34">
        <f t="shared" si="21"/>
        <v>415.7185185185186</v>
      </c>
      <c r="G84" s="67">
        <f t="shared" si="17"/>
        <v>414.12537660403325</v>
      </c>
      <c r="H84" s="7">
        <f t="shared" si="18"/>
        <v>0.08892823361063296</v>
      </c>
      <c r="I84" s="7">
        <f t="shared" si="19"/>
        <v>0.08475517628084672</v>
      </c>
      <c r="J84" s="104">
        <f t="shared" si="20"/>
        <v>-0.003832261117841851</v>
      </c>
    </row>
    <row r="85" spans="1:10" ht="12.75">
      <c r="A85" s="12">
        <v>10000</v>
      </c>
      <c r="B85" s="105">
        <f t="shared" si="16"/>
        <v>46.2962962962963</v>
      </c>
      <c r="C85" s="105"/>
      <c r="D85" s="34">
        <f t="shared" si="22"/>
        <v>827.7870370370371</v>
      </c>
      <c r="E85" s="34"/>
      <c r="F85" s="34">
        <f t="shared" si="21"/>
        <v>895.4370370370372</v>
      </c>
      <c r="G85" s="67">
        <f t="shared" si="17"/>
        <v>870.1438951225517</v>
      </c>
      <c r="H85" s="7">
        <f t="shared" si="18"/>
        <v>0.0817239180769791</v>
      </c>
      <c r="I85" s="7">
        <f t="shared" si="19"/>
        <v>0.051168786403234634</v>
      </c>
      <c r="J85" s="104">
        <f t="shared" si="20"/>
        <v>-0.028246700625852328</v>
      </c>
    </row>
    <row r="86" spans="1:10" ht="12.75">
      <c r="A86" s="12">
        <v>15000</v>
      </c>
      <c r="B86" s="105">
        <f t="shared" si="16"/>
        <v>69.44444444444444</v>
      </c>
      <c r="C86" s="105"/>
      <c r="D86" s="34">
        <f t="shared" si="22"/>
        <v>1273.8055555555557</v>
      </c>
      <c r="E86" s="34"/>
      <c r="F86" s="34">
        <f t="shared" si="21"/>
        <v>1375.1555555555556</v>
      </c>
      <c r="G86" s="67">
        <f t="shared" si="17"/>
        <v>1326.16241364107</v>
      </c>
      <c r="H86" s="7">
        <f t="shared" si="18"/>
        <v>0.07956473384652285</v>
      </c>
      <c r="I86" s="7">
        <f t="shared" si="19"/>
        <v>0.041102708225102313</v>
      </c>
      <c r="J86" s="104">
        <f t="shared" si="20"/>
        <v>-0.035627345369442565</v>
      </c>
    </row>
    <row r="87" spans="1:10" ht="12.75">
      <c r="A87" s="12">
        <v>20000</v>
      </c>
      <c r="B87" s="105">
        <f t="shared" si="16"/>
        <v>92.5925925925926</v>
      </c>
      <c r="C87" s="105"/>
      <c r="D87" s="34">
        <f t="shared" si="22"/>
        <v>1719.8240740740741</v>
      </c>
      <c r="E87" s="34"/>
      <c r="F87" s="34">
        <f t="shared" si="21"/>
        <v>1854.8740740740743</v>
      </c>
      <c r="G87" s="67">
        <f t="shared" si="17"/>
        <v>1782.1809321595888</v>
      </c>
      <c r="H87" s="7">
        <f t="shared" si="18"/>
        <v>0.07852547364340667</v>
      </c>
      <c r="I87" s="7">
        <f t="shared" si="19"/>
        <v>0.03625769578733595</v>
      </c>
      <c r="J87" s="104">
        <f t="shared" si="20"/>
        <v>-0.03919033800220262</v>
      </c>
    </row>
    <row r="88" spans="1:10" ht="12.75">
      <c r="A88" s="12">
        <v>30000</v>
      </c>
      <c r="B88" s="105">
        <f t="shared" si="16"/>
        <v>138.88888888888889</v>
      </c>
      <c r="C88" s="105"/>
      <c r="D88" s="34">
        <f t="shared" si="22"/>
        <v>2611.8611111111113</v>
      </c>
      <c r="E88" s="34"/>
      <c r="F88" s="34">
        <f t="shared" si="21"/>
        <v>2814.311111111111</v>
      </c>
      <c r="G88" s="67">
        <f t="shared" si="17"/>
        <v>2694.2179691966257</v>
      </c>
      <c r="H88" s="7">
        <f t="shared" si="18"/>
        <v>0.07751177853169833</v>
      </c>
      <c r="I88" s="7">
        <f t="shared" si="19"/>
        <v>0.031531867347448284</v>
      </c>
      <c r="J88" s="104">
        <f t="shared" si="20"/>
        <v>-0.04267230493471341</v>
      </c>
    </row>
    <row r="89" spans="1:10" ht="13.5" thickBot="1">
      <c r="A89" s="17">
        <v>50000</v>
      </c>
      <c r="B89" s="107">
        <f t="shared" si="16"/>
        <v>231.4814814814815</v>
      </c>
      <c r="C89" s="107"/>
      <c r="D89" s="34">
        <f t="shared" si="22"/>
        <v>4395.935185185184</v>
      </c>
      <c r="E89" s="79"/>
      <c r="F89" s="34">
        <f t="shared" si="21"/>
        <v>4733.185185185186</v>
      </c>
      <c r="G89" s="67">
        <f t="shared" si="17"/>
        <v>4518.2920432707</v>
      </c>
      <c r="H89" s="7">
        <f t="shared" si="18"/>
        <v>0.07671860157005361</v>
      </c>
      <c r="I89" s="7">
        <f t="shared" si="19"/>
        <v>0.02783409057027786</v>
      </c>
      <c r="J89" s="104">
        <f t="shared" si="20"/>
        <v>-0.045401380572875016</v>
      </c>
    </row>
    <row r="92" ht="13.5" thickBot="1"/>
    <row r="93" spans="1:5" ht="12.75">
      <c r="A93" s="95" t="s">
        <v>147</v>
      </c>
      <c r="B93" s="9"/>
      <c r="C93" s="9"/>
      <c r="D93" s="9"/>
      <c r="E93" s="10"/>
    </row>
    <row r="94" spans="1:5" ht="12.75">
      <c r="A94" s="96" t="s">
        <v>106</v>
      </c>
      <c r="B94" s="11"/>
      <c r="C94" s="11"/>
      <c r="D94" s="11"/>
      <c r="E94" s="97"/>
    </row>
    <row r="95" spans="1:5" ht="12.75">
      <c r="A95" s="96" t="s">
        <v>107</v>
      </c>
      <c r="B95" s="11"/>
      <c r="C95" s="11"/>
      <c r="D95" s="11"/>
      <c r="E95" s="97"/>
    </row>
    <row r="96" spans="1:5" ht="12.75">
      <c r="A96" s="96"/>
      <c r="B96" s="11"/>
      <c r="C96" s="11"/>
      <c r="D96" s="11"/>
      <c r="E96" s="97"/>
    </row>
    <row r="97" spans="1:5" ht="12.75">
      <c r="A97" s="12" t="s">
        <v>102</v>
      </c>
      <c r="B97" s="1"/>
      <c r="D97" s="98">
        <f>+'JL-7Sched11Rates'!C14</f>
        <v>115794</v>
      </c>
      <c r="E97" s="99"/>
    </row>
    <row r="98" spans="1:5" ht="12.75">
      <c r="A98" s="12"/>
      <c r="B98" s="1"/>
      <c r="D98" s="1"/>
      <c r="E98" s="97"/>
    </row>
    <row r="99" spans="1:5" ht="12.75">
      <c r="A99" s="12" t="s">
        <v>100</v>
      </c>
      <c r="B99" s="1"/>
      <c r="D99" s="98">
        <v>318524398</v>
      </c>
      <c r="E99" s="99"/>
    </row>
    <row r="100" spans="1:5" ht="12.75">
      <c r="A100" s="12" t="s">
        <v>108</v>
      </c>
      <c r="B100" s="1"/>
      <c r="D100" s="5">
        <f>+D101-D99</f>
        <v>52866618</v>
      </c>
      <c r="E100" s="100"/>
    </row>
    <row r="101" spans="1:5" ht="13.5" thickBot="1">
      <c r="A101" s="17" t="s">
        <v>109</v>
      </c>
      <c r="B101" s="72"/>
      <c r="D101" s="73">
        <v>371391016</v>
      </c>
      <c r="E101" s="101"/>
    </row>
  </sheetData>
  <printOptions/>
  <pageMargins left="0.75" right="0.75" top="1" bottom="1" header="0.5" footer="0.5"/>
  <pageSetup horizontalDpi="600" verticalDpi="600" orientation="landscape" r:id="rId2"/>
  <rowBreaks count="2" manualBreakCount="2">
    <brk id="27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Microdesign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Lazar</dc:creator>
  <cp:keywords/>
  <dc:description/>
  <cp:lastModifiedBy>Office of the Attorney General</cp:lastModifiedBy>
  <cp:lastPrinted>2005-08-25T16:00:54Z</cp:lastPrinted>
  <dcterms:created xsi:type="dcterms:W3CDTF">2005-07-15T20:03:07Z</dcterms:created>
  <dcterms:modified xsi:type="dcterms:W3CDTF">2005-08-25T16:05:09Z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