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45" windowWidth="15330" windowHeight="4305" firstSheet="1" activeTab="2"/>
  </bookViews>
  <sheets>
    <sheet name="2007 3rd &amp; 4th" sheetId="1" r:id="rId1"/>
    <sheet name="2007 1st &amp; 2nd" sheetId="2" r:id="rId2"/>
    <sheet name="2007 Summary" sheetId="3" r:id="rId3"/>
  </sheets>
  <externalReferences>
    <externalReference r:id="rId6"/>
  </externalReferences>
  <definedNames>
    <definedName name="Revenue_Run_Customers">#REF!</definedName>
    <definedName name="Revenue_Run_Therms">#REF!</definedName>
    <definedName name="TableName">"Dummy"</definedName>
    <definedName name="WC_Unb_Calc">#REF!</definedName>
  </definedNames>
  <calcPr fullCalcOnLoad="1"/>
</workbook>
</file>

<file path=xl/sharedStrings.xml><?xml version="1.0" encoding="utf-8"?>
<sst xmlns="http://schemas.openxmlformats.org/spreadsheetml/2006/main" count="188" uniqueCount="120">
  <si>
    <t>AVISTA UTILITIES</t>
  </si>
  <si>
    <t>Washington - Gas</t>
  </si>
  <si>
    <t>Approved Decoupling Mechanism</t>
  </si>
  <si>
    <t>2007/2008 compared to 2004 Test Year</t>
  </si>
  <si>
    <t>Adjusted for Actual New Customer Usage</t>
  </si>
  <si>
    <t>Base to be updated to reflect 1/1/2008 Effective Rates</t>
  </si>
  <si>
    <t>2nd Year Pilot Period July 2007 - June 2008</t>
  </si>
  <si>
    <t>Period to Date</t>
  </si>
  <si>
    <t>July</t>
  </si>
  <si>
    <t>August</t>
  </si>
  <si>
    <t>September</t>
  </si>
  <si>
    <t>October</t>
  </si>
  <si>
    <t>November</t>
  </si>
  <si>
    <t>December</t>
  </si>
  <si>
    <t>January</t>
  </si>
  <si>
    <t>February</t>
  </si>
  <si>
    <t>March</t>
  </si>
  <si>
    <t>April</t>
  </si>
  <si>
    <t>May</t>
  </si>
  <si>
    <t>June</t>
  </si>
  <si>
    <t>Total</t>
  </si>
  <si>
    <t>12 Months Ended June 2006 Actual</t>
  </si>
  <si>
    <t>Schedule 101</t>
  </si>
  <si>
    <t>Schedule 101 Billed Therms</t>
  </si>
  <si>
    <t>Deduct New Customer Usage(1)</t>
  </si>
  <si>
    <t>Deduct Prior Month Unbilled Therms</t>
  </si>
  <si>
    <t>Add Current Month Unbilled Therms</t>
  </si>
  <si>
    <t>Add Weather Adjustment</t>
  </si>
  <si>
    <t xml:space="preserve">   Weather Adj Calendar Therms</t>
  </si>
  <si>
    <t>Weather Adj Calendar Therms</t>
  </si>
  <si>
    <t>Less Test Year Therms</t>
  </si>
  <si>
    <t xml:space="preserve">      Therm Difference</t>
  </si>
  <si>
    <r>
      <t xml:space="preserve">      Times Current Margin Rate per Therm </t>
    </r>
    <r>
      <rPr>
        <b/>
        <i/>
        <sz val="10"/>
        <rFont val="Arial"/>
        <family val="2"/>
      </rPr>
      <t>(2)</t>
    </r>
  </si>
  <si>
    <t xml:space="preserve">         Revenue Excess (Shortfall)</t>
  </si>
  <si>
    <t>90% Limitation</t>
  </si>
  <si>
    <t xml:space="preserve">Deferred Revenue Account Entry </t>
  </si>
  <si>
    <t>407328 or (407428)</t>
  </si>
  <si>
    <r>
      <t xml:space="preserve">Revised Oct </t>
    </r>
    <r>
      <rPr>
        <b/>
        <i/>
        <sz val="10"/>
        <rFont val="Arial"/>
        <family val="2"/>
      </rPr>
      <t>(2)</t>
    </r>
  </si>
  <si>
    <t>Original Journal Entries</t>
  </si>
  <si>
    <t>Correction July through September</t>
  </si>
  <si>
    <t>(1) Per monthly reports - current month usage for new services opened since that month of the test year (2004)</t>
  </si>
  <si>
    <t>(2) Discussions with Staff and Public Counsel in Docket No. UG-071863 determined that going forward revenue related cost items should be excluded from the margin rate.  The following calculation shows what the UG-050483 margin would have been using the methodology proposed in Docket No. UG-070805 in response to Public Counsel Data Request No. 219. (See 3rd quarter report)</t>
  </si>
  <si>
    <t>Per Original Approval</t>
  </si>
  <si>
    <t xml:space="preserve"> UG-070805 Proposed Calculation Method</t>
  </si>
  <si>
    <t>Base Rate/therm</t>
  </si>
  <si>
    <t>Schedule 101 Rate/Therm</t>
  </si>
  <si>
    <t>Less Gas Cost/therm</t>
  </si>
  <si>
    <t>Times: 1 minus Revenue Related Items</t>
  </si>
  <si>
    <t xml:space="preserve">   Margin/therm</t>
  </si>
  <si>
    <t>Revenue prior to gross-up</t>
  </si>
  <si>
    <t>Less Weighted Average Gas Cost/Therm</t>
  </si>
  <si>
    <t>Revised Margin Rate/Therm</t>
  </si>
  <si>
    <t>Unbilled Calculation</t>
  </si>
  <si>
    <t>Unbilled DDH</t>
  </si>
  <si>
    <t>Unbilled Factor</t>
  </si>
  <si>
    <t>Sch. 101</t>
  </si>
  <si>
    <t>2004 Baseload</t>
  </si>
  <si>
    <t>Sensitivity</t>
  </si>
  <si>
    <t>Res 101</t>
  </si>
  <si>
    <t>Com 101</t>
  </si>
  <si>
    <t>Ind 101</t>
  </si>
  <si>
    <t>Weather Adjustment Calculation</t>
  </si>
  <si>
    <t>Annual Total</t>
  </si>
  <si>
    <t>Normal DDH</t>
  </si>
  <si>
    <t>Actual DDH</t>
  </si>
  <si>
    <t>Normal - Actual DDH</t>
  </si>
  <si>
    <t>Test Year Number of Customers by Class</t>
  </si>
  <si>
    <t>101</t>
  </si>
  <si>
    <t>01 RESIDENTIAL</t>
  </si>
  <si>
    <t>21 FIRM COMMERCIAL</t>
  </si>
  <si>
    <t>31 FIRM-MISCELLANEOUS INDUSTRIAL</t>
  </si>
  <si>
    <t>80 INTERDEPARTMENT REVENUE</t>
  </si>
  <si>
    <t>Total 101</t>
  </si>
  <si>
    <t>2007 compared to 2004 Test Year</t>
  </si>
  <si>
    <t>1st Year Pilot Period Jan - Jun 2007</t>
  </si>
  <si>
    <t>YTD Total</t>
  </si>
  <si>
    <t>2007 Actual</t>
  </si>
  <si>
    <t xml:space="preserve">      Times Current Margin Rate per Therm</t>
  </si>
  <si>
    <t>Number of Customer Analysis</t>
  </si>
  <si>
    <t>12 Months Ended December 2007 Number of Customers</t>
  </si>
  <si>
    <t>Meters</t>
  </si>
  <si>
    <t>Period</t>
  </si>
  <si>
    <t>200701</t>
  </si>
  <si>
    <t>200702</t>
  </si>
  <si>
    <t>200703</t>
  </si>
  <si>
    <t>200704</t>
  </si>
  <si>
    <t>200705</t>
  </si>
  <si>
    <t>200706</t>
  </si>
  <si>
    <t>200707</t>
  </si>
  <si>
    <t>200708</t>
  </si>
  <si>
    <t>200709</t>
  </si>
  <si>
    <t>200710</t>
  </si>
  <si>
    <t>200711</t>
  </si>
  <si>
    <t>200712</t>
  </si>
  <si>
    <t>12 Month Average</t>
  </si>
  <si>
    <t>Total Meters Billed</t>
  </si>
  <si>
    <t>101 FIRM AND GENERAL SERVICE</t>
  </si>
  <si>
    <t>Change in Number of Customers</t>
  </si>
  <si>
    <t>Average</t>
  </si>
  <si>
    <t>New Customer Report</t>
  </si>
  <si>
    <t>Sch 101</t>
  </si>
  <si>
    <t>Although in some months the opposite effect occurs, on average over the course of 2007 when "New Customers"  are deducted from the current revenue run number of meters billed, it results in 210 less</t>
  </si>
  <si>
    <t>customers than were reported on the revenue runs in 2004.  Revenue runs include various corrections, cancel and rebill and other anomalies that average out over time.</t>
  </si>
  <si>
    <t>The December results of the "New Customer" report were double checked at that time because of the variance from the revenue run expectation.  All was in order with the parameters of the queries.</t>
  </si>
  <si>
    <t>Based on 828 therms usage for average Schedule 101 customer.</t>
  </si>
  <si>
    <t>101 Usage Profile</t>
  </si>
  <si>
    <t>Claimed New Customer Usage</t>
  </si>
  <si>
    <t>Therm Difference</t>
  </si>
  <si>
    <t>Proportion of New Customer Usage</t>
  </si>
  <si>
    <t>Proportion of Usage Reduction Claimed</t>
  </si>
  <si>
    <t>From Avista's response to Data Request 7, Question 4.</t>
  </si>
  <si>
    <t>Additional Analysis</t>
  </si>
  <si>
    <t>Average Sch 101 Customer Monthly Usage</t>
  </si>
  <si>
    <t>Reflects Avista's correction.</t>
  </si>
  <si>
    <t>Reflects Avista's Correction</t>
  </si>
  <si>
    <t>Usage Difference for Change in # of Customers (therms)</t>
  </si>
  <si>
    <t>Compare New Customer Report to Change in Number of Customers after adjusting for customer migration.</t>
  </si>
  <si>
    <t>Net Migration Customer Count for 2007 Deferral</t>
  </si>
  <si>
    <t>Migration</t>
  </si>
  <si>
    <t>Therms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</si>
</sst>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000"/>
    <numFmt numFmtId="166" formatCode="_(* #,##0.0_);_(* \(#,##0.0\);_(* &quot;-&quot;??_);_(@_)"/>
    <numFmt numFmtId="167" formatCode="_(&quot;$&quot;* #,##0.0_);_(&quot;$&quot;* \(#,##0.0\);_(&quot;$&quot;* &quot;-&quot;??_);_(@_)"/>
    <numFmt numFmtId="168" formatCode="_(&quot;$&quot;* #,##0_);_(&quot;$&quot;* \(#,##0\);_(&quot;$&quot;* &quot;-&quot;??_);_(@_)"/>
    <numFmt numFmtId="169" formatCode="_(* #,##0.00000_);_(* \(#,##0.00000\);_(* &quot;-&quot;?????_);_(@_)"/>
    <numFmt numFmtId="170" formatCode="&quot;$&quot;#,##0"/>
    <numFmt numFmtId="171" formatCode="0.000000"/>
    <numFmt numFmtId="172" formatCode="0.00000"/>
    <numFmt numFmtId="173" formatCode="0.0000"/>
    <numFmt numFmtId="174" formatCode="0.000"/>
    <numFmt numFmtId="175" formatCode="0.0"/>
    <numFmt numFmtId="176" formatCode="_(* #,##0.0_);_(* \(#,##0.0\);_(* &quot;-&quot;?_);_(@_)"/>
    <numFmt numFmtId="177" formatCode="mmm/yyyy"/>
    <numFmt numFmtId="178" formatCode="_(* #,##0.000_);_(* \(#,##0.000\);_(* &quot;-&quot;??_);_(@_)"/>
    <numFmt numFmtId="179" formatCode="_(* #,##0.0000_);_(* \(#,##0.0000\);_(* &quot;-&quot;??_);_(@_)"/>
    <numFmt numFmtId="180" formatCode="_(* #,##0.00000_);_(* \(#,##0.00000\);_(* &quot;-&quot;??_);_(@_)"/>
    <numFmt numFmtId="181" formatCode="0.0%"/>
    <numFmt numFmtId="182" formatCode="#,###,###,##0"/>
    <numFmt numFmtId="183" formatCode="#,###,###,###,##0"/>
    <numFmt numFmtId="184" formatCode="0.000%"/>
    <numFmt numFmtId="185" formatCode="0.0000%"/>
    <numFmt numFmtId="186" formatCode="_(* #,##0.0000_);_(* \(#,##0.0000\);_(* &quot;-&quot;????_);_(@_)"/>
    <numFmt numFmtId="187" formatCode="0.00000000"/>
    <numFmt numFmtId="188" formatCode="0.0000000"/>
    <numFmt numFmtId="189" formatCode="&quot;$&quot;#,##0.00000_);\(&quot;$&quot;#,##0.00000\)"/>
    <numFmt numFmtId="190" formatCode="#,##0.00000_);\(#,##0.00000\)"/>
    <numFmt numFmtId="191" formatCode="&quot;$&quot;#,##0.0_);\(&quot;$&quot;#,##0.0\)"/>
    <numFmt numFmtId="192" formatCode="###,###,##0.00"/>
    <numFmt numFmtId="193" formatCode="#,###,###,##0.00"/>
    <numFmt numFmtId="194" formatCode="&quot;Sum: &quot;###,###,##0.00;&quot;Sum: &quot;\-###,###,##0.00"/>
    <numFmt numFmtId="195" formatCode="###############0"/>
    <numFmt numFmtId="196" formatCode="###,###,###,##0.00"/>
    <numFmt numFmtId="197" formatCode="dd"/>
    <numFmt numFmtId="198" formatCode="dd/mmm/yyyy"/>
    <numFmt numFmtId="199" formatCode="dd/mm"/>
    <numFmt numFmtId="200" formatCode="mmm"/>
    <numFmt numFmtId="201" formatCode="yyyy"/>
  </numFmts>
  <fonts count="13">
    <font>
      <sz val="10"/>
      <name val="Arial"/>
      <family val="0"/>
    </font>
    <font>
      <b/>
      <sz val="10"/>
      <name val="Arial"/>
      <family val="2"/>
    </font>
    <font>
      <b/>
      <u val="single"/>
      <sz val="10"/>
      <name val="Arial"/>
      <family val="2"/>
    </font>
    <font>
      <sz val="10"/>
      <color indexed="8"/>
      <name val="Arial"/>
      <family val="2"/>
    </font>
    <font>
      <b/>
      <i/>
      <sz val="10"/>
      <color indexed="8"/>
      <name val="Arial"/>
      <family val="2"/>
    </font>
    <font>
      <b/>
      <i/>
      <sz val="10"/>
      <name val="Arial"/>
      <family val="2"/>
    </font>
    <font>
      <u val="single"/>
      <sz val="10"/>
      <name val="Arial"/>
      <family val="2"/>
    </font>
    <font>
      <sz val="10"/>
      <color indexed="12"/>
      <name val="Arial"/>
      <family val="0"/>
    </font>
    <font>
      <sz val="10"/>
      <color indexed="10"/>
      <name val="Arial"/>
      <family val="2"/>
    </font>
    <font>
      <sz val="8"/>
      <name val="Arial"/>
      <family val="0"/>
    </font>
    <font>
      <sz val="1"/>
      <color indexed="8"/>
      <name val="Arial"/>
      <family val="0"/>
    </font>
    <font>
      <sz val="10"/>
      <color indexed="8"/>
      <name val="Times New Roman"/>
      <family val="1"/>
    </font>
    <font>
      <b/>
      <sz val="10"/>
      <color indexed="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6">
    <border>
      <left/>
      <right/>
      <top/>
      <bottom/>
      <diagonal/>
    </border>
    <border>
      <left>
        <color indexed="63"/>
      </left>
      <right>
        <color indexed="63"/>
      </right>
      <top style="thin"/>
      <bottom>
        <color indexed="63"/>
      </bottom>
    </border>
    <border>
      <left style="medium"/>
      <right style="medium"/>
      <top style="medium"/>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righ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2" fillId="0" borderId="0" xfId="0" applyFont="1" applyAlignment="1">
      <alignment/>
    </xf>
    <xf numFmtId="164" fontId="0" fillId="0" borderId="0" xfId="15" applyNumberFormat="1" applyFont="1" applyAlignment="1">
      <alignment/>
    </xf>
    <xf numFmtId="164" fontId="0" fillId="0" borderId="0" xfId="15" applyNumberFormat="1" applyFont="1" applyFill="1" applyAlignment="1">
      <alignment/>
    </xf>
    <xf numFmtId="0" fontId="3" fillId="0" borderId="0" xfId="0" applyFont="1" applyAlignment="1">
      <alignment/>
    </xf>
    <xf numFmtId="164" fontId="3" fillId="0" borderId="0" xfId="15" applyNumberFormat="1" applyFont="1" applyFill="1" applyAlignment="1">
      <alignment/>
    </xf>
    <xf numFmtId="164" fontId="3" fillId="2" borderId="0" xfId="15" applyNumberFormat="1" applyFont="1" applyFill="1" applyAlignment="1">
      <alignment/>
    </xf>
    <xf numFmtId="164" fontId="3" fillId="0" borderId="0" xfId="0" applyNumberFormat="1" applyFont="1" applyAlignment="1">
      <alignment/>
    </xf>
    <xf numFmtId="0" fontId="4" fillId="0" borderId="0" xfId="0" applyFont="1" applyAlignment="1">
      <alignment/>
    </xf>
    <xf numFmtId="164" fontId="0" fillId="0" borderId="0" xfId="0" applyNumberFormat="1" applyFont="1" applyAlignment="1">
      <alignment/>
    </xf>
    <xf numFmtId="164" fontId="0" fillId="0" borderId="1" xfId="0" applyNumberFormat="1" applyFont="1" applyBorder="1" applyAlignment="1">
      <alignment/>
    </xf>
    <xf numFmtId="164" fontId="0" fillId="0" borderId="0" xfId="0" applyNumberFormat="1" applyFont="1" applyBorder="1" applyAlignment="1">
      <alignment/>
    </xf>
    <xf numFmtId="164" fontId="0" fillId="0" borderId="0" xfId="0" applyNumberFormat="1" applyBorder="1" applyAlignment="1">
      <alignment/>
    </xf>
    <xf numFmtId="164" fontId="0" fillId="0" borderId="1" xfId="0" applyNumberFormat="1" applyBorder="1" applyAlignment="1">
      <alignment/>
    </xf>
    <xf numFmtId="0" fontId="6" fillId="0" borderId="0" xfId="0" applyFont="1" applyAlignment="1">
      <alignment/>
    </xf>
    <xf numFmtId="5" fontId="1" fillId="0" borderId="0" xfId="17" applyNumberFormat="1" applyFont="1" applyAlignment="1">
      <alignment/>
    </xf>
    <xf numFmtId="5" fontId="1" fillId="0" borderId="0" xfId="17" applyNumberFormat="1" applyFont="1" applyFill="1" applyAlignment="1">
      <alignment/>
    </xf>
    <xf numFmtId="9" fontId="0" fillId="0" borderId="0" xfId="19" applyFont="1" applyAlignment="1">
      <alignment/>
    </xf>
    <xf numFmtId="5" fontId="0" fillId="0" borderId="0" xfId="17" applyNumberFormat="1" applyFont="1" applyBorder="1" applyAlignment="1">
      <alignment/>
    </xf>
    <xf numFmtId="5" fontId="1" fillId="0" borderId="2" xfId="17" applyNumberFormat="1" applyFont="1" applyBorder="1" applyAlignment="1">
      <alignment/>
    </xf>
    <xf numFmtId="0" fontId="0" fillId="0" borderId="0" xfId="0" applyAlignment="1">
      <alignment horizontal="center"/>
    </xf>
    <xf numFmtId="5" fontId="1" fillId="0" borderId="0" xfId="17" applyNumberFormat="1" applyFont="1" applyBorder="1" applyAlignment="1">
      <alignment/>
    </xf>
    <xf numFmtId="164" fontId="0" fillId="0" borderId="0" xfId="15" applyNumberFormat="1" applyFont="1" applyBorder="1" applyAlignment="1">
      <alignment/>
    </xf>
    <xf numFmtId="0" fontId="5" fillId="0" borderId="0" xfId="0" applyFont="1" applyAlignment="1">
      <alignment/>
    </xf>
    <xf numFmtId="164" fontId="0" fillId="0" borderId="0" xfId="15" applyNumberFormat="1" applyFont="1" applyAlignment="1">
      <alignment horizontal="right"/>
    </xf>
    <xf numFmtId="165" fontId="0" fillId="0" borderId="0" xfId="0" applyNumberFormat="1" applyFont="1" applyAlignment="1">
      <alignment/>
    </xf>
    <xf numFmtId="165" fontId="0" fillId="0" borderId="1" xfId="0" applyNumberFormat="1" applyFont="1" applyBorder="1" applyAlignment="1">
      <alignment/>
    </xf>
    <xf numFmtId="164" fontId="1" fillId="0" borderId="0" xfId="15" applyNumberFormat="1" applyFont="1" applyAlignment="1">
      <alignment/>
    </xf>
    <xf numFmtId="165" fontId="1" fillId="0" borderId="0" xfId="0" applyNumberFormat="1" applyFont="1" applyAlignment="1">
      <alignment/>
    </xf>
    <xf numFmtId="164" fontId="1" fillId="0" borderId="0" xfId="0" applyNumberFormat="1" applyFont="1" applyAlignment="1">
      <alignment/>
    </xf>
    <xf numFmtId="0" fontId="0" fillId="0" borderId="0" xfId="0" applyAlignment="1">
      <alignment horizontal="left"/>
    </xf>
    <xf numFmtId="17" fontId="2" fillId="0" borderId="0" xfId="0" applyNumberFormat="1" applyFont="1" applyAlignment="1">
      <alignment/>
    </xf>
    <xf numFmtId="166" fontId="7" fillId="0" borderId="0" xfId="15" applyNumberFormat="1" applyFont="1" applyFill="1" applyBorder="1" applyAlignment="1">
      <alignment/>
    </xf>
    <xf numFmtId="166" fontId="0" fillId="2" borderId="0" xfId="15" applyNumberFormat="1" applyFill="1" applyBorder="1" applyAlignment="1">
      <alignment/>
    </xf>
    <xf numFmtId="10" fontId="0" fillId="0" borderId="0" xfId="19" applyNumberFormat="1" applyBorder="1" applyAlignment="1">
      <alignment/>
    </xf>
    <xf numFmtId="10" fontId="0" fillId="2" borderId="0" xfId="19" applyNumberFormat="1" applyFill="1" applyBorder="1" applyAlignment="1">
      <alignment/>
    </xf>
    <xf numFmtId="0" fontId="6" fillId="0" borderId="0" xfId="0" applyFont="1" applyAlignment="1">
      <alignment horizontal="right"/>
    </xf>
    <xf numFmtId="10" fontId="0" fillId="0" borderId="0" xfId="19" applyNumberFormat="1" applyFill="1" applyBorder="1" applyAlignment="1">
      <alignment/>
    </xf>
    <xf numFmtId="164" fontId="0" fillId="0" borderId="0" xfId="15" applyNumberFormat="1" applyAlignment="1">
      <alignment/>
    </xf>
    <xf numFmtId="164" fontId="0" fillId="0" borderId="1" xfId="15" applyNumberFormat="1" applyBorder="1" applyAlignment="1">
      <alignment/>
    </xf>
    <xf numFmtId="164" fontId="0" fillId="0" borderId="0" xfId="15" applyNumberFormat="1" applyBorder="1" applyAlignment="1">
      <alignment/>
    </xf>
    <xf numFmtId="0" fontId="8" fillId="0" borderId="0" xfId="0" applyFont="1" applyAlignment="1">
      <alignment/>
    </xf>
    <xf numFmtId="17" fontId="1" fillId="0" borderId="0" xfId="0" applyNumberFormat="1" applyFont="1" applyAlignment="1">
      <alignment/>
    </xf>
    <xf numFmtId="164" fontId="7" fillId="0" borderId="0" xfId="0" applyNumberFormat="1" applyFont="1" applyFill="1" applyBorder="1" applyAlignment="1">
      <alignment/>
    </xf>
    <xf numFmtId="164" fontId="0" fillId="0" borderId="0" xfId="0" applyNumberFormat="1" applyFont="1" applyFill="1" applyBorder="1" applyAlignment="1">
      <alignment/>
    </xf>
    <xf numFmtId="164" fontId="0" fillId="2" borderId="0" xfId="0" applyNumberFormat="1" applyFont="1" applyFill="1" applyBorder="1" applyAlignment="1">
      <alignment/>
    </xf>
    <xf numFmtId="164" fontId="0" fillId="0" borderId="1" xfId="15" applyNumberFormat="1" applyFont="1" applyBorder="1" applyAlignment="1">
      <alignment/>
    </xf>
    <xf numFmtId="168" fontId="0" fillId="0" borderId="0" xfId="17" applyNumberFormat="1" applyFont="1" applyAlignment="1">
      <alignment/>
    </xf>
    <xf numFmtId="164" fontId="7" fillId="0" borderId="0" xfId="15" applyNumberFormat="1" applyFont="1" applyAlignment="1">
      <alignment/>
    </xf>
    <xf numFmtId="164" fontId="7" fillId="0" borderId="0" xfId="15" applyNumberFormat="1" applyFont="1" applyFill="1" applyAlignment="1">
      <alignment/>
    </xf>
    <xf numFmtId="5" fontId="0" fillId="0" borderId="0" xfId="17" applyNumberFormat="1" applyFont="1" applyAlignment="1">
      <alignment/>
    </xf>
    <xf numFmtId="0" fontId="1" fillId="0" borderId="0" xfId="0" applyFont="1" applyAlignment="1">
      <alignment horizontal="left"/>
    </xf>
    <xf numFmtId="189" fontId="1" fillId="0" borderId="0" xfId="0" applyNumberFormat="1" applyFont="1" applyAlignment="1">
      <alignment/>
    </xf>
    <xf numFmtId="166" fontId="7" fillId="0" borderId="0" xfId="15" applyNumberFormat="1" applyFont="1" applyBorder="1" applyAlignment="1">
      <alignment/>
    </xf>
    <xf numFmtId="17" fontId="1" fillId="0" borderId="0" xfId="0" applyNumberFormat="1" applyFont="1" applyAlignment="1">
      <alignment horizontal="right"/>
    </xf>
    <xf numFmtId="164" fontId="7" fillId="0" borderId="0" xfId="0" applyNumberFormat="1" applyFont="1" applyBorder="1" applyAlignment="1">
      <alignment/>
    </xf>
    <xf numFmtId="0" fontId="10" fillId="0" borderId="3" xfId="0" applyFont="1" applyFill="1" applyBorder="1" applyAlignment="1">
      <alignment horizontal="right" vertical="top"/>
    </xf>
    <xf numFmtId="0" fontId="11" fillId="0" borderId="4" xfId="0" applyFont="1" applyFill="1" applyBorder="1" applyAlignment="1">
      <alignment horizontal="center" vertical="center"/>
    </xf>
    <xf numFmtId="0" fontId="10" fillId="0" borderId="5" xfId="0" applyFont="1" applyFill="1" applyBorder="1" applyAlignment="1">
      <alignment horizontal="right" vertical="top"/>
    </xf>
    <xf numFmtId="0" fontId="11" fillId="0" borderId="4" xfId="0" applyFont="1" applyFill="1" applyBorder="1" applyAlignment="1">
      <alignment horizontal="left" vertical="top"/>
    </xf>
    <xf numFmtId="0" fontId="11" fillId="0" borderId="4" xfId="0" applyFont="1" applyFill="1" applyBorder="1" applyAlignment="1">
      <alignment horizontal="center" vertical="top"/>
    </xf>
    <xf numFmtId="0" fontId="3" fillId="0" borderId="4" xfId="0" applyFont="1" applyFill="1" applyBorder="1" applyAlignment="1">
      <alignment horizontal="center" vertical="center"/>
    </xf>
    <xf numFmtId="0" fontId="3" fillId="0" borderId="4" xfId="0" applyFont="1" applyFill="1" applyBorder="1" applyAlignment="1">
      <alignment horizontal="left" vertical="top"/>
    </xf>
    <xf numFmtId="0" fontId="10" fillId="0" borderId="4" xfId="0" applyFont="1" applyFill="1" applyBorder="1" applyAlignment="1">
      <alignment horizontal="right" vertical="top"/>
    </xf>
    <xf numFmtId="183" fontId="11" fillId="0" borderId="4" xfId="0" applyNumberFormat="1" applyFont="1" applyFill="1" applyBorder="1" applyAlignment="1">
      <alignment horizontal="right" vertical="top"/>
    </xf>
    <xf numFmtId="183" fontId="3" fillId="0" borderId="4" xfId="0" applyNumberFormat="1" applyFont="1" applyFill="1" applyBorder="1" applyAlignment="1">
      <alignment horizontal="right" vertical="top"/>
    </xf>
    <xf numFmtId="0" fontId="12" fillId="0" borderId="0" xfId="0" applyFont="1" applyFill="1" applyBorder="1" applyAlignment="1">
      <alignment horizontal="left" vertical="top"/>
    </xf>
    <xf numFmtId="164" fontId="0" fillId="0" borderId="0" xfId="0" applyNumberFormat="1" applyAlignment="1">
      <alignment/>
    </xf>
    <xf numFmtId="0" fontId="0" fillId="0" borderId="0" xfId="0" applyFill="1" applyAlignment="1">
      <alignment/>
    </xf>
    <xf numFmtId="17" fontId="1" fillId="0" borderId="0" xfId="0" applyNumberFormat="1" applyFont="1" applyFill="1" applyAlignment="1">
      <alignment/>
    </xf>
    <xf numFmtId="183" fontId="0" fillId="0" borderId="0" xfId="0" applyNumberFormat="1" applyFill="1" applyAlignment="1">
      <alignment/>
    </xf>
    <xf numFmtId="43" fontId="0" fillId="0" borderId="0" xfId="15" applyFill="1" applyAlignment="1">
      <alignment/>
    </xf>
    <xf numFmtId="10" fontId="0" fillId="0" borderId="0" xfId="19" applyNumberFormat="1" applyAlignment="1">
      <alignment/>
    </xf>
    <xf numFmtId="164" fontId="0" fillId="0" borderId="0" xfId="0" applyNumberFormat="1" applyFill="1" applyAlignment="1">
      <alignment/>
    </xf>
    <xf numFmtId="164" fontId="0" fillId="0" borderId="0" xfId="15" applyNumberFormat="1" applyFill="1" applyAlignment="1">
      <alignment/>
    </xf>
    <xf numFmtId="164" fontId="1" fillId="0" borderId="0" xfId="15" applyNumberFormat="1" applyFont="1" applyFill="1" applyAlignment="1">
      <alignment/>
    </xf>
    <xf numFmtId="181" fontId="0" fillId="0" borderId="0" xfId="19" applyNumberFormat="1" applyFill="1" applyAlignment="1">
      <alignment/>
    </xf>
    <xf numFmtId="0" fontId="1" fillId="0" borderId="0" xfId="0" applyFont="1" applyFill="1" applyAlignment="1">
      <alignment/>
    </xf>
    <xf numFmtId="181" fontId="1" fillId="0" borderId="0" xfId="19" applyNumberFormat="1" applyFont="1" applyFill="1" applyAlignment="1">
      <alignment/>
    </xf>
    <xf numFmtId="181" fontId="0" fillId="0" borderId="0" xfId="19" applyNumberFormat="1" applyAlignment="1">
      <alignment/>
    </xf>
    <xf numFmtId="164" fontId="0" fillId="3" borderId="0" xfId="15" applyNumberFormat="1" applyFill="1" applyAlignment="1">
      <alignment/>
    </xf>
    <xf numFmtId="164" fontId="3" fillId="3" borderId="0" xfId="15" applyNumberFormat="1" applyFont="1" applyFill="1" applyAlignment="1">
      <alignment/>
    </xf>
    <xf numFmtId="164" fontId="0" fillId="3" borderId="0" xfId="15" applyNumberFormat="1" applyFont="1" applyFill="1" applyAlignment="1">
      <alignment/>
    </xf>
    <xf numFmtId="183" fontId="0" fillId="3" borderId="0" xfId="0" applyNumberFormat="1" applyFill="1" applyAlignment="1">
      <alignment/>
    </xf>
    <xf numFmtId="164" fontId="0" fillId="0" borderId="0" xfId="15" applyNumberFormat="1" applyFill="1" applyAlignment="1">
      <alignment/>
    </xf>
    <xf numFmtId="164" fontId="1" fillId="3" borderId="0" xfId="15" applyNumberFormat="1" applyFont="1" applyFill="1" applyAlignment="1">
      <alignment/>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gration%20with%20update%20&amp;%20cou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 2007 Deferrals"/>
      <sheetName val="For 2008 Deferrals"/>
      <sheetName val="Impact"/>
    </sheetNames>
    <sheetDataSet>
      <sheetData sheetId="2">
        <row r="5">
          <cell r="D5">
            <v>-73536.66027397261</v>
          </cell>
        </row>
        <row r="9">
          <cell r="D9">
            <v>-274428.4219178083</v>
          </cell>
        </row>
        <row r="13">
          <cell r="G13">
            <v>-32</v>
          </cell>
          <cell r="H13">
            <v>-5</v>
          </cell>
          <cell r="I13">
            <v>-10</v>
          </cell>
          <cell r="J13">
            <v>0</v>
          </cell>
          <cell r="K13">
            <v>3</v>
          </cell>
          <cell r="L13">
            <v>27</v>
          </cell>
          <cell r="M13">
            <v>2</v>
          </cell>
          <cell r="N13">
            <v>8</v>
          </cell>
          <cell r="O13">
            <v>1</v>
          </cell>
          <cell r="P13">
            <v>-1</v>
          </cell>
          <cell r="Q13">
            <v>1</v>
          </cell>
          <cell r="R13">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9"/>
  <sheetViews>
    <sheetView workbookViewId="0" topLeftCell="A1">
      <selection activeCell="I27" sqref="I27"/>
    </sheetView>
  </sheetViews>
  <sheetFormatPr defaultColWidth="9.140625" defaultRowHeight="12.75"/>
  <cols>
    <col min="4" max="9" width="14.57421875" style="0" customWidth="1"/>
  </cols>
  <sheetData>
    <row r="1" spans="1:16" ht="12.75">
      <c r="A1" s="1" t="s">
        <v>0</v>
      </c>
      <c r="B1" s="2"/>
      <c r="C1" s="2"/>
      <c r="D1" s="2"/>
      <c r="E1" s="2"/>
      <c r="F1" s="2"/>
      <c r="G1" s="2"/>
      <c r="H1" s="2"/>
      <c r="I1" s="2"/>
      <c r="J1" s="2"/>
      <c r="K1" s="2"/>
      <c r="L1" s="2"/>
      <c r="M1" s="2"/>
      <c r="N1" s="2"/>
      <c r="O1" s="2"/>
      <c r="P1" s="2"/>
    </row>
    <row r="2" spans="1:16" ht="12.75">
      <c r="A2" s="1" t="s">
        <v>1</v>
      </c>
      <c r="B2" s="3"/>
      <c r="C2" s="2"/>
      <c r="D2" s="2"/>
      <c r="E2" s="2"/>
      <c r="F2" s="2"/>
      <c r="G2" s="2"/>
      <c r="H2" s="2"/>
      <c r="I2" s="2"/>
      <c r="J2" s="2"/>
      <c r="K2" s="2"/>
      <c r="L2" s="2"/>
      <c r="M2" s="2"/>
      <c r="N2" s="2"/>
      <c r="O2" s="2"/>
      <c r="P2" s="2"/>
    </row>
    <row r="3" spans="1:16" ht="12.75">
      <c r="A3" s="1" t="s">
        <v>2</v>
      </c>
      <c r="B3" s="2"/>
      <c r="C3" s="2"/>
      <c r="D3" s="2"/>
      <c r="E3" s="2"/>
      <c r="F3" s="2"/>
      <c r="G3" s="2"/>
      <c r="H3" s="2"/>
      <c r="I3" s="2"/>
      <c r="J3" s="2"/>
      <c r="K3" s="2"/>
      <c r="L3" s="2"/>
      <c r="M3" s="2"/>
      <c r="N3" s="2"/>
      <c r="O3" s="2"/>
      <c r="P3" s="2"/>
    </row>
    <row r="4" spans="1:16" ht="12.75">
      <c r="A4" s="1" t="s">
        <v>3</v>
      </c>
      <c r="B4" s="2"/>
      <c r="C4" s="2"/>
      <c r="D4" s="2"/>
      <c r="E4" s="2"/>
      <c r="F4" s="2"/>
      <c r="G4" s="2"/>
      <c r="H4" s="2"/>
      <c r="I4" s="2"/>
      <c r="J4" s="2"/>
      <c r="K4" s="2"/>
      <c r="L4" s="2"/>
      <c r="M4" s="2"/>
      <c r="N4" s="2"/>
      <c r="O4" s="2"/>
      <c r="P4" s="2"/>
    </row>
    <row r="5" spans="1:16" ht="12.75">
      <c r="A5" s="1" t="s">
        <v>4</v>
      </c>
      <c r="B5" s="4"/>
      <c r="C5" s="2"/>
      <c r="D5" s="2"/>
      <c r="E5" s="2"/>
      <c r="F5" s="2"/>
      <c r="G5" s="2"/>
      <c r="H5" s="2"/>
      <c r="I5" s="2"/>
      <c r="J5" s="2" t="s">
        <v>5</v>
      </c>
      <c r="K5" s="2"/>
      <c r="L5" s="2"/>
      <c r="M5" s="2"/>
      <c r="N5" s="2"/>
      <c r="O5" s="2"/>
      <c r="P5" s="2"/>
    </row>
    <row r="6" spans="1:16" ht="12.75">
      <c r="A6" s="1" t="s">
        <v>6</v>
      </c>
      <c r="B6" s="2"/>
      <c r="C6" s="2"/>
      <c r="D6" s="2"/>
      <c r="E6" s="2"/>
      <c r="F6" s="2"/>
      <c r="G6" s="2"/>
      <c r="H6" s="2"/>
      <c r="I6" s="2"/>
      <c r="J6" s="2"/>
      <c r="K6" s="2"/>
      <c r="L6" s="2"/>
      <c r="M6" s="2"/>
      <c r="N6" s="2"/>
      <c r="O6" s="2"/>
      <c r="P6" s="2"/>
    </row>
    <row r="7" spans="1:16" ht="12.75">
      <c r="A7" s="2"/>
      <c r="B7" s="2"/>
      <c r="C7" s="2"/>
      <c r="D7" s="5">
        <v>2007</v>
      </c>
      <c r="E7" s="5">
        <v>2007</v>
      </c>
      <c r="F7" s="5">
        <v>2007</v>
      </c>
      <c r="G7" s="5">
        <v>2007</v>
      </c>
      <c r="H7" s="5">
        <v>2007</v>
      </c>
      <c r="I7" s="5">
        <v>2007</v>
      </c>
      <c r="J7" s="5">
        <v>2008</v>
      </c>
      <c r="K7" s="5">
        <v>2008</v>
      </c>
      <c r="L7" s="5">
        <v>2008</v>
      </c>
      <c r="M7" s="5">
        <v>2008</v>
      </c>
      <c r="N7" s="5">
        <v>2008</v>
      </c>
      <c r="O7" s="5">
        <v>2008</v>
      </c>
      <c r="P7" s="6" t="s">
        <v>7</v>
      </c>
    </row>
    <row r="8" spans="1:16" ht="12.75">
      <c r="A8" s="2"/>
      <c r="B8" s="2"/>
      <c r="C8" s="2"/>
      <c r="D8" s="7" t="s">
        <v>8</v>
      </c>
      <c r="E8" s="7" t="s">
        <v>9</v>
      </c>
      <c r="F8" s="7" t="s">
        <v>10</v>
      </c>
      <c r="G8" s="7" t="s">
        <v>11</v>
      </c>
      <c r="H8" s="7" t="s">
        <v>12</v>
      </c>
      <c r="I8" s="7" t="s">
        <v>13</v>
      </c>
      <c r="J8" s="7" t="s">
        <v>14</v>
      </c>
      <c r="K8" s="7" t="s">
        <v>15</v>
      </c>
      <c r="L8" s="7" t="s">
        <v>16</v>
      </c>
      <c r="M8" s="7" t="s">
        <v>17</v>
      </c>
      <c r="N8" s="7" t="s">
        <v>18</v>
      </c>
      <c r="O8" s="7" t="s">
        <v>19</v>
      </c>
      <c r="P8" s="7" t="s">
        <v>20</v>
      </c>
    </row>
    <row r="9" spans="1:16" ht="12.75">
      <c r="A9" s="1" t="s">
        <v>21</v>
      </c>
      <c r="B9" s="1"/>
      <c r="C9" s="2"/>
      <c r="D9" s="2"/>
      <c r="E9" s="2"/>
      <c r="F9" s="2"/>
      <c r="G9" s="2"/>
      <c r="H9" s="2"/>
      <c r="I9" s="2"/>
      <c r="J9" s="2"/>
      <c r="K9" s="2"/>
      <c r="L9" s="2"/>
      <c r="M9" s="2"/>
      <c r="N9" s="2"/>
      <c r="O9" s="2"/>
      <c r="P9" s="2"/>
    </row>
    <row r="10" spans="1:16" ht="12.75">
      <c r="A10" s="8" t="s">
        <v>22</v>
      </c>
      <c r="B10" s="2"/>
      <c r="C10" s="2"/>
      <c r="D10" s="9"/>
      <c r="E10" s="9"/>
      <c r="F10" s="9"/>
      <c r="G10" s="10"/>
      <c r="H10" s="2"/>
      <c r="I10" s="2"/>
      <c r="J10" s="2"/>
      <c r="K10" s="2"/>
      <c r="L10" s="2"/>
      <c r="M10" s="2"/>
      <c r="N10" s="2"/>
      <c r="O10" s="2"/>
      <c r="P10" s="2"/>
    </row>
    <row r="11" spans="1:16" ht="12.75">
      <c r="A11" s="11" t="s">
        <v>23</v>
      </c>
      <c r="B11" s="11"/>
      <c r="C11" s="11"/>
      <c r="D11" s="12">
        <v>2462636</v>
      </c>
      <c r="E11" s="12">
        <v>2010203</v>
      </c>
      <c r="F11" s="12">
        <v>2332936</v>
      </c>
      <c r="G11" s="12">
        <v>4484817</v>
      </c>
      <c r="H11" s="12">
        <v>9398517</v>
      </c>
      <c r="I11" s="12">
        <v>18392852</v>
      </c>
      <c r="J11" s="13"/>
      <c r="K11" s="13"/>
      <c r="L11" s="13"/>
      <c r="M11" s="13"/>
      <c r="N11" s="13"/>
      <c r="O11" s="13"/>
      <c r="P11" s="14">
        <f>SUM(D11:O11)</f>
        <v>39081961</v>
      </c>
    </row>
    <row r="12" spans="1:16" ht="12.75">
      <c r="A12" s="15" t="s">
        <v>24</v>
      </c>
      <c r="B12" s="11"/>
      <c r="C12" s="11"/>
      <c r="D12" s="12">
        <v>-180683</v>
      </c>
      <c r="E12" s="12">
        <v>-141329</v>
      </c>
      <c r="F12" s="12">
        <v>-161990</v>
      </c>
      <c r="G12" s="12">
        <v>-277602</v>
      </c>
      <c r="H12" s="12">
        <v>-613037</v>
      </c>
      <c r="I12" s="88">
        <v>-1421829</v>
      </c>
      <c r="J12" s="13"/>
      <c r="K12" s="13"/>
      <c r="L12" s="13"/>
      <c r="M12" s="13"/>
      <c r="N12" s="13"/>
      <c r="O12" s="13"/>
      <c r="P12" s="14">
        <f>SUM(D12:O12)</f>
        <v>-2796470</v>
      </c>
    </row>
    <row r="13" spans="1:16" ht="12.75">
      <c r="A13" s="2" t="s">
        <v>25</v>
      </c>
      <c r="B13" s="2"/>
      <c r="C13" s="2"/>
      <c r="D13" s="9">
        <f aca="true" t="shared" si="0" ref="D13:I13">-D47</f>
        <v>-1688657.3691</v>
      </c>
      <c r="E13" s="9">
        <f t="shared" si="0"/>
        <v>-512729.36110000004</v>
      </c>
      <c r="F13" s="9">
        <f t="shared" si="0"/>
        <v>-861827.0961999999</v>
      </c>
      <c r="G13" s="9">
        <f t="shared" si="0"/>
        <v>-3069727.6876000003</v>
      </c>
      <c r="H13" s="9">
        <f t="shared" si="0"/>
        <v>-6526098.6665</v>
      </c>
      <c r="I13" s="9">
        <f t="shared" si="0"/>
        <v>-10839345.651700001</v>
      </c>
      <c r="J13" s="9"/>
      <c r="K13" s="9">
        <f>-K47</f>
        <v>0</v>
      </c>
      <c r="L13" s="9">
        <f>-L47</f>
        <v>0</v>
      </c>
      <c r="M13" s="9">
        <f>-M47</f>
        <v>0</v>
      </c>
      <c r="N13" s="9">
        <f>-N47</f>
        <v>0</v>
      </c>
      <c r="O13" s="9">
        <f>-O47</f>
        <v>0</v>
      </c>
      <c r="P13" s="16">
        <f>SUM(D13:O13)</f>
        <v>-23498385.832200002</v>
      </c>
    </row>
    <row r="14" spans="1:16" ht="12.75">
      <c r="A14" s="2" t="s">
        <v>26</v>
      </c>
      <c r="B14" s="3"/>
      <c r="C14" s="2"/>
      <c r="D14" s="9">
        <f aca="true" t="shared" si="1" ref="D14:I14">E47</f>
        <v>512729.36110000004</v>
      </c>
      <c r="E14" s="9">
        <f t="shared" si="1"/>
        <v>861827.0961999999</v>
      </c>
      <c r="F14" s="9">
        <f t="shared" si="1"/>
        <v>3069727.6876000003</v>
      </c>
      <c r="G14" s="9">
        <f t="shared" si="1"/>
        <v>6526098.6665</v>
      </c>
      <c r="H14" s="9">
        <f t="shared" si="1"/>
        <v>10839345.651700001</v>
      </c>
      <c r="I14" s="9">
        <f t="shared" si="1"/>
        <v>11778585.171</v>
      </c>
      <c r="J14" s="9"/>
      <c r="K14" s="9">
        <f>L47</f>
        <v>0</v>
      </c>
      <c r="L14" s="9">
        <f>M47</f>
        <v>0</v>
      </c>
      <c r="M14" s="9">
        <f>N47</f>
        <v>0</v>
      </c>
      <c r="N14" s="9">
        <f>O47</f>
        <v>0</v>
      </c>
      <c r="O14" s="9">
        <f>P47</f>
        <v>0</v>
      </c>
      <c r="P14" s="16">
        <f>SUM(D14:O14)</f>
        <v>33588313.634100005</v>
      </c>
    </row>
    <row r="15" spans="1:16" ht="12.75">
      <c r="A15" s="2" t="s">
        <v>27</v>
      </c>
      <c r="B15" s="2"/>
      <c r="C15" s="2"/>
      <c r="D15" s="9">
        <f aca="true" t="shared" si="2" ref="D15:O15">D60</f>
        <v>692582.2639999999</v>
      </c>
      <c r="E15" s="9">
        <f t="shared" si="2"/>
        <v>236741.505</v>
      </c>
      <c r="F15" s="9">
        <f t="shared" si="2"/>
        <v>31658.591999999997</v>
      </c>
      <c r="G15" s="9">
        <f t="shared" si="2"/>
        <v>15894.109</v>
      </c>
      <c r="H15" s="9">
        <f t="shared" si="2"/>
        <v>47991.147000000004</v>
      </c>
      <c r="I15" s="9">
        <f t="shared" si="2"/>
        <v>673724.3099999999</v>
      </c>
      <c r="J15" s="9">
        <f t="shared" si="2"/>
        <v>0</v>
      </c>
      <c r="K15" s="9">
        <f t="shared" si="2"/>
        <v>0</v>
      </c>
      <c r="L15" s="9">
        <f t="shared" si="2"/>
        <v>0</v>
      </c>
      <c r="M15" s="9">
        <f t="shared" si="2"/>
        <v>0</v>
      </c>
      <c r="N15" s="9">
        <f t="shared" si="2"/>
        <v>0</v>
      </c>
      <c r="O15" s="9">
        <f t="shared" si="2"/>
        <v>0</v>
      </c>
      <c r="P15" s="16">
        <f>SUM(D15:O15)</f>
        <v>1698591.9269999997</v>
      </c>
    </row>
    <row r="16" spans="1:16" ht="12.75">
      <c r="A16" s="2" t="s">
        <v>28</v>
      </c>
      <c r="B16" s="2"/>
      <c r="C16" s="2"/>
      <c r="D16" s="17">
        <f aca="true" t="shared" si="3" ref="D16:P16">SUM(D11:D15)</f>
        <v>1798607.256</v>
      </c>
      <c r="E16" s="17">
        <f t="shared" si="3"/>
        <v>2454713.2400999996</v>
      </c>
      <c r="F16" s="17">
        <f t="shared" si="3"/>
        <v>4410505.1834</v>
      </c>
      <c r="G16" s="17">
        <f t="shared" si="3"/>
        <v>7679480.087900001</v>
      </c>
      <c r="H16" s="17">
        <f t="shared" si="3"/>
        <v>13146718.1322</v>
      </c>
      <c r="I16" s="17">
        <f t="shared" si="3"/>
        <v>18583986.829299998</v>
      </c>
      <c r="J16" s="17">
        <f t="shared" si="3"/>
        <v>0</v>
      </c>
      <c r="K16" s="17">
        <f t="shared" si="3"/>
        <v>0</v>
      </c>
      <c r="L16" s="17">
        <f t="shared" si="3"/>
        <v>0</v>
      </c>
      <c r="M16" s="17">
        <f t="shared" si="3"/>
        <v>0</v>
      </c>
      <c r="N16" s="17">
        <f t="shared" si="3"/>
        <v>0</v>
      </c>
      <c r="O16" s="17">
        <f t="shared" si="3"/>
        <v>0</v>
      </c>
      <c r="P16" s="17">
        <f t="shared" si="3"/>
        <v>48074010.7289</v>
      </c>
    </row>
    <row r="17" spans="1:16" ht="12.75">
      <c r="A17" s="2"/>
      <c r="B17" s="4"/>
      <c r="C17" s="2"/>
      <c r="D17" s="18"/>
      <c r="E17" s="18"/>
      <c r="F17" s="18"/>
      <c r="G17" s="18"/>
      <c r="H17" s="18"/>
      <c r="I17" s="18"/>
      <c r="J17" s="18"/>
      <c r="K17" s="18"/>
      <c r="L17" s="18"/>
      <c r="M17" s="18"/>
      <c r="N17" s="18"/>
      <c r="O17" s="18"/>
      <c r="P17" s="18"/>
    </row>
    <row r="18" spans="1:16" ht="12.75">
      <c r="A18" s="2" t="s">
        <v>29</v>
      </c>
      <c r="B18" s="2"/>
      <c r="C18" s="2"/>
      <c r="D18" s="18">
        <f aca="true" t="shared" si="4" ref="D18:O18">D16</f>
        <v>1798607.256</v>
      </c>
      <c r="E18" s="18">
        <f t="shared" si="4"/>
        <v>2454713.2400999996</v>
      </c>
      <c r="F18" s="18">
        <f t="shared" si="4"/>
        <v>4410505.1834</v>
      </c>
      <c r="G18" s="18">
        <f t="shared" si="4"/>
        <v>7679480.087900001</v>
      </c>
      <c r="H18" s="18">
        <f t="shared" si="4"/>
        <v>13146718.1322</v>
      </c>
      <c r="I18" s="18">
        <f t="shared" si="4"/>
        <v>18583986.829299998</v>
      </c>
      <c r="J18" s="18">
        <f t="shared" si="4"/>
        <v>0</v>
      </c>
      <c r="K18" s="18">
        <f t="shared" si="4"/>
        <v>0</v>
      </c>
      <c r="L18" s="18">
        <f t="shared" si="4"/>
        <v>0</v>
      </c>
      <c r="M18" s="18">
        <f t="shared" si="4"/>
        <v>0</v>
      </c>
      <c r="N18" s="18">
        <f t="shared" si="4"/>
        <v>0</v>
      </c>
      <c r="O18" s="18">
        <f t="shared" si="4"/>
        <v>0</v>
      </c>
      <c r="P18" s="16">
        <f>SUM(D18:O18)</f>
        <v>48074010.7289</v>
      </c>
    </row>
    <row r="19" spans="1:16" ht="12.75">
      <c r="A19" t="s">
        <v>30</v>
      </c>
      <c r="D19" s="19">
        <v>1992869.2803962994</v>
      </c>
      <c r="E19" s="19">
        <v>2626004.0579347075</v>
      </c>
      <c r="F19" s="19">
        <v>3962139.288864518</v>
      </c>
      <c r="G19" s="19">
        <v>9013668.04240531</v>
      </c>
      <c r="H19" s="19">
        <v>14551771.69540904</v>
      </c>
      <c r="I19" s="19">
        <v>19133174.011006385</v>
      </c>
      <c r="J19" s="19"/>
      <c r="K19" s="19"/>
      <c r="L19" s="19"/>
      <c r="M19" s="19"/>
      <c r="N19" s="19"/>
      <c r="O19" s="19"/>
      <c r="P19" s="16">
        <f>SUM(D19:O19)</f>
        <v>51279626.37601626</v>
      </c>
    </row>
    <row r="20" spans="1:16" ht="12.75">
      <c r="A20" s="2" t="s">
        <v>31</v>
      </c>
      <c r="B20" s="2"/>
      <c r="D20" s="20">
        <f aca="true" t="shared" si="5" ref="D20:I20">D18-D19</f>
        <v>-194262.02439629938</v>
      </c>
      <c r="E20" s="20">
        <f t="shared" si="5"/>
        <v>-171290.8178347079</v>
      </c>
      <c r="F20" s="20">
        <f t="shared" si="5"/>
        <v>448365.8945354824</v>
      </c>
      <c r="G20" s="20">
        <f t="shared" si="5"/>
        <v>-1334187.9545053085</v>
      </c>
      <c r="H20" s="20">
        <f t="shared" si="5"/>
        <v>-1405053.56320904</v>
      </c>
      <c r="I20" s="20">
        <f t="shared" si="5"/>
        <v>-549187.1817063875</v>
      </c>
      <c r="J20" s="20"/>
      <c r="K20" s="20"/>
      <c r="L20" s="20"/>
      <c r="M20" s="20"/>
      <c r="N20" s="20"/>
      <c r="O20" s="20"/>
      <c r="P20" s="16">
        <f>SUM(D20:O20)</f>
        <v>-3205615.647116261</v>
      </c>
    </row>
    <row r="21" spans="1:15" ht="12.75">
      <c r="A21" s="2" t="s">
        <v>32</v>
      </c>
      <c r="B21" s="2"/>
      <c r="D21" s="21">
        <v>0.19822</v>
      </c>
      <c r="E21" s="21">
        <v>0.19822</v>
      </c>
      <c r="F21" s="21">
        <v>0.19822</v>
      </c>
      <c r="G21" s="21">
        <v>0.19822</v>
      </c>
      <c r="H21" s="21">
        <v>0.19822</v>
      </c>
      <c r="I21" s="21">
        <v>0.19822</v>
      </c>
      <c r="J21" s="21"/>
      <c r="K21" s="21"/>
      <c r="L21" s="21"/>
      <c r="M21" s="21"/>
      <c r="N21" s="21"/>
      <c r="O21" s="21"/>
    </row>
    <row r="22" spans="1:16" ht="12.75">
      <c r="A22" s="1" t="s">
        <v>33</v>
      </c>
      <c r="B22" s="1"/>
      <c r="C22" s="1"/>
      <c r="D22" s="22">
        <f aca="true" t="shared" si="6" ref="D22:O22">D20*D21</f>
        <v>-38506.61847583447</v>
      </c>
      <c r="E22" s="22">
        <f t="shared" si="6"/>
        <v>-33953.265911195806</v>
      </c>
      <c r="F22" s="23">
        <f t="shared" si="6"/>
        <v>88875.08761482332</v>
      </c>
      <c r="G22" s="22">
        <f t="shared" si="6"/>
        <v>-264462.7363420423</v>
      </c>
      <c r="H22" s="22">
        <f t="shared" si="6"/>
        <v>-278509.71729929594</v>
      </c>
      <c r="I22" s="22">
        <f t="shared" si="6"/>
        <v>-108859.88315784014</v>
      </c>
      <c r="J22" s="22">
        <f t="shared" si="6"/>
        <v>0</v>
      </c>
      <c r="K22" s="22">
        <f t="shared" si="6"/>
        <v>0</v>
      </c>
      <c r="L22" s="22">
        <f t="shared" si="6"/>
        <v>0</v>
      </c>
      <c r="M22" s="23">
        <f t="shared" si="6"/>
        <v>0</v>
      </c>
      <c r="N22" s="22">
        <f t="shared" si="6"/>
        <v>0</v>
      </c>
      <c r="O22" s="23">
        <f t="shared" si="6"/>
        <v>0</v>
      </c>
      <c r="P22" s="22">
        <f>SUM(D22:O22)</f>
        <v>-635417.1335713853</v>
      </c>
    </row>
    <row r="23" spans="1:16" ht="13.5" thickBot="1">
      <c r="A23" s="1"/>
      <c r="B23" s="4" t="s">
        <v>34</v>
      </c>
      <c r="C23" s="2"/>
      <c r="D23" s="24">
        <v>0.9</v>
      </c>
      <c r="E23" s="24">
        <v>0.9</v>
      </c>
      <c r="F23" s="24">
        <v>0.9</v>
      </c>
      <c r="G23" s="24">
        <v>0.9</v>
      </c>
      <c r="H23" s="24">
        <v>0.9</v>
      </c>
      <c r="I23" s="24">
        <v>0.9</v>
      </c>
      <c r="J23" s="24">
        <v>0.9</v>
      </c>
      <c r="K23" s="24">
        <v>0.9</v>
      </c>
      <c r="L23" s="24">
        <v>0.9</v>
      </c>
      <c r="M23" s="24">
        <v>0.9</v>
      </c>
      <c r="N23" s="24">
        <v>0.9</v>
      </c>
      <c r="O23" s="24">
        <v>0.9</v>
      </c>
      <c r="P23" s="22"/>
    </row>
    <row r="24" spans="1:16" ht="13.5" thickBot="1">
      <c r="A24" s="1" t="s">
        <v>35</v>
      </c>
      <c r="B24" s="2"/>
      <c r="C24" s="2"/>
      <c r="D24" s="25">
        <f aca="true" t="shared" si="7" ref="D24:I24">D22*D23</f>
        <v>-34655.95662825102</v>
      </c>
      <c r="E24" s="25">
        <f t="shared" si="7"/>
        <v>-30557.939320076224</v>
      </c>
      <c r="F24" s="25">
        <f t="shared" si="7"/>
        <v>79987.578853341</v>
      </c>
      <c r="G24" s="25">
        <f t="shared" si="7"/>
        <v>-238016.46270783804</v>
      </c>
      <c r="H24" s="25">
        <f t="shared" si="7"/>
        <v>-250658.74556936635</v>
      </c>
      <c r="I24" s="26">
        <f t="shared" si="7"/>
        <v>-97973.89484205614</v>
      </c>
      <c r="J24" s="2"/>
      <c r="K24" s="2"/>
      <c r="L24" s="2"/>
      <c r="M24" s="2"/>
      <c r="N24" s="2"/>
      <c r="O24" s="2"/>
      <c r="P24" s="22">
        <f>SUM(D24:O24)</f>
        <v>-571875.4202142467</v>
      </c>
    </row>
    <row r="25" spans="2:16" ht="12.75">
      <c r="B25" s="1" t="s">
        <v>36</v>
      </c>
      <c r="D25" s="27" t="s">
        <v>37</v>
      </c>
      <c r="E25" s="27" t="s">
        <v>37</v>
      </c>
      <c r="F25" s="27" t="s">
        <v>37</v>
      </c>
      <c r="G25" s="9"/>
      <c r="H25" s="9"/>
      <c r="I25" s="9"/>
      <c r="J25" s="9"/>
      <c r="K25" s="9"/>
      <c r="L25" s="9"/>
      <c r="M25" s="9"/>
      <c r="N25" s="9"/>
      <c r="O25" s="9"/>
      <c r="P25" s="16"/>
    </row>
    <row r="26" spans="1:16" ht="12.75">
      <c r="A26" s="1"/>
      <c r="B26" s="3"/>
      <c r="C26" s="2"/>
      <c r="D26" s="28"/>
      <c r="E26" s="28"/>
      <c r="F26" s="28"/>
      <c r="G26" s="28"/>
      <c r="H26" s="28"/>
      <c r="I26" s="28"/>
      <c r="J26" s="28"/>
      <c r="K26" s="28"/>
      <c r="L26" s="28"/>
      <c r="M26" s="28"/>
      <c r="N26" s="28"/>
      <c r="O26" s="28"/>
      <c r="P26" s="28"/>
    </row>
    <row r="27" spans="1:16" ht="12.75">
      <c r="A27" s="2" t="s">
        <v>38</v>
      </c>
      <c r="B27" s="2"/>
      <c r="C27" s="2"/>
      <c r="D27" s="9">
        <v>-36007.43753197607</v>
      </c>
      <c r="E27" s="9">
        <v>-31749.609539752288</v>
      </c>
      <c r="F27" s="9">
        <v>83106.86038162434</v>
      </c>
      <c r="G27" s="9"/>
      <c r="H27" s="9"/>
      <c r="I27" s="89" t="s">
        <v>113</v>
      </c>
      <c r="J27" s="9"/>
      <c r="K27" s="9"/>
      <c r="L27" s="9"/>
      <c r="M27" s="9"/>
      <c r="N27" s="9"/>
      <c r="O27" s="9"/>
      <c r="P27" s="16"/>
    </row>
    <row r="28" spans="1:16" ht="12.75">
      <c r="A28" s="1" t="s">
        <v>39</v>
      </c>
      <c r="B28" s="2"/>
      <c r="C28" s="2"/>
      <c r="D28" s="9">
        <f>D24-D27</f>
        <v>1351.4809037250525</v>
      </c>
      <c r="E28" s="9">
        <f>E24-E27</f>
        <v>1191.6702196760634</v>
      </c>
      <c r="F28" s="9">
        <f>F24-F27</f>
        <v>-3119.281528283347</v>
      </c>
      <c r="G28" s="29">
        <f>SUM(D28:F28)</f>
        <v>-576.1304048822312</v>
      </c>
      <c r="H28" s="9"/>
      <c r="I28" s="9"/>
      <c r="J28" s="9"/>
      <c r="K28" s="9"/>
      <c r="L28" s="9"/>
      <c r="M28" s="9"/>
      <c r="N28" s="9"/>
      <c r="O28" s="9"/>
      <c r="P28" s="16"/>
    </row>
    <row r="29" spans="1:16" ht="12.75">
      <c r="A29" s="2"/>
      <c r="B29" s="4"/>
      <c r="C29" s="2"/>
      <c r="D29" s="9"/>
      <c r="E29" s="9"/>
      <c r="F29" s="9"/>
      <c r="G29" s="9"/>
      <c r="H29" s="9"/>
      <c r="I29" s="9"/>
      <c r="J29" s="9"/>
      <c r="K29" s="9"/>
      <c r="L29" s="9"/>
      <c r="M29" s="9"/>
      <c r="N29" s="9"/>
      <c r="O29" s="9"/>
      <c r="P29" s="16"/>
    </row>
    <row r="30" spans="1:16" ht="12.75">
      <c r="A30" s="30" t="s">
        <v>40</v>
      </c>
      <c r="B30" s="2"/>
      <c r="C30" s="2"/>
      <c r="D30" s="9"/>
      <c r="E30" s="9"/>
      <c r="F30" s="9"/>
      <c r="G30" s="9"/>
      <c r="H30" s="9"/>
      <c r="I30" s="9"/>
      <c r="J30" s="9"/>
      <c r="K30" s="9"/>
      <c r="L30" s="9"/>
      <c r="M30" s="9"/>
      <c r="N30" s="9"/>
      <c r="O30" s="9"/>
      <c r="P30" s="16"/>
    </row>
    <row r="31" spans="1:16" ht="12.75">
      <c r="A31" s="93" t="s">
        <v>41</v>
      </c>
      <c r="B31" s="93"/>
      <c r="C31" s="93"/>
      <c r="D31" s="93"/>
      <c r="E31" s="93"/>
      <c r="F31" s="93"/>
      <c r="G31" s="93"/>
      <c r="H31" s="93"/>
      <c r="I31" s="93"/>
      <c r="J31" s="93"/>
      <c r="K31" s="93"/>
      <c r="L31" s="93"/>
      <c r="M31" s="93"/>
      <c r="N31" s="93"/>
      <c r="O31" s="93"/>
      <c r="P31" s="93"/>
    </row>
    <row r="32" spans="1:16" ht="12.75">
      <c r="A32" s="30"/>
      <c r="B32" s="2"/>
      <c r="C32" s="2"/>
      <c r="D32" s="9" t="s">
        <v>42</v>
      </c>
      <c r="E32" s="9"/>
      <c r="F32" s="9"/>
      <c r="G32" s="9"/>
      <c r="H32" s="2"/>
      <c r="I32" s="31" t="s">
        <v>43</v>
      </c>
      <c r="J32" s="9"/>
      <c r="K32" s="9"/>
      <c r="L32" s="9"/>
      <c r="M32" s="9"/>
      <c r="N32" s="9"/>
      <c r="O32" s="9"/>
      <c r="P32" s="16"/>
    </row>
    <row r="33" spans="1:16" ht="12.75">
      <c r="A33" s="1" t="s">
        <v>44</v>
      </c>
      <c r="D33" s="2">
        <v>0.89117</v>
      </c>
      <c r="F33" s="9" t="s">
        <v>45</v>
      </c>
      <c r="G33" s="9"/>
      <c r="H33" s="9"/>
      <c r="I33" s="32">
        <v>0.89117</v>
      </c>
      <c r="J33" s="9"/>
      <c r="K33" s="9"/>
      <c r="L33" s="9"/>
      <c r="M33" s="9"/>
      <c r="N33" s="9"/>
      <c r="O33" s="9"/>
      <c r="P33" s="16"/>
    </row>
    <row r="34" spans="1:16" ht="12.75">
      <c r="A34" s="1" t="s">
        <v>46</v>
      </c>
      <c r="D34" s="21">
        <v>0.68522</v>
      </c>
      <c r="F34" s="9" t="s">
        <v>47</v>
      </c>
      <c r="G34" s="9"/>
      <c r="H34" s="9"/>
      <c r="I34" s="2">
        <v>0.956533</v>
      </c>
      <c r="J34" s="9"/>
      <c r="K34" s="9"/>
      <c r="L34" s="9"/>
      <c r="M34" s="9"/>
      <c r="N34" s="9"/>
      <c r="O34" s="9"/>
      <c r="P34" s="16"/>
    </row>
    <row r="35" spans="1:16" ht="12.75">
      <c r="A35" s="1" t="s">
        <v>48</v>
      </c>
      <c r="D35" s="1">
        <f>D33-D34</f>
        <v>0.20594999999999997</v>
      </c>
      <c r="F35" s="9" t="s">
        <v>49</v>
      </c>
      <c r="G35" s="9"/>
      <c r="H35" s="9"/>
      <c r="I35" s="33">
        <f>ROUND(I33*I34,5)</f>
        <v>0.85243</v>
      </c>
      <c r="J35" s="9"/>
      <c r="K35" s="9"/>
      <c r="L35" s="9"/>
      <c r="M35" s="9"/>
      <c r="N35" s="9"/>
      <c r="O35" s="9"/>
      <c r="P35" s="16"/>
    </row>
    <row r="36" spans="1:16" ht="12.75">
      <c r="A36" s="30"/>
      <c r="B36" s="2"/>
      <c r="C36" s="2"/>
      <c r="D36" s="9"/>
      <c r="E36" s="9"/>
      <c r="F36" s="9" t="s">
        <v>50</v>
      </c>
      <c r="G36" s="9"/>
      <c r="H36" s="9"/>
      <c r="I36" s="32">
        <f>0.65315+0.00106</f>
        <v>0.65421</v>
      </c>
      <c r="J36" s="9"/>
      <c r="K36" s="9"/>
      <c r="L36" s="9"/>
      <c r="M36" s="9"/>
      <c r="N36" s="9"/>
      <c r="O36" s="9"/>
      <c r="P36" s="16"/>
    </row>
    <row r="37" spans="1:16" ht="12.75">
      <c r="A37" s="30"/>
      <c r="B37" s="3"/>
      <c r="C37" s="2"/>
      <c r="D37" s="34"/>
      <c r="E37" s="34"/>
      <c r="F37" s="34" t="s">
        <v>51</v>
      </c>
      <c r="G37" s="34"/>
      <c r="H37" s="34"/>
      <c r="I37" s="35">
        <f>I35-I36</f>
        <v>0.19822000000000006</v>
      </c>
      <c r="J37" s="34"/>
      <c r="K37" s="34"/>
      <c r="L37" s="34"/>
      <c r="M37" s="34"/>
      <c r="N37" s="34"/>
      <c r="O37" s="34"/>
      <c r="P37" s="36"/>
    </row>
    <row r="38" spans="1:16" ht="12.75">
      <c r="A38" s="30"/>
      <c r="B38" s="2"/>
      <c r="C38" s="2"/>
      <c r="D38" s="34"/>
      <c r="E38" s="34"/>
      <c r="F38" s="34"/>
      <c r="G38" s="34"/>
      <c r="H38" s="34"/>
      <c r="I38" s="34"/>
      <c r="J38" s="34"/>
      <c r="K38" s="34"/>
      <c r="L38" s="34"/>
      <c r="M38" s="34"/>
      <c r="N38" s="34"/>
      <c r="O38" s="34"/>
      <c r="P38" s="36"/>
    </row>
    <row r="39" spans="1:16" ht="12.75">
      <c r="A39" s="8" t="s">
        <v>52</v>
      </c>
      <c r="B39" s="2"/>
      <c r="C39" s="1"/>
      <c r="D39" s="2"/>
      <c r="E39" s="2"/>
      <c r="F39" s="2"/>
      <c r="G39" s="2"/>
      <c r="H39" s="2"/>
      <c r="I39" s="2"/>
      <c r="J39" s="2"/>
      <c r="K39" s="2"/>
      <c r="L39" s="2"/>
      <c r="M39" s="2"/>
      <c r="N39" s="2"/>
      <c r="O39" s="2"/>
      <c r="P39" s="2"/>
    </row>
    <row r="40" spans="1:16" ht="12.75">
      <c r="A40" s="37"/>
      <c r="B40" s="4"/>
      <c r="C40" s="2"/>
      <c r="D40" s="38">
        <v>39234</v>
      </c>
      <c r="E40" s="38">
        <v>39264</v>
      </c>
      <c r="F40" s="38">
        <v>39295</v>
      </c>
      <c r="G40" s="38">
        <v>39326</v>
      </c>
      <c r="H40" s="38">
        <v>39356</v>
      </c>
      <c r="I40" s="38">
        <v>39387</v>
      </c>
      <c r="J40" s="38">
        <v>39417</v>
      </c>
      <c r="K40" s="38">
        <v>39448</v>
      </c>
      <c r="L40" s="38">
        <v>39479</v>
      </c>
      <c r="M40" s="38">
        <v>39508</v>
      </c>
      <c r="N40" s="38">
        <v>39539</v>
      </c>
      <c r="O40" s="38">
        <v>39569</v>
      </c>
      <c r="P40" s="38">
        <v>39600</v>
      </c>
    </row>
    <row r="41" spans="1:16" ht="12.75">
      <c r="A41" t="s">
        <v>53</v>
      </c>
      <c r="D41" s="39">
        <v>75.2</v>
      </c>
      <c r="E41" s="39">
        <v>0.4</v>
      </c>
      <c r="F41" s="39">
        <v>21.1</v>
      </c>
      <c r="G41" s="39">
        <v>161.9</v>
      </c>
      <c r="H41" s="39">
        <v>377.3</v>
      </c>
      <c r="I41" s="39">
        <v>642.8</v>
      </c>
      <c r="J41" s="39">
        <v>702.2</v>
      </c>
      <c r="K41" s="40"/>
      <c r="L41" s="40"/>
      <c r="M41" s="40"/>
      <c r="N41" s="40"/>
      <c r="O41" s="40"/>
      <c r="P41" s="40"/>
    </row>
    <row r="42" spans="1:16" ht="12.75">
      <c r="A42" t="s">
        <v>54</v>
      </c>
      <c r="D42" s="41">
        <v>0.6125</v>
      </c>
      <c r="E42" s="41">
        <v>0.6117</v>
      </c>
      <c r="F42" s="41">
        <v>0.6375</v>
      </c>
      <c r="G42" s="41">
        <v>0.6092</v>
      </c>
      <c r="H42" s="41">
        <v>0.6331</v>
      </c>
      <c r="I42" s="41">
        <v>0.6615</v>
      </c>
      <c r="J42" s="41">
        <v>0.61</v>
      </c>
      <c r="K42" s="42"/>
      <c r="L42" s="42"/>
      <c r="M42" s="42"/>
      <c r="N42" s="42"/>
      <c r="O42" s="42"/>
      <c r="P42" s="42"/>
    </row>
    <row r="43" spans="1:16" ht="12.75">
      <c r="A43" s="8" t="s">
        <v>55</v>
      </c>
      <c r="B43" s="43" t="s">
        <v>56</v>
      </c>
      <c r="C43" s="43" t="s">
        <v>57</v>
      </c>
      <c r="D43" s="41"/>
      <c r="E43" s="41"/>
      <c r="F43" s="41"/>
      <c r="G43" s="41"/>
      <c r="H43" s="41"/>
      <c r="I43" s="41"/>
      <c r="J43" s="41"/>
      <c r="K43" s="41"/>
      <c r="L43" s="41"/>
      <c r="M43" s="41"/>
      <c r="N43" s="41"/>
      <c r="O43" s="41"/>
      <c r="P43" s="44"/>
    </row>
    <row r="44" spans="1:16" ht="12.75">
      <c r="A44" t="s">
        <v>58</v>
      </c>
      <c r="B44" s="2">
        <v>7</v>
      </c>
      <c r="C44" s="2">
        <v>0.11</v>
      </c>
      <c r="D44" s="45">
        <f aca="true" t="shared" si="8" ref="D44:J44">$C44*D$41*J65+$B44*D$42*J65</f>
        <v>1484645.9355000001</v>
      </c>
      <c r="E44" s="45">
        <f t="shared" si="8"/>
        <v>511637.1707</v>
      </c>
      <c r="F44" s="45">
        <f t="shared" si="8"/>
        <v>803851.5334999999</v>
      </c>
      <c r="G44" s="45">
        <f t="shared" si="8"/>
        <v>2624152.0122</v>
      </c>
      <c r="H44" s="45">
        <f t="shared" si="8"/>
        <v>5485705.6128</v>
      </c>
      <c r="I44" s="45">
        <f t="shared" si="8"/>
        <v>9053352.206500001</v>
      </c>
      <c r="J44" s="45">
        <f t="shared" si="8"/>
        <v>9822603.56</v>
      </c>
      <c r="K44" s="45">
        <f aca="true" t="shared" si="9" ref="K44:P44">$C44*K$41*E65+$B44*K$42*E65</f>
        <v>0</v>
      </c>
      <c r="L44" s="45">
        <f t="shared" si="9"/>
        <v>0</v>
      </c>
      <c r="M44" s="45">
        <f t="shared" si="9"/>
        <v>0</v>
      </c>
      <c r="N44" s="45">
        <f t="shared" si="9"/>
        <v>0</v>
      </c>
      <c r="O44" s="45">
        <f t="shared" si="9"/>
        <v>0</v>
      </c>
      <c r="P44" s="45">
        <f t="shared" si="9"/>
        <v>0</v>
      </c>
    </row>
    <row r="45" spans="1:16" ht="12.75">
      <c r="A45" t="s">
        <v>59</v>
      </c>
      <c r="B45" s="2">
        <v>0</v>
      </c>
      <c r="C45" s="2">
        <v>0.249</v>
      </c>
      <c r="D45" s="45">
        <f aca="true" t="shared" si="10" ref="D45:J45">$C45*D$41*(J66)+$B45*D$42*(J66)</f>
        <v>201141.8016</v>
      </c>
      <c r="E45" s="45">
        <f t="shared" si="10"/>
        <v>1076.0784</v>
      </c>
      <c r="F45" s="45">
        <f t="shared" si="10"/>
        <v>57125.65470000001</v>
      </c>
      <c r="G45" s="45">
        <f t="shared" si="10"/>
        <v>438848.4066</v>
      </c>
      <c r="H45" s="45">
        <f t="shared" si="10"/>
        <v>1024875.4593</v>
      </c>
      <c r="I45" s="45">
        <f t="shared" si="10"/>
        <v>1759828.9139999999</v>
      </c>
      <c r="J45" s="45">
        <f t="shared" si="10"/>
        <v>1927696.995</v>
      </c>
      <c r="K45" s="45">
        <f aca="true" t="shared" si="11" ref="K45:P45">$C45*K$41*(E66)+$B45*K$42*(E66)</f>
        <v>0</v>
      </c>
      <c r="L45" s="45">
        <f t="shared" si="11"/>
        <v>0</v>
      </c>
      <c r="M45" s="45">
        <f t="shared" si="11"/>
        <v>0</v>
      </c>
      <c r="N45" s="45">
        <f t="shared" si="11"/>
        <v>0</v>
      </c>
      <c r="O45" s="45">
        <f t="shared" si="11"/>
        <v>0</v>
      </c>
      <c r="P45" s="45">
        <f t="shared" si="11"/>
        <v>0</v>
      </c>
    </row>
    <row r="46" spans="1:16" ht="12.75">
      <c r="A46" t="s">
        <v>60</v>
      </c>
      <c r="B46" s="2">
        <v>0</v>
      </c>
      <c r="C46" s="2">
        <v>0.424</v>
      </c>
      <c r="D46" s="45">
        <f aca="true" t="shared" si="12" ref="D46:J46">$C46*D$41*J67+$B46*D$42*J67</f>
        <v>2869.632</v>
      </c>
      <c r="E46" s="45">
        <f t="shared" si="12"/>
        <v>16.112</v>
      </c>
      <c r="F46" s="45">
        <f t="shared" si="12"/>
        <v>849.908</v>
      </c>
      <c r="G46" s="45">
        <f t="shared" si="12"/>
        <v>6727.2688</v>
      </c>
      <c r="H46" s="45">
        <f t="shared" si="12"/>
        <v>15517.5944</v>
      </c>
      <c r="I46" s="45">
        <f t="shared" si="12"/>
        <v>26164.531199999998</v>
      </c>
      <c r="J46" s="45">
        <f t="shared" si="12"/>
        <v>28284.615999999998</v>
      </c>
      <c r="K46" s="45">
        <f aca="true" t="shared" si="13" ref="K46:P46">$C46*K$41*E67+$B46*K$42*E67</f>
        <v>0</v>
      </c>
      <c r="L46" s="45">
        <f t="shared" si="13"/>
        <v>0</v>
      </c>
      <c r="M46" s="45">
        <f t="shared" si="13"/>
        <v>0</v>
      </c>
      <c r="N46" s="45">
        <f t="shared" si="13"/>
        <v>0</v>
      </c>
      <c r="O46" s="45">
        <f t="shared" si="13"/>
        <v>0</v>
      </c>
      <c r="P46" s="45">
        <f t="shared" si="13"/>
        <v>0</v>
      </c>
    </row>
    <row r="47" spans="2:16" ht="12.75">
      <c r="B47" s="2"/>
      <c r="C47" s="2"/>
      <c r="D47" s="46">
        <f aca="true" t="shared" si="14" ref="D47:P47">SUM(D44:D46)</f>
        <v>1688657.3691</v>
      </c>
      <c r="E47" s="46">
        <f t="shared" si="14"/>
        <v>512729.36110000004</v>
      </c>
      <c r="F47" s="46">
        <f t="shared" si="14"/>
        <v>861827.0961999999</v>
      </c>
      <c r="G47" s="46">
        <f t="shared" si="14"/>
        <v>3069727.6876000003</v>
      </c>
      <c r="H47" s="46">
        <f t="shared" si="14"/>
        <v>6526098.6665</v>
      </c>
      <c r="I47" s="46">
        <f t="shared" si="14"/>
        <v>10839345.651700001</v>
      </c>
      <c r="J47" s="46">
        <f t="shared" si="14"/>
        <v>11778585.171</v>
      </c>
      <c r="K47" s="46">
        <f t="shared" si="14"/>
        <v>0</v>
      </c>
      <c r="L47" s="46">
        <f t="shared" si="14"/>
        <v>0</v>
      </c>
      <c r="M47" s="46">
        <f t="shared" si="14"/>
        <v>0</v>
      </c>
      <c r="N47" s="46">
        <f t="shared" si="14"/>
        <v>0</v>
      </c>
      <c r="O47" s="46">
        <f t="shared" si="14"/>
        <v>0</v>
      </c>
      <c r="P47" s="46">
        <f t="shared" si="14"/>
        <v>0</v>
      </c>
    </row>
    <row r="48" spans="2:16" ht="12.75">
      <c r="B48" s="2"/>
      <c r="C48" s="2"/>
      <c r="D48" s="47"/>
      <c r="E48" s="47"/>
      <c r="F48" s="47"/>
      <c r="G48" s="47"/>
      <c r="H48" s="47"/>
      <c r="I48" s="47"/>
      <c r="J48" s="47"/>
      <c r="K48" s="47"/>
      <c r="L48" s="47"/>
      <c r="M48" s="47"/>
      <c r="N48" s="47"/>
      <c r="O48" s="47"/>
      <c r="P48" s="47"/>
    </row>
    <row r="49" spans="2:16" ht="12.75">
      <c r="B49" s="48"/>
      <c r="C49" s="48"/>
      <c r="D49" s="47"/>
      <c r="E49" s="47"/>
      <c r="F49" s="47"/>
      <c r="G49" s="47"/>
      <c r="H49" s="47"/>
      <c r="I49" s="47"/>
      <c r="J49" s="47"/>
      <c r="K49" s="47"/>
      <c r="L49" s="47"/>
      <c r="M49" s="47"/>
      <c r="N49" s="47"/>
      <c r="O49" s="47"/>
      <c r="P49" s="47"/>
    </row>
    <row r="50" spans="4:16" ht="12.75">
      <c r="D50" s="47"/>
      <c r="E50" s="47"/>
      <c r="F50" s="47"/>
      <c r="G50" s="47"/>
      <c r="H50" s="47"/>
      <c r="I50" s="47"/>
      <c r="J50" s="47"/>
      <c r="K50" s="47"/>
      <c r="L50" s="47"/>
      <c r="M50" s="47"/>
      <c r="N50" s="47"/>
      <c r="O50" s="47"/>
      <c r="P50" s="47"/>
    </row>
    <row r="51" spans="1:16" ht="12.75">
      <c r="A51" s="8" t="s">
        <v>61</v>
      </c>
      <c r="B51" s="3"/>
      <c r="D51" s="49">
        <v>39264</v>
      </c>
      <c r="E51" s="49">
        <v>39295</v>
      </c>
      <c r="F51" s="49">
        <v>39326</v>
      </c>
      <c r="G51" s="49">
        <v>39356</v>
      </c>
      <c r="H51" s="49">
        <v>39387</v>
      </c>
      <c r="I51" s="49">
        <v>39417</v>
      </c>
      <c r="J51" s="49">
        <v>39448</v>
      </c>
      <c r="K51" s="49">
        <v>39479</v>
      </c>
      <c r="L51" s="49">
        <v>39508</v>
      </c>
      <c r="M51" s="49">
        <v>39539</v>
      </c>
      <c r="N51" s="49">
        <v>39569</v>
      </c>
      <c r="O51" s="49">
        <v>39600</v>
      </c>
      <c r="P51" s="49" t="s">
        <v>62</v>
      </c>
    </row>
    <row r="52" spans="1:16" ht="12.75">
      <c r="A52" s="2" t="s">
        <v>63</v>
      </c>
      <c r="B52" s="2"/>
      <c r="C52" s="2"/>
      <c r="D52" s="18">
        <v>44</v>
      </c>
      <c r="E52" s="18">
        <v>42</v>
      </c>
      <c r="F52" s="18">
        <v>196</v>
      </c>
      <c r="G52" s="18">
        <v>554</v>
      </c>
      <c r="H52" s="18">
        <v>897</v>
      </c>
      <c r="I52" s="18">
        <v>1168</v>
      </c>
      <c r="J52" s="18">
        <v>1169</v>
      </c>
      <c r="K52" s="18">
        <v>916</v>
      </c>
      <c r="L52" s="18">
        <v>790</v>
      </c>
      <c r="M52" s="18">
        <v>557</v>
      </c>
      <c r="N52" s="18">
        <v>338</v>
      </c>
      <c r="O52" s="18">
        <v>149</v>
      </c>
      <c r="P52" s="47">
        <f>SUM(D52:O52)</f>
        <v>6820</v>
      </c>
    </row>
    <row r="53" spans="1:16" ht="12.75">
      <c r="A53" s="2" t="s">
        <v>64</v>
      </c>
      <c r="B53" s="2"/>
      <c r="C53" s="2"/>
      <c r="D53" s="50">
        <v>0</v>
      </c>
      <c r="E53" s="50">
        <v>27</v>
      </c>
      <c r="F53" s="50">
        <v>194</v>
      </c>
      <c r="G53" s="50">
        <v>553</v>
      </c>
      <c r="H53" s="50">
        <v>894</v>
      </c>
      <c r="I53" s="51">
        <v>1126</v>
      </c>
      <c r="J53" s="52">
        <v>1169</v>
      </c>
      <c r="K53" s="52">
        <v>916</v>
      </c>
      <c r="L53" s="52">
        <v>790</v>
      </c>
      <c r="M53" s="52">
        <v>557</v>
      </c>
      <c r="N53" s="52">
        <v>338</v>
      </c>
      <c r="O53" s="52">
        <v>149</v>
      </c>
      <c r="P53" s="47">
        <f>SUM(D53:O53)</f>
        <v>6713</v>
      </c>
    </row>
    <row r="54" spans="1:16" ht="12.75">
      <c r="A54" s="2" t="s">
        <v>65</v>
      </c>
      <c r="B54" s="4"/>
      <c r="C54" s="2"/>
      <c r="D54" s="17">
        <f aca="true" t="shared" si="15" ref="D54:P54">D52-D53</f>
        <v>44</v>
      </c>
      <c r="E54" s="17">
        <f t="shared" si="15"/>
        <v>15</v>
      </c>
      <c r="F54" s="17">
        <f t="shared" si="15"/>
        <v>2</v>
      </c>
      <c r="G54" s="17">
        <f t="shared" si="15"/>
        <v>1</v>
      </c>
      <c r="H54" s="17">
        <f t="shared" si="15"/>
        <v>3</v>
      </c>
      <c r="I54" s="17">
        <f t="shared" si="15"/>
        <v>42</v>
      </c>
      <c r="J54" s="17">
        <f t="shared" si="15"/>
        <v>0</v>
      </c>
      <c r="K54" s="17">
        <f t="shared" si="15"/>
        <v>0</v>
      </c>
      <c r="L54" s="17">
        <f t="shared" si="15"/>
        <v>0</v>
      </c>
      <c r="M54" s="17">
        <f t="shared" si="15"/>
        <v>0</v>
      </c>
      <c r="N54" s="17">
        <f t="shared" si="15"/>
        <v>0</v>
      </c>
      <c r="O54" s="17">
        <f t="shared" si="15"/>
        <v>0</v>
      </c>
      <c r="P54" s="17">
        <f t="shared" si="15"/>
        <v>107</v>
      </c>
    </row>
    <row r="55" spans="1:16" ht="12.75">
      <c r="A55" s="2"/>
      <c r="B55" s="2"/>
      <c r="C55" s="2"/>
      <c r="D55" s="18"/>
      <c r="E55" s="18"/>
      <c r="F55" s="18"/>
      <c r="G55" s="18"/>
      <c r="H55" s="18"/>
      <c r="I55" s="18"/>
      <c r="J55" s="18"/>
      <c r="K55" s="18"/>
      <c r="L55" s="18"/>
      <c r="M55" s="18"/>
      <c r="N55" s="18"/>
      <c r="O55" s="18"/>
      <c r="P55" s="18"/>
    </row>
    <row r="56" spans="1:16" ht="12.75">
      <c r="A56" s="21" t="s">
        <v>55</v>
      </c>
      <c r="B56" s="43" t="s">
        <v>56</v>
      </c>
      <c r="C56" s="21" t="s">
        <v>57</v>
      </c>
      <c r="D56" s="47"/>
      <c r="E56" s="47"/>
      <c r="F56" s="47"/>
      <c r="G56" s="47"/>
      <c r="H56" s="47"/>
      <c r="I56" s="47"/>
      <c r="J56" s="47"/>
      <c r="K56" s="47"/>
      <c r="L56" s="47"/>
      <c r="M56" s="47"/>
      <c r="N56" s="47"/>
      <c r="O56" s="47"/>
      <c r="P56" s="47"/>
    </row>
    <row r="57" spans="1:16" ht="12.75">
      <c r="A57" t="s">
        <v>58</v>
      </c>
      <c r="B57" s="2">
        <v>7</v>
      </c>
      <c r="C57" s="2">
        <v>0.11</v>
      </c>
      <c r="D57" s="47">
        <f aca="true" t="shared" si="16" ref="D57:I57">D$54*$C57*K65</f>
        <v>572441.32</v>
      </c>
      <c r="E57" s="47">
        <f t="shared" si="16"/>
        <v>195526.65</v>
      </c>
      <c r="F57" s="47">
        <f t="shared" si="16"/>
        <v>26154.26</v>
      </c>
      <c r="G57" s="47">
        <f t="shared" si="16"/>
        <v>13136.64</v>
      </c>
      <c r="H57" s="47">
        <f t="shared" si="16"/>
        <v>39655.770000000004</v>
      </c>
      <c r="I57" s="47">
        <f t="shared" si="16"/>
        <v>556733.1</v>
      </c>
      <c r="J57" s="47">
        <f aca="true" t="shared" si="17" ref="J57:O57">J$54*$C57*E65</f>
        <v>0</v>
      </c>
      <c r="K57" s="47">
        <f t="shared" si="17"/>
        <v>0</v>
      </c>
      <c r="L57" s="47">
        <f t="shared" si="17"/>
        <v>0</v>
      </c>
      <c r="M57" s="47">
        <f t="shared" si="17"/>
        <v>0</v>
      </c>
      <c r="N57" s="47">
        <f t="shared" si="17"/>
        <v>0</v>
      </c>
      <c r="O57" s="47">
        <f t="shared" si="17"/>
        <v>0</v>
      </c>
      <c r="P57" s="47">
        <f>SUM(D57:O57)</f>
        <v>1403647.74</v>
      </c>
    </row>
    <row r="58" spans="1:16" ht="12.75">
      <c r="A58" t="s">
        <v>59</v>
      </c>
      <c r="B58" s="2">
        <v>0</v>
      </c>
      <c r="C58" s="2">
        <v>0.249</v>
      </c>
      <c r="D58" s="47">
        <f aca="true" t="shared" si="18" ref="D58:I58">D$54*$C58*(K66)</f>
        <v>118368.624</v>
      </c>
      <c r="E58" s="47">
        <f t="shared" si="18"/>
        <v>40610.655</v>
      </c>
      <c r="F58" s="47">
        <f t="shared" si="18"/>
        <v>5421.228</v>
      </c>
      <c r="G58" s="47">
        <f t="shared" si="18"/>
        <v>2716.341</v>
      </c>
      <c r="H58" s="47">
        <f t="shared" si="18"/>
        <v>8213.265</v>
      </c>
      <c r="I58" s="47">
        <f t="shared" si="18"/>
        <v>115299.45</v>
      </c>
      <c r="J58" s="47">
        <f aca="true" t="shared" si="19" ref="J58:O58">J$54*$C58*(E66)</f>
        <v>0</v>
      </c>
      <c r="K58" s="47">
        <f t="shared" si="19"/>
        <v>0</v>
      </c>
      <c r="L58" s="47">
        <f t="shared" si="19"/>
        <v>0</v>
      </c>
      <c r="M58" s="47">
        <f t="shared" si="19"/>
        <v>0</v>
      </c>
      <c r="N58" s="47">
        <f t="shared" si="19"/>
        <v>0</v>
      </c>
      <c r="O58" s="47">
        <f t="shared" si="19"/>
        <v>0</v>
      </c>
      <c r="P58" s="47">
        <f>SUM(D58:O58)</f>
        <v>290629.56299999997</v>
      </c>
    </row>
    <row r="59" spans="1:16" ht="12.75">
      <c r="A59" t="s">
        <v>60</v>
      </c>
      <c r="B59" s="2">
        <v>0</v>
      </c>
      <c r="C59" s="2">
        <v>0.424</v>
      </c>
      <c r="D59" s="47">
        <f aca="true" t="shared" si="20" ref="D59:I59">D$54*$C59*K67</f>
        <v>1772.32</v>
      </c>
      <c r="E59" s="47">
        <f t="shared" si="20"/>
        <v>604.1999999999999</v>
      </c>
      <c r="F59" s="47">
        <f t="shared" si="20"/>
        <v>83.104</v>
      </c>
      <c r="G59" s="47">
        <f t="shared" si="20"/>
        <v>41.128</v>
      </c>
      <c r="H59" s="47">
        <f t="shared" si="20"/>
        <v>122.112</v>
      </c>
      <c r="I59" s="47">
        <f t="shared" si="20"/>
        <v>1691.76</v>
      </c>
      <c r="J59" s="47">
        <f aca="true" t="shared" si="21" ref="J59:O59">J$54*$C59*E67</f>
        <v>0</v>
      </c>
      <c r="K59" s="47">
        <f t="shared" si="21"/>
        <v>0</v>
      </c>
      <c r="L59" s="47">
        <f t="shared" si="21"/>
        <v>0</v>
      </c>
      <c r="M59" s="47">
        <f t="shared" si="21"/>
        <v>0</v>
      </c>
      <c r="N59" s="47">
        <f t="shared" si="21"/>
        <v>0</v>
      </c>
      <c r="O59" s="47">
        <f t="shared" si="21"/>
        <v>0</v>
      </c>
      <c r="P59" s="47">
        <f>SUM(D59:O59)</f>
        <v>4314.624</v>
      </c>
    </row>
    <row r="60" spans="1:16" ht="12.75">
      <c r="A60" s="2"/>
      <c r="B60" s="2"/>
      <c r="C60" s="2"/>
      <c r="D60" s="17">
        <f aca="true" t="shared" si="22" ref="D60:P60">SUM(D57:D59)</f>
        <v>692582.2639999999</v>
      </c>
      <c r="E60" s="17">
        <f t="shared" si="22"/>
        <v>236741.505</v>
      </c>
      <c r="F60" s="17">
        <f t="shared" si="22"/>
        <v>31658.591999999997</v>
      </c>
      <c r="G60" s="17">
        <f t="shared" si="22"/>
        <v>15894.109</v>
      </c>
      <c r="H60" s="17">
        <f t="shared" si="22"/>
        <v>47991.147000000004</v>
      </c>
      <c r="I60" s="17">
        <f t="shared" si="22"/>
        <v>673724.3099999999</v>
      </c>
      <c r="J60" s="17">
        <f t="shared" si="22"/>
        <v>0</v>
      </c>
      <c r="K60" s="17">
        <f t="shared" si="22"/>
        <v>0</v>
      </c>
      <c r="L60" s="17">
        <f t="shared" si="22"/>
        <v>0</v>
      </c>
      <c r="M60" s="17">
        <f t="shared" si="22"/>
        <v>0</v>
      </c>
      <c r="N60" s="17">
        <f t="shared" si="22"/>
        <v>0</v>
      </c>
      <c r="O60" s="17">
        <f t="shared" si="22"/>
        <v>0</v>
      </c>
      <c r="P60" s="17">
        <f t="shared" si="22"/>
        <v>1698591.927</v>
      </c>
    </row>
    <row r="61" spans="1:16" ht="12.75">
      <c r="A61" s="2"/>
      <c r="B61" s="2"/>
      <c r="C61" s="2"/>
      <c r="D61" s="2"/>
      <c r="E61" s="2"/>
      <c r="F61" s="2"/>
      <c r="G61" s="2"/>
      <c r="H61" s="2"/>
      <c r="I61" s="2"/>
      <c r="J61" s="2"/>
      <c r="K61" s="2"/>
      <c r="L61" s="2"/>
      <c r="M61" s="2"/>
      <c r="N61" s="2"/>
      <c r="O61" s="2"/>
      <c r="P61" s="2"/>
    </row>
    <row r="62" spans="2:16" ht="12.75">
      <c r="B62" s="2"/>
      <c r="C62" s="2"/>
      <c r="D62" s="47"/>
      <c r="E62" s="47"/>
      <c r="F62" s="47"/>
      <c r="G62" s="47"/>
      <c r="H62" s="47"/>
      <c r="I62" s="47"/>
      <c r="J62" s="47"/>
      <c r="K62" s="47"/>
      <c r="L62" s="47"/>
      <c r="M62" s="47"/>
      <c r="N62" s="47"/>
      <c r="O62" s="47"/>
      <c r="P62" s="47"/>
    </row>
    <row r="63" spans="2:16" ht="12.75">
      <c r="B63" s="3"/>
      <c r="C63" s="48"/>
      <c r="D63" s="16"/>
      <c r="E63" s="16"/>
      <c r="F63" s="16"/>
      <c r="G63" s="16"/>
      <c r="H63" s="16"/>
      <c r="I63" s="16"/>
      <c r="J63" s="16"/>
      <c r="K63" s="16"/>
      <c r="L63" s="16"/>
      <c r="M63" s="16"/>
      <c r="N63" s="16"/>
      <c r="O63" s="16"/>
      <c r="P63" s="47"/>
    </row>
    <row r="64" spans="1:16" ht="12.75">
      <c r="A64" s="1" t="s">
        <v>66</v>
      </c>
      <c r="B64" s="2"/>
      <c r="C64" s="2"/>
      <c r="D64" s="49">
        <v>37956</v>
      </c>
      <c r="E64" s="49">
        <v>37987</v>
      </c>
      <c r="F64" s="49">
        <v>38018</v>
      </c>
      <c r="G64" s="49">
        <v>38047</v>
      </c>
      <c r="H64" s="49">
        <v>38078</v>
      </c>
      <c r="I64" s="49">
        <v>38108</v>
      </c>
      <c r="J64" s="49">
        <v>38139</v>
      </c>
      <c r="K64" s="49">
        <v>38169</v>
      </c>
      <c r="L64" s="49">
        <v>38200</v>
      </c>
      <c r="M64" s="49">
        <v>38231</v>
      </c>
      <c r="N64" s="49">
        <v>38261</v>
      </c>
      <c r="O64" s="49">
        <v>38292</v>
      </c>
      <c r="P64" s="49">
        <v>38322</v>
      </c>
    </row>
    <row r="65" spans="1:16" ht="12.75">
      <c r="A65" t="s">
        <v>67</v>
      </c>
      <c r="B65" s="2" t="s">
        <v>68</v>
      </c>
      <c r="C65" s="2"/>
      <c r="D65" s="9">
        <v>117874</v>
      </c>
      <c r="E65" s="9">
        <v>118080</v>
      </c>
      <c r="F65" s="9">
        <v>118182</v>
      </c>
      <c r="G65" s="9">
        <v>118187</v>
      </c>
      <c r="H65" s="9">
        <v>118186</v>
      </c>
      <c r="I65" s="9">
        <v>118175</v>
      </c>
      <c r="J65" s="9">
        <v>118209</v>
      </c>
      <c r="K65" s="9">
        <v>118273</v>
      </c>
      <c r="L65" s="9">
        <v>118501</v>
      </c>
      <c r="M65" s="9">
        <v>118883</v>
      </c>
      <c r="N65" s="9">
        <v>119424</v>
      </c>
      <c r="O65" s="9">
        <v>120169</v>
      </c>
      <c r="P65" s="9">
        <v>120505</v>
      </c>
    </row>
    <row r="66" spans="2:16" ht="12.75">
      <c r="B66" s="4" t="s">
        <v>69</v>
      </c>
      <c r="C66" s="2"/>
      <c r="D66" s="9">
        <v>10668</v>
      </c>
      <c r="E66" s="9">
        <v>10647</v>
      </c>
      <c r="F66" s="9">
        <v>10737</v>
      </c>
      <c r="G66" s="9">
        <v>10714</v>
      </c>
      <c r="H66" s="9">
        <v>10698</v>
      </c>
      <c r="I66" s="9">
        <v>10735</v>
      </c>
      <c r="J66" s="9">
        <v>10742</v>
      </c>
      <c r="K66" s="9">
        <v>10804</v>
      </c>
      <c r="L66" s="9">
        <v>10873</v>
      </c>
      <c r="M66" s="9">
        <v>10886</v>
      </c>
      <c r="N66" s="9">
        <v>10909</v>
      </c>
      <c r="O66" s="9">
        <v>10995</v>
      </c>
      <c r="P66" s="9">
        <v>11025</v>
      </c>
    </row>
    <row r="67" spans="2:16" ht="12.75">
      <c r="B67" s="2" t="s">
        <v>70</v>
      </c>
      <c r="C67" s="2"/>
      <c r="D67" s="9">
        <v>94</v>
      </c>
      <c r="E67" s="9">
        <v>93</v>
      </c>
      <c r="F67" s="9">
        <v>92</v>
      </c>
      <c r="G67" s="9">
        <v>92</v>
      </c>
      <c r="H67" s="9">
        <v>92</v>
      </c>
      <c r="I67" s="9">
        <v>93</v>
      </c>
      <c r="J67" s="9">
        <v>90</v>
      </c>
      <c r="K67" s="9">
        <v>95</v>
      </c>
      <c r="L67" s="9">
        <v>95</v>
      </c>
      <c r="M67" s="9">
        <v>98</v>
      </c>
      <c r="N67" s="9">
        <v>97</v>
      </c>
      <c r="O67" s="9">
        <v>96</v>
      </c>
      <c r="P67" s="9">
        <v>95</v>
      </c>
    </row>
    <row r="68" spans="2:16" ht="12.75">
      <c r="B68" s="2" t="s">
        <v>71</v>
      </c>
      <c r="C68" s="2"/>
      <c r="D68" s="9"/>
      <c r="E68" s="9">
        <v>20</v>
      </c>
      <c r="F68" s="9">
        <v>20</v>
      </c>
      <c r="G68" s="9">
        <v>20</v>
      </c>
      <c r="H68" s="9">
        <v>20</v>
      </c>
      <c r="I68" s="9">
        <v>20</v>
      </c>
      <c r="J68" s="9">
        <v>20</v>
      </c>
      <c r="K68" s="9">
        <v>20</v>
      </c>
      <c r="L68" s="9">
        <v>21</v>
      </c>
      <c r="M68" s="9">
        <v>21</v>
      </c>
      <c r="N68" s="9">
        <v>21</v>
      </c>
      <c r="O68" s="9">
        <v>21</v>
      </c>
      <c r="P68" s="9">
        <v>21</v>
      </c>
    </row>
    <row r="69" spans="1:16" ht="12.75">
      <c r="A69" s="2" t="s">
        <v>72</v>
      </c>
      <c r="B69" s="2"/>
      <c r="C69" s="2"/>
      <c r="D69" s="53">
        <f aca="true" t="shared" si="23" ref="D69:P69">SUM(D65:D68)</f>
        <v>128636</v>
      </c>
      <c r="E69" s="53">
        <f t="shared" si="23"/>
        <v>128840</v>
      </c>
      <c r="F69" s="53">
        <f t="shared" si="23"/>
        <v>129031</v>
      </c>
      <c r="G69" s="53">
        <f t="shared" si="23"/>
        <v>129013</v>
      </c>
      <c r="H69" s="53">
        <f t="shared" si="23"/>
        <v>128996</v>
      </c>
      <c r="I69" s="53">
        <f t="shared" si="23"/>
        <v>129023</v>
      </c>
      <c r="J69" s="53">
        <f t="shared" si="23"/>
        <v>129061</v>
      </c>
      <c r="K69" s="53">
        <f t="shared" si="23"/>
        <v>129192</v>
      </c>
      <c r="L69" s="53">
        <f t="shared" si="23"/>
        <v>129490</v>
      </c>
      <c r="M69" s="53">
        <f t="shared" si="23"/>
        <v>129888</v>
      </c>
      <c r="N69" s="53">
        <f t="shared" si="23"/>
        <v>130451</v>
      </c>
      <c r="O69" s="53">
        <f t="shared" si="23"/>
        <v>131281</v>
      </c>
      <c r="P69" s="53">
        <f t="shared" si="23"/>
        <v>131646</v>
      </c>
    </row>
  </sheetData>
  <mergeCells count="1">
    <mergeCell ref="A31:P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62"/>
  <sheetViews>
    <sheetView workbookViewId="0" topLeftCell="A1">
      <pane xSplit="15045" topLeftCell="K1" activePane="topLeft" state="split"/>
      <selection pane="topLeft" activeCell="E30" sqref="E29:E30"/>
      <selection pane="topRight" activeCell="K1" sqref="K1:P16384"/>
    </sheetView>
  </sheetViews>
  <sheetFormatPr defaultColWidth="9.140625" defaultRowHeight="12.75"/>
  <cols>
    <col min="1" max="1" width="10.00390625" style="2" customWidth="1"/>
    <col min="2" max="2" width="17.8515625" style="2" customWidth="1"/>
    <col min="3" max="3" width="9.57421875" style="2" customWidth="1"/>
    <col min="4" max="4" width="13.57421875" style="2" customWidth="1"/>
    <col min="5" max="5" width="13.421875" style="2" customWidth="1"/>
    <col min="6" max="6" width="13.00390625" style="2" customWidth="1"/>
    <col min="7" max="9" width="12.8515625" style="2" bestFit="1" customWidth="1"/>
    <col min="10" max="10" width="14.57421875" style="2" customWidth="1"/>
    <col min="11" max="11" width="14.140625" style="2" customWidth="1"/>
    <col min="12" max="12" width="14.00390625" style="2" bestFit="1" customWidth="1"/>
    <col min="13" max="13" width="10.28125" style="2" bestFit="1" customWidth="1"/>
    <col min="14" max="16384" width="9.140625" style="2" customWidth="1"/>
  </cols>
  <sheetData>
    <row r="1" ht="12.75">
      <c r="A1" s="1" t="s">
        <v>0</v>
      </c>
    </row>
    <row r="2" ht="12.75">
      <c r="A2" s="1" t="s">
        <v>1</v>
      </c>
    </row>
    <row r="3" ht="12.75">
      <c r="A3" s="1" t="s">
        <v>2</v>
      </c>
    </row>
    <row r="4" ht="12.75">
      <c r="A4" s="1" t="s">
        <v>73</v>
      </c>
    </row>
    <row r="5" ht="12.75">
      <c r="A5" s="1" t="s">
        <v>4</v>
      </c>
    </row>
    <row r="6" ht="12.75">
      <c r="A6" s="1" t="s">
        <v>74</v>
      </c>
    </row>
    <row r="7" spans="4:10" ht="12.75">
      <c r="D7" s="5">
        <v>2007</v>
      </c>
      <c r="E7" s="5">
        <v>2007</v>
      </c>
      <c r="F7" s="5">
        <v>2007</v>
      </c>
      <c r="G7" s="5">
        <v>2007</v>
      </c>
      <c r="H7" s="5">
        <v>2007</v>
      </c>
      <c r="I7" s="5">
        <v>2007</v>
      </c>
      <c r="J7" s="5"/>
    </row>
    <row r="8" spans="4:10" ht="12.75">
      <c r="D8" s="7" t="s">
        <v>14</v>
      </c>
      <c r="E8" s="7" t="s">
        <v>15</v>
      </c>
      <c r="F8" s="7" t="s">
        <v>16</v>
      </c>
      <c r="G8" s="7" t="s">
        <v>17</v>
      </c>
      <c r="H8" s="7" t="s">
        <v>18</v>
      </c>
      <c r="I8" s="7" t="s">
        <v>19</v>
      </c>
      <c r="J8" s="7" t="s">
        <v>75</v>
      </c>
    </row>
    <row r="9" spans="1:2" ht="12.75">
      <c r="A9" s="1" t="s">
        <v>76</v>
      </c>
      <c r="B9" s="1"/>
    </row>
    <row r="10" spans="1:4" ht="12.75">
      <c r="A10" s="8" t="s">
        <v>22</v>
      </c>
      <c r="D10" s="54"/>
    </row>
    <row r="11" spans="1:12" ht="12.75">
      <c r="A11" s="2" t="s">
        <v>23</v>
      </c>
      <c r="D11" s="55">
        <v>21292599</v>
      </c>
      <c r="E11" s="55">
        <v>21234566</v>
      </c>
      <c r="F11" s="55">
        <v>14472322</v>
      </c>
      <c r="G11" s="56">
        <v>9724124</v>
      </c>
      <c r="H11" s="55">
        <v>6113562</v>
      </c>
      <c r="I11" s="55">
        <v>3664833</v>
      </c>
      <c r="J11" s="16">
        <f>SUM(D11:I11)</f>
        <v>76502006</v>
      </c>
      <c r="L11" s="16"/>
    </row>
    <row r="12" spans="1:12" ht="12.75">
      <c r="A12" s="2" t="s">
        <v>24</v>
      </c>
      <c r="D12" s="55">
        <v>-1620408</v>
      </c>
      <c r="E12" s="55">
        <v>-1565117</v>
      </c>
      <c r="F12" s="55">
        <v>-1001608</v>
      </c>
      <c r="G12" s="55">
        <v>-706395</v>
      </c>
      <c r="H12" s="55">
        <v>-412954</v>
      </c>
      <c r="I12" s="55">
        <v>-269857</v>
      </c>
      <c r="J12" s="16">
        <f>SUM(D12:I12)</f>
        <v>-5576339</v>
      </c>
      <c r="L12" s="16"/>
    </row>
    <row r="13" spans="1:12" ht="12.75">
      <c r="A13" s="2" t="s">
        <v>25</v>
      </c>
      <c r="D13" s="9">
        <f>-D40</f>
        <v>-11318911.0186</v>
      </c>
      <c r="E13" s="9">
        <f>-D14</f>
        <v>-12417092.121</v>
      </c>
      <c r="F13" s="9">
        <f>-E14</f>
        <v>-8476763.407399999</v>
      </c>
      <c r="G13" s="9">
        <f>-F14</f>
        <v>-6557935.2957000015</v>
      </c>
      <c r="H13" s="9">
        <f>-G14</f>
        <v>-5501940.396</v>
      </c>
      <c r="I13" s="9">
        <f>-H14</f>
        <v>-2947283.1453000004</v>
      </c>
      <c r="J13" s="16">
        <f>SUM(D13:I13)</f>
        <v>-47219925.383999996</v>
      </c>
      <c r="L13" s="16"/>
    </row>
    <row r="14" spans="1:12" ht="12.75">
      <c r="A14" s="2" t="s">
        <v>26</v>
      </c>
      <c r="D14" s="9">
        <f aca="true" t="shared" si="0" ref="D14:I14">E40</f>
        <v>12417092.121</v>
      </c>
      <c r="E14" s="9">
        <f t="shared" si="0"/>
        <v>8476763.407399999</v>
      </c>
      <c r="F14" s="9">
        <f t="shared" si="0"/>
        <v>6557935.2957000015</v>
      </c>
      <c r="G14" s="9">
        <f t="shared" si="0"/>
        <v>5501940.396</v>
      </c>
      <c r="H14" s="9">
        <f t="shared" si="0"/>
        <v>2947283.1453000004</v>
      </c>
      <c r="I14" s="9">
        <f t="shared" si="0"/>
        <v>1688657.3691</v>
      </c>
      <c r="J14" s="16">
        <f>SUM(D14:I14)</f>
        <v>37589671.7345</v>
      </c>
      <c r="L14" s="9"/>
    </row>
    <row r="15" spans="1:12" ht="12.75">
      <c r="A15" s="2" t="s">
        <v>27</v>
      </c>
      <c r="D15" s="9">
        <f aca="true" t="shared" si="1" ref="D15:I15">D53</f>
        <v>-1160270.7900000003</v>
      </c>
      <c r="E15" s="9">
        <f t="shared" si="1"/>
        <v>817052.1319999999</v>
      </c>
      <c r="F15" s="9">
        <f t="shared" si="1"/>
        <v>1664980.584</v>
      </c>
      <c r="G15" s="9">
        <f t="shared" si="1"/>
        <v>141329.43</v>
      </c>
      <c r="H15" s="9">
        <f t="shared" si="1"/>
        <v>1068395.396</v>
      </c>
      <c r="I15" s="9">
        <f t="shared" si="1"/>
        <v>204306.80399999997</v>
      </c>
      <c r="J15" s="16">
        <f>SUM(D15:I15)</f>
        <v>2735793.5559999994</v>
      </c>
      <c r="L15" s="9"/>
    </row>
    <row r="16" spans="1:12" ht="12.75">
      <c r="A16" s="2" t="s">
        <v>28</v>
      </c>
      <c r="D16" s="17">
        <f aca="true" t="shared" si="2" ref="D16:J16">SUM(D11:D15)</f>
        <v>19610101.3124</v>
      </c>
      <c r="E16" s="17">
        <f t="shared" si="2"/>
        <v>16546172.418399999</v>
      </c>
      <c r="F16" s="17">
        <f t="shared" si="2"/>
        <v>13216866.472300002</v>
      </c>
      <c r="G16" s="17">
        <f t="shared" si="2"/>
        <v>8103063.530299998</v>
      </c>
      <c r="H16" s="17">
        <f t="shared" si="2"/>
        <v>4214346.145300001</v>
      </c>
      <c r="I16" s="17">
        <f t="shared" si="2"/>
        <v>2340657.0278</v>
      </c>
      <c r="J16" s="17">
        <f t="shared" si="2"/>
        <v>64031206.906500004</v>
      </c>
      <c r="L16" s="9"/>
    </row>
    <row r="17" spans="4:12" ht="12.75">
      <c r="D17" s="18"/>
      <c r="E17" s="18"/>
      <c r="F17" s="18"/>
      <c r="G17" s="18"/>
      <c r="H17" s="18"/>
      <c r="I17" s="18"/>
      <c r="J17" s="18"/>
      <c r="L17" s="9"/>
    </row>
    <row r="18" spans="1:12" ht="12.75">
      <c r="A18" s="2" t="s">
        <v>29</v>
      </c>
      <c r="D18" s="18">
        <f aca="true" t="shared" si="3" ref="D18:I18">D16</f>
        <v>19610101.3124</v>
      </c>
      <c r="E18" s="18">
        <f t="shared" si="3"/>
        <v>16546172.418399999</v>
      </c>
      <c r="F18" s="18">
        <f t="shared" si="3"/>
        <v>13216866.472300002</v>
      </c>
      <c r="G18" s="18">
        <f t="shared" si="3"/>
        <v>8103063.530299998</v>
      </c>
      <c r="H18" s="18">
        <f t="shared" si="3"/>
        <v>4214346.145300001</v>
      </c>
      <c r="I18" s="18">
        <f t="shared" si="3"/>
        <v>2340657.0278</v>
      </c>
      <c r="J18" s="16">
        <f>SUM(D18:I18)</f>
        <v>64031206.9065</v>
      </c>
      <c r="L18" s="9"/>
    </row>
    <row r="19" spans="1:10" ht="12.75">
      <c r="A19" t="s">
        <v>30</v>
      </c>
      <c r="B19"/>
      <c r="C19"/>
      <c r="D19" s="19">
        <v>20224840.48455847</v>
      </c>
      <c r="E19" s="19">
        <v>16393845.526802754</v>
      </c>
      <c r="F19" s="19">
        <v>14157245.544399895</v>
      </c>
      <c r="G19" s="19">
        <v>8557146.212768268</v>
      </c>
      <c r="H19" s="19">
        <v>4587478.215037547</v>
      </c>
      <c r="I19" s="19">
        <v>1965935.6404168222</v>
      </c>
      <c r="J19" s="16">
        <f>SUM(D19:I19)</f>
        <v>65886491.623983756</v>
      </c>
    </row>
    <row r="20" spans="1:10" ht="12.75">
      <c r="A20" s="2" t="s">
        <v>31</v>
      </c>
      <c r="C20"/>
      <c r="D20" s="20">
        <f aca="true" t="shared" si="4" ref="D20:I20">D18-D19</f>
        <v>-614739.1721584722</v>
      </c>
      <c r="E20" s="20">
        <f t="shared" si="4"/>
        <v>152326.8915972449</v>
      </c>
      <c r="F20" s="20">
        <f t="shared" si="4"/>
        <v>-940379.0720998924</v>
      </c>
      <c r="G20" s="20">
        <f t="shared" si="4"/>
        <v>-454082.68246826995</v>
      </c>
      <c r="H20" s="20">
        <f t="shared" si="4"/>
        <v>-373132.06973754615</v>
      </c>
      <c r="I20" s="20">
        <f t="shared" si="4"/>
        <v>374721.38738317764</v>
      </c>
      <c r="J20" s="16">
        <f>SUM(D20:I20)</f>
        <v>-1855284.7174837582</v>
      </c>
    </row>
    <row r="21" spans="1:10" ht="12.75">
      <c r="A21" s="2" t="s">
        <v>77</v>
      </c>
      <c r="C21"/>
      <c r="D21" s="21">
        <v>0.20595</v>
      </c>
      <c r="E21" s="21">
        <v>0.20595</v>
      </c>
      <c r="F21" s="21">
        <v>0.20595</v>
      </c>
      <c r="G21" s="21">
        <v>0.20595</v>
      </c>
      <c r="H21" s="21">
        <v>0.20595</v>
      </c>
      <c r="I21" s="21">
        <v>0.20595</v>
      </c>
      <c r="J21"/>
    </row>
    <row r="22" spans="1:10" ht="12.75">
      <c r="A22" s="2" t="s">
        <v>33</v>
      </c>
      <c r="D22" s="57">
        <f aca="true" t="shared" si="5" ref="D22:I22">D20*D21</f>
        <v>-126605.53250603736</v>
      </c>
      <c r="E22" s="57">
        <f t="shared" si="5"/>
        <v>31371.723324452585</v>
      </c>
      <c r="F22" s="57">
        <f t="shared" si="5"/>
        <v>-193671.06989897284</v>
      </c>
      <c r="G22" s="57">
        <f t="shared" si="5"/>
        <v>-93518.3284543402</v>
      </c>
      <c r="H22" s="57">
        <f t="shared" si="5"/>
        <v>-76846.54976244763</v>
      </c>
      <c r="I22" s="57">
        <f t="shared" si="5"/>
        <v>77173.86973156543</v>
      </c>
      <c r="J22" s="57">
        <f>SUM(D22:I22)</f>
        <v>-382095.88756578</v>
      </c>
    </row>
    <row r="23" spans="1:10" ht="13.5" thickBot="1">
      <c r="A23" s="58"/>
      <c r="B23" s="4" t="s">
        <v>34</v>
      </c>
      <c r="D23" s="24">
        <v>0.9</v>
      </c>
      <c r="E23" s="24">
        <v>0.9</v>
      </c>
      <c r="F23" s="24">
        <v>0.9</v>
      </c>
      <c r="G23" s="24">
        <v>0.9</v>
      </c>
      <c r="H23" s="24">
        <v>0.9</v>
      </c>
      <c r="I23" s="24">
        <v>0.9</v>
      </c>
      <c r="J23" s="59"/>
    </row>
    <row r="24" spans="1:11" ht="13.5" thickBot="1">
      <c r="A24" s="1" t="s">
        <v>35</v>
      </c>
      <c r="D24" s="26">
        <f aca="true" t="shared" si="6" ref="D24:I24">D22*D23</f>
        <v>-113944.97925543363</v>
      </c>
      <c r="E24" s="26">
        <f t="shared" si="6"/>
        <v>28234.550992007327</v>
      </c>
      <c r="F24" s="26">
        <f t="shared" si="6"/>
        <v>-174303.96290907555</v>
      </c>
      <c r="G24" s="26">
        <f t="shared" si="6"/>
        <v>-84166.49560890617</v>
      </c>
      <c r="H24" s="26">
        <f t="shared" si="6"/>
        <v>-69161.89478620287</v>
      </c>
      <c r="I24" s="26">
        <f t="shared" si="6"/>
        <v>69456.48275840889</v>
      </c>
      <c r="J24" s="22">
        <f>SUM(D24:I24)</f>
        <v>-343886.298809202</v>
      </c>
      <c r="K24" s="16"/>
    </row>
    <row r="25" spans="1:11" ht="12.75">
      <c r="A25"/>
      <c r="B25" s="1" t="s">
        <v>36</v>
      </c>
      <c r="C25"/>
      <c r="D25"/>
      <c r="E25"/>
      <c r="F25"/>
      <c r="G25"/>
      <c r="H25"/>
      <c r="I25"/>
      <c r="J25"/>
      <c r="K25"/>
    </row>
    <row r="26" spans="1:11" ht="12.75">
      <c r="A26"/>
      <c r="B26"/>
      <c r="C26"/>
      <c r="D26"/>
      <c r="E26"/>
      <c r="F26"/>
      <c r="G26"/>
      <c r="H26"/>
      <c r="I26"/>
      <c r="J26"/>
      <c r="K26"/>
    </row>
    <row r="27" spans="1:11" ht="12.75">
      <c r="A27" s="30" t="s">
        <v>40</v>
      </c>
      <c r="B27"/>
      <c r="C27"/>
      <c r="D27"/>
      <c r="E27"/>
      <c r="F27"/>
      <c r="G27"/>
      <c r="H27"/>
      <c r="I27"/>
      <c r="J27"/>
      <c r="K27"/>
    </row>
    <row r="28" spans="1:11" ht="12.75">
      <c r="A28" s="30"/>
      <c r="B28"/>
      <c r="C28"/>
      <c r="D28"/>
      <c r="E28"/>
      <c r="F28"/>
      <c r="G28"/>
      <c r="H28"/>
      <c r="I28"/>
      <c r="J28"/>
      <c r="K28"/>
    </row>
    <row r="29" spans="1:10" ht="12.75">
      <c r="A29" s="30"/>
      <c r="B29"/>
      <c r="C29"/>
      <c r="D29"/>
      <c r="E29"/>
      <c r="F29"/>
      <c r="G29"/>
      <c r="H29"/>
      <c r="I29"/>
      <c r="J29"/>
    </row>
    <row r="30" spans="1:10" ht="12.75">
      <c r="A30" s="30"/>
      <c r="B30"/>
      <c r="C30"/>
      <c r="D30"/>
      <c r="E30"/>
      <c r="F30"/>
      <c r="G30"/>
      <c r="H30"/>
      <c r="I30"/>
      <c r="J30"/>
    </row>
    <row r="31" spans="1:10" ht="12.75">
      <c r="A31"/>
      <c r="B31"/>
      <c r="C31"/>
      <c r="D31"/>
      <c r="E31"/>
      <c r="F31"/>
      <c r="G31"/>
      <c r="H31"/>
      <c r="I31"/>
      <c r="J31"/>
    </row>
    <row r="32" spans="1:3" ht="12.75">
      <c r="A32" s="8" t="s">
        <v>52</v>
      </c>
      <c r="C32" s="1"/>
    </row>
    <row r="33" spans="1:10" ht="12.75">
      <c r="A33" s="37"/>
      <c r="D33" s="38">
        <v>39052</v>
      </c>
      <c r="E33" s="38">
        <v>39083</v>
      </c>
      <c r="F33" s="38">
        <v>39114</v>
      </c>
      <c r="G33" s="38">
        <v>39142</v>
      </c>
      <c r="H33" s="38">
        <v>39173</v>
      </c>
      <c r="I33" s="38">
        <v>39203</v>
      </c>
      <c r="J33" s="38">
        <v>39234</v>
      </c>
    </row>
    <row r="34" spans="1:10" ht="12.75">
      <c r="A34" t="s">
        <v>53</v>
      </c>
      <c r="B34"/>
      <c r="C34"/>
      <c r="D34" s="60">
        <v>689.9</v>
      </c>
      <c r="E34" s="60">
        <v>760.6</v>
      </c>
      <c r="F34" s="60">
        <v>508</v>
      </c>
      <c r="G34" s="39">
        <v>386.3</v>
      </c>
      <c r="H34" s="60">
        <v>317.6</v>
      </c>
      <c r="I34" s="60">
        <v>154.9</v>
      </c>
      <c r="J34" s="60">
        <v>75.2</v>
      </c>
    </row>
    <row r="35" spans="1:10" ht="12.75">
      <c r="A35" t="s">
        <v>54</v>
      </c>
      <c r="B35"/>
      <c r="C35"/>
      <c r="D35" s="41">
        <v>0.6223</v>
      </c>
      <c r="E35" s="41">
        <v>0.5945</v>
      </c>
      <c r="F35" s="41">
        <v>0.5981</v>
      </c>
      <c r="G35" s="41">
        <v>0.5925</v>
      </c>
      <c r="H35" s="41">
        <v>0.622</v>
      </c>
      <c r="I35" s="41">
        <v>0.6208</v>
      </c>
      <c r="J35" s="41">
        <v>0.6125</v>
      </c>
    </row>
    <row r="36" spans="1:10" ht="12.75">
      <c r="A36" s="8" t="s">
        <v>55</v>
      </c>
      <c r="B36" s="43" t="s">
        <v>56</v>
      </c>
      <c r="C36" s="43" t="s">
        <v>57</v>
      </c>
      <c r="D36" s="41"/>
      <c r="E36" s="41"/>
      <c r="F36" s="41"/>
      <c r="G36" s="41"/>
      <c r="H36" s="41"/>
      <c r="I36" s="41"/>
      <c r="J36" s="41"/>
    </row>
    <row r="37" spans="1:10" ht="12.75">
      <c r="A37" t="s">
        <v>58</v>
      </c>
      <c r="B37" s="2">
        <v>7</v>
      </c>
      <c r="C37" s="2">
        <v>0.11</v>
      </c>
      <c r="D37" s="45">
        <f aca="true" t="shared" si="7" ref="D37:J37">$C37*D$34*D58+$B37*D$35*D58</f>
        <v>9458810.917399999</v>
      </c>
      <c r="E37" s="45">
        <f t="shared" si="7"/>
        <v>10370671.2</v>
      </c>
      <c r="F37" s="45">
        <f t="shared" si="7"/>
        <v>7098802.7394</v>
      </c>
      <c r="G37" s="45">
        <f t="shared" si="7"/>
        <v>5512300.773500001</v>
      </c>
      <c r="H37" s="45">
        <f t="shared" si="7"/>
        <v>4643527.9399999995</v>
      </c>
      <c r="I37" s="45">
        <f t="shared" si="7"/>
        <v>2527125.1050000004</v>
      </c>
      <c r="J37" s="45">
        <f t="shared" si="7"/>
        <v>1484645.9355000001</v>
      </c>
    </row>
    <row r="38" spans="1:10" ht="12.75">
      <c r="A38" t="s">
        <v>59</v>
      </c>
      <c r="B38" s="2">
        <v>0</v>
      </c>
      <c r="C38" s="2">
        <v>0.249</v>
      </c>
      <c r="D38" s="45">
        <f aca="true" t="shared" si="8" ref="D38:J38">$C38*D$34*(D59)+$B38*D$35*(D59)</f>
        <v>1832603.4468</v>
      </c>
      <c r="E38" s="45">
        <f t="shared" si="8"/>
        <v>2016428.9418</v>
      </c>
      <c r="F38" s="45">
        <f t="shared" si="8"/>
        <v>1358144.604</v>
      </c>
      <c r="G38" s="45">
        <f t="shared" si="8"/>
        <v>1030565.7318</v>
      </c>
      <c r="H38" s="45">
        <f t="shared" si="8"/>
        <v>846023.5152</v>
      </c>
      <c r="I38" s="45">
        <f t="shared" si="8"/>
        <v>414050.0235</v>
      </c>
      <c r="J38" s="45">
        <f t="shared" si="8"/>
        <v>201141.8016</v>
      </c>
    </row>
    <row r="39" spans="1:10" ht="12.75">
      <c r="A39" t="s">
        <v>60</v>
      </c>
      <c r="B39" s="2">
        <v>0</v>
      </c>
      <c r="C39" s="2">
        <v>0.424</v>
      </c>
      <c r="D39" s="45">
        <f aca="true" t="shared" si="9" ref="D39:J39">$C39*D$34*D60+$B39*D$35*D60</f>
        <v>27496.654399999996</v>
      </c>
      <c r="E39" s="45">
        <f t="shared" si="9"/>
        <v>29991.979199999998</v>
      </c>
      <c r="F39" s="45">
        <f t="shared" si="9"/>
        <v>19816.064</v>
      </c>
      <c r="G39" s="45">
        <f t="shared" si="9"/>
        <v>15068.7904</v>
      </c>
      <c r="H39" s="45">
        <f t="shared" si="9"/>
        <v>12388.940800000002</v>
      </c>
      <c r="I39" s="45">
        <f t="shared" si="9"/>
        <v>6108.016799999999</v>
      </c>
      <c r="J39" s="45">
        <f t="shared" si="9"/>
        <v>2869.632</v>
      </c>
    </row>
    <row r="40" spans="1:10" ht="12.75">
      <c r="A40"/>
      <c r="D40" s="46">
        <f aca="true" t="shared" si="10" ref="D40:J40">SUM(D37:D39)</f>
        <v>11318911.0186</v>
      </c>
      <c r="E40" s="46">
        <f t="shared" si="10"/>
        <v>12417092.121</v>
      </c>
      <c r="F40" s="46">
        <f t="shared" si="10"/>
        <v>8476763.407399999</v>
      </c>
      <c r="G40" s="46">
        <f t="shared" si="10"/>
        <v>6557935.2957000015</v>
      </c>
      <c r="H40" s="46">
        <f t="shared" si="10"/>
        <v>5501940.396</v>
      </c>
      <c r="I40" s="46">
        <f t="shared" si="10"/>
        <v>2947283.1453000004</v>
      </c>
      <c r="J40" s="46">
        <f t="shared" si="10"/>
        <v>1688657.3691</v>
      </c>
    </row>
    <row r="41" spans="1:10" ht="12.75">
      <c r="A41"/>
      <c r="D41" s="47"/>
      <c r="E41" s="47"/>
      <c r="F41" s="47"/>
      <c r="G41" s="47"/>
      <c r="H41" s="47"/>
      <c r="I41" s="47"/>
      <c r="J41" s="47"/>
    </row>
    <row r="42" spans="1:10" ht="12.75">
      <c r="A42"/>
      <c r="B42" s="48"/>
      <c r="C42" s="48"/>
      <c r="D42" s="47"/>
      <c r="E42" s="47"/>
      <c r="F42" s="47"/>
      <c r="G42" s="47"/>
      <c r="H42" s="47"/>
      <c r="I42" s="47"/>
      <c r="J42" s="47"/>
    </row>
    <row r="43" spans="1:10" ht="12.75">
      <c r="A43"/>
      <c r="B43"/>
      <c r="C43"/>
      <c r="D43" s="47"/>
      <c r="E43" s="47"/>
      <c r="F43" s="47"/>
      <c r="G43" s="47"/>
      <c r="H43" s="47"/>
      <c r="I43" s="47"/>
      <c r="J43" s="47"/>
    </row>
    <row r="44" spans="1:10" ht="12.75">
      <c r="A44" s="8" t="s">
        <v>61</v>
      </c>
      <c r="B44"/>
      <c r="C44"/>
      <c r="D44" s="49">
        <v>39083</v>
      </c>
      <c r="E44" s="49">
        <v>39114</v>
      </c>
      <c r="F44" s="49">
        <v>39142</v>
      </c>
      <c r="G44" s="49">
        <v>39173</v>
      </c>
      <c r="H44" s="49">
        <v>39203</v>
      </c>
      <c r="I44" s="49">
        <v>39234</v>
      </c>
      <c r="J44" s="61" t="s">
        <v>75</v>
      </c>
    </row>
    <row r="45" spans="1:10" ht="12.75">
      <c r="A45" s="2" t="s">
        <v>63</v>
      </c>
      <c r="D45" s="18">
        <v>1169</v>
      </c>
      <c r="E45" s="18">
        <v>916</v>
      </c>
      <c r="F45" s="18">
        <v>790</v>
      </c>
      <c r="G45" s="18">
        <v>557</v>
      </c>
      <c r="H45" s="18">
        <v>338</v>
      </c>
      <c r="I45" s="18">
        <v>149</v>
      </c>
      <c r="J45" s="47">
        <f>SUM(D45:I45)</f>
        <v>3919</v>
      </c>
    </row>
    <row r="46" spans="1:10" ht="12.75">
      <c r="A46" s="2" t="s">
        <v>64</v>
      </c>
      <c r="D46" s="62">
        <v>1243</v>
      </c>
      <c r="E46" s="62">
        <v>864</v>
      </c>
      <c r="F46" s="62">
        <v>684</v>
      </c>
      <c r="G46" s="62">
        <v>548</v>
      </c>
      <c r="H46" s="62">
        <v>270</v>
      </c>
      <c r="I46" s="62">
        <v>136</v>
      </c>
      <c r="J46" s="47">
        <f>SUM(D46:I46)</f>
        <v>3745</v>
      </c>
    </row>
    <row r="47" spans="1:10" ht="12.75">
      <c r="A47" s="2" t="s">
        <v>65</v>
      </c>
      <c r="D47" s="17">
        <f aca="true" t="shared" si="11" ref="D47:J47">D45-D46</f>
        <v>-74</v>
      </c>
      <c r="E47" s="17">
        <f t="shared" si="11"/>
        <v>52</v>
      </c>
      <c r="F47" s="17">
        <f t="shared" si="11"/>
        <v>106</v>
      </c>
      <c r="G47" s="17">
        <f t="shared" si="11"/>
        <v>9</v>
      </c>
      <c r="H47" s="17">
        <f t="shared" si="11"/>
        <v>68</v>
      </c>
      <c r="I47" s="17">
        <f t="shared" si="11"/>
        <v>13</v>
      </c>
      <c r="J47" s="17">
        <f t="shared" si="11"/>
        <v>174</v>
      </c>
    </row>
    <row r="48" spans="4:10" ht="12.75">
      <c r="D48" s="18"/>
      <c r="E48" s="18"/>
      <c r="F48" s="18"/>
      <c r="G48" s="18"/>
      <c r="H48" s="18"/>
      <c r="I48" s="18"/>
      <c r="J48" s="18"/>
    </row>
    <row r="49" spans="1:10" ht="12.75">
      <c r="A49" s="21" t="s">
        <v>55</v>
      </c>
      <c r="B49" s="43" t="s">
        <v>56</v>
      </c>
      <c r="C49" s="21" t="s">
        <v>57</v>
      </c>
      <c r="D49" s="47"/>
      <c r="E49" s="47"/>
      <c r="F49" s="47"/>
      <c r="G49" s="47"/>
      <c r="H49" s="47"/>
      <c r="I49" s="47"/>
      <c r="J49" s="47"/>
    </row>
    <row r="50" spans="1:10" ht="12.75">
      <c r="A50" t="s">
        <v>58</v>
      </c>
      <c r="B50" s="2">
        <v>7</v>
      </c>
      <c r="C50" s="2">
        <v>0.11</v>
      </c>
      <c r="D50" s="47">
        <f aca="true" t="shared" si="12" ref="D50:I50">D$47*$C50*E58</f>
        <v>-961171.2000000001</v>
      </c>
      <c r="E50" s="47">
        <f t="shared" si="12"/>
        <v>676001.0399999999</v>
      </c>
      <c r="F50" s="47">
        <f t="shared" si="12"/>
        <v>1378060.42</v>
      </c>
      <c r="G50" s="47">
        <f t="shared" si="12"/>
        <v>117004.14</v>
      </c>
      <c r="H50" s="47">
        <f t="shared" si="12"/>
        <v>883949</v>
      </c>
      <c r="I50" s="47">
        <f t="shared" si="12"/>
        <v>169038.87</v>
      </c>
      <c r="J50" s="47">
        <f>SUM(D50:I50)</f>
        <v>2262882.2699999996</v>
      </c>
    </row>
    <row r="51" spans="1:10" ht="12.75">
      <c r="A51" t="s">
        <v>59</v>
      </c>
      <c r="B51" s="2">
        <v>0</v>
      </c>
      <c r="C51" s="2">
        <v>0.249</v>
      </c>
      <c r="D51" s="47">
        <f aca="true" t="shared" si="13" ref="D51:I51">D$47*$C51*(E59)</f>
        <v>-196181.62199999997</v>
      </c>
      <c r="E51" s="47">
        <f t="shared" si="13"/>
        <v>139022.676</v>
      </c>
      <c r="F51" s="47">
        <f t="shared" si="13"/>
        <v>282785.316</v>
      </c>
      <c r="G51" s="47">
        <f t="shared" si="13"/>
        <v>23974.218</v>
      </c>
      <c r="H51" s="47">
        <f t="shared" si="13"/>
        <v>181765.02</v>
      </c>
      <c r="I51" s="47">
        <f t="shared" si="13"/>
        <v>34771.854</v>
      </c>
      <c r="J51" s="47">
        <f>SUM(D51:I51)</f>
        <v>466137.462</v>
      </c>
    </row>
    <row r="52" spans="1:10" ht="12.75">
      <c r="A52" t="s">
        <v>60</v>
      </c>
      <c r="B52" s="2">
        <v>0</v>
      </c>
      <c r="C52" s="2">
        <v>0.424</v>
      </c>
      <c r="D52" s="47">
        <f aca="true" t="shared" si="14" ref="D52:I52">D$47*$C52*E60</f>
        <v>-2917.968</v>
      </c>
      <c r="E52" s="47">
        <f t="shared" si="14"/>
        <v>2028.416</v>
      </c>
      <c r="F52" s="47">
        <f t="shared" si="14"/>
        <v>4134.848</v>
      </c>
      <c r="G52" s="47">
        <f t="shared" si="14"/>
        <v>351.072</v>
      </c>
      <c r="H52" s="47">
        <f t="shared" si="14"/>
        <v>2681.376</v>
      </c>
      <c r="I52" s="47">
        <f t="shared" si="14"/>
        <v>496.08</v>
      </c>
      <c r="J52" s="47">
        <f>SUM(D52:I52)</f>
        <v>6773.8240000000005</v>
      </c>
    </row>
    <row r="53" spans="4:10" ht="12.75">
      <c r="D53" s="17">
        <f aca="true" t="shared" si="15" ref="D53:J53">SUM(D50:D52)</f>
        <v>-1160270.7900000003</v>
      </c>
      <c r="E53" s="17">
        <f t="shared" si="15"/>
        <v>817052.1319999999</v>
      </c>
      <c r="F53" s="17">
        <f t="shared" si="15"/>
        <v>1664980.584</v>
      </c>
      <c r="G53" s="17">
        <f t="shared" si="15"/>
        <v>141329.43</v>
      </c>
      <c r="H53" s="17">
        <f t="shared" si="15"/>
        <v>1068395.396</v>
      </c>
      <c r="I53" s="17">
        <f t="shared" si="15"/>
        <v>204306.80399999997</v>
      </c>
      <c r="J53" s="17">
        <f t="shared" si="15"/>
        <v>2735793.5559999994</v>
      </c>
    </row>
    <row r="55" spans="1:10" ht="12.75">
      <c r="A55"/>
      <c r="D55" s="16"/>
      <c r="E55" s="16"/>
      <c r="F55" s="16"/>
      <c r="G55" s="16"/>
      <c r="H55" s="16"/>
      <c r="I55" s="16"/>
      <c r="J55" s="16"/>
    </row>
    <row r="57" spans="1:10" ht="12.75">
      <c r="A57" s="1" t="s">
        <v>66</v>
      </c>
      <c r="D57" s="49">
        <v>37956</v>
      </c>
      <c r="E57" s="49">
        <v>37987</v>
      </c>
      <c r="F57" s="49">
        <v>38018</v>
      </c>
      <c r="G57" s="49">
        <v>38047</v>
      </c>
      <c r="H57" s="49">
        <v>38078</v>
      </c>
      <c r="I57" s="49">
        <v>38108</v>
      </c>
      <c r="J57" s="49">
        <v>38139</v>
      </c>
    </row>
    <row r="58" spans="1:10" ht="12.75">
      <c r="A58" t="s">
        <v>67</v>
      </c>
      <c r="B58" s="2" t="s">
        <v>68</v>
      </c>
      <c r="D58" s="9">
        <v>117874</v>
      </c>
      <c r="E58" s="9">
        <v>118080</v>
      </c>
      <c r="F58" s="9">
        <v>118182</v>
      </c>
      <c r="G58" s="9">
        <v>118187</v>
      </c>
      <c r="H58" s="9">
        <v>118186</v>
      </c>
      <c r="I58" s="9">
        <v>118175</v>
      </c>
      <c r="J58" s="9">
        <v>118209</v>
      </c>
    </row>
    <row r="59" spans="1:10" ht="12.75">
      <c r="A59"/>
      <c r="B59" s="2" t="s">
        <v>69</v>
      </c>
      <c r="D59" s="9">
        <v>10668</v>
      </c>
      <c r="E59" s="9">
        <v>10647</v>
      </c>
      <c r="F59" s="9">
        <v>10737</v>
      </c>
      <c r="G59" s="9">
        <v>10714</v>
      </c>
      <c r="H59" s="9">
        <v>10698</v>
      </c>
      <c r="I59" s="9">
        <v>10735</v>
      </c>
      <c r="J59" s="9">
        <v>10742</v>
      </c>
    </row>
    <row r="60" spans="1:10" ht="12.75">
      <c r="A60"/>
      <c r="B60" s="2" t="s">
        <v>70</v>
      </c>
      <c r="D60" s="9">
        <v>94</v>
      </c>
      <c r="E60" s="9">
        <v>93</v>
      </c>
      <c r="F60" s="9">
        <v>92</v>
      </c>
      <c r="G60" s="9">
        <v>92</v>
      </c>
      <c r="H60" s="9">
        <v>92</v>
      </c>
      <c r="I60" s="9">
        <v>93</v>
      </c>
      <c r="J60" s="9">
        <v>90</v>
      </c>
    </row>
    <row r="61" spans="1:10" ht="12.75">
      <c r="A61"/>
      <c r="B61" s="2" t="s">
        <v>71</v>
      </c>
      <c r="D61" s="9"/>
      <c r="E61" s="9">
        <v>20</v>
      </c>
      <c r="F61" s="9">
        <v>20</v>
      </c>
      <c r="G61" s="9">
        <v>20</v>
      </c>
      <c r="H61" s="9">
        <v>20</v>
      </c>
      <c r="I61" s="9">
        <v>20</v>
      </c>
      <c r="J61" s="9">
        <v>20</v>
      </c>
    </row>
    <row r="62" spans="1:10" ht="12.75">
      <c r="A62" s="2" t="s">
        <v>72</v>
      </c>
      <c r="D62" s="53">
        <f aca="true" t="shared" si="16" ref="D62:J62">SUM(D58:D61)</f>
        <v>128636</v>
      </c>
      <c r="E62" s="53">
        <f t="shared" si="16"/>
        <v>128840</v>
      </c>
      <c r="F62" s="53">
        <f t="shared" si="16"/>
        <v>129031</v>
      </c>
      <c r="G62" s="53">
        <f t="shared" si="16"/>
        <v>129013</v>
      </c>
      <c r="H62" s="53">
        <f t="shared" si="16"/>
        <v>128996</v>
      </c>
      <c r="I62" s="53">
        <f t="shared" si="16"/>
        <v>129023</v>
      </c>
      <c r="J62" s="53">
        <f t="shared" si="16"/>
        <v>129061</v>
      </c>
    </row>
  </sheetData>
  <printOptions horizontalCentered="1" verticalCentered="1"/>
  <pageMargins left="0.25" right="0.25" top="0.5" bottom="0.5" header="0.5" footer="0.5"/>
  <pageSetup horizontalDpi="600" verticalDpi="600" orientation="landscape" scale="65" r:id="rId1"/>
  <headerFooter alignWithMargins="0">
    <oddFooter>&amp;Cfile: &amp;F /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tabSelected="1" workbookViewId="0" topLeftCell="G1">
      <selection activeCell="M44" sqref="M44"/>
    </sheetView>
  </sheetViews>
  <sheetFormatPr defaultColWidth="9.140625" defaultRowHeight="12.75"/>
  <cols>
    <col min="1" max="1" width="8.421875" style="0" customWidth="1"/>
    <col min="2" max="2" width="31.140625" style="0" customWidth="1"/>
    <col min="3" max="3" width="11.140625" style="0" customWidth="1"/>
    <col min="4" max="6" width="10.8515625" style="0" bestFit="1" customWidth="1"/>
    <col min="7" max="8" width="10.140625" style="0" bestFit="1" customWidth="1"/>
    <col min="9" max="9" width="10.421875" style="0" bestFit="1" customWidth="1"/>
    <col min="10" max="10" width="9.7109375" style="0" bestFit="1" customWidth="1"/>
    <col min="11" max="11" width="9.8515625" style="0" bestFit="1" customWidth="1"/>
    <col min="12" max="13" width="10.140625" style="0" bestFit="1" customWidth="1"/>
    <col min="14" max="14" width="9.8515625" style="0" bestFit="1" customWidth="1"/>
    <col min="15" max="15" width="13.140625" style="0" customWidth="1"/>
    <col min="16" max="16" width="16.7109375" style="0" bestFit="1" customWidth="1"/>
  </cols>
  <sheetData>
    <row r="1" ht="12.75">
      <c r="A1" s="1" t="s">
        <v>110</v>
      </c>
    </row>
    <row r="2" spans="1:4" ht="12.75">
      <c r="A2" s="1" t="s">
        <v>78</v>
      </c>
      <c r="D2" s="1">
        <v>2007</v>
      </c>
    </row>
    <row r="4" spans="1:16" ht="12.75">
      <c r="A4" s="1" t="s">
        <v>66</v>
      </c>
      <c r="B4" s="2"/>
      <c r="C4" s="2"/>
      <c r="D4" s="49">
        <v>37956</v>
      </c>
      <c r="E4" s="49">
        <v>37987</v>
      </c>
      <c r="F4" s="49">
        <v>38018</v>
      </c>
      <c r="G4" s="49">
        <v>38047</v>
      </c>
      <c r="H4" s="49">
        <v>38078</v>
      </c>
      <c r="I4" s="49">
        <v>38108</v>
      </c>
      <c r="J4" s="49">
        <v>38139</v>
      </c>
      <c r="K4" s="49">
        <v>38169</v>
      </c>
      <c r="L4" s="49">
        <v>38200</v>
      </c>
      <c r="M4" s="49">
        <v>38231</v>
      </c>
      <c r="N4" s="49">
        <v>38261</v>
      </c>
      <c r="O4" s="49">
        <v>38292</v>
      </c>
      <c r="P4" s="49">
        <v>38322</v>
      </c>
    </row>
    <row r="5" spans="1:16" ht="12.75" hidden="1">
      <c r="A5" t="s">
        <v>67</v>
      </c>
      <c r="B5" s="2" t="s">
        <v>68</v>
      </c>
      <c r="C5" s="2"/>
      <c r="D5" s="9">
        <v>117874</v>
      </c>
      <c r="E5" s="9">
        <v>118080</v>
      </c>
      <c r="F5" s="9">
        <v>118182</v>
      </c>
      <c r="G5" s="9">
        <v>118187</v>
      </c>
      <c r="H5" s="9">
        <v>118186</v>
      </c>
      <c r="I5" s="9">
        <v>118175</v>
      </c>
      <c r="J5" s="9">
        <v>118209</v>
      </c>
      <c r="K5" s="9">
        <v>118273</v>
      </c>
      <c r="L5" s="9">
        <v>118501</v>
      </c>
      <c r="M5" s="9">
        <v>118883</v>
      </c>
      <c r="N5" s="9">
        <v>119424</v>
      </c>
      <c r="O5" s="9">
        <v>120169</v>
      </c>
      <c r="P5" s="9">
        <v>120505</v>
      </c>
    </row>
    <row r="6" spans="2:16" ht="12.75" hidden="1">
      <c r="B6" s="2" t="s">
        <v>69</v>
      </c>
      <c r="C6" s="2"/>
      <c r="D6" s="9">
        <v>10668</v>
      </c>
      <c r="E6" s="9">
        <v>10647</v>
      </c>
      <c r="F6" s="9">
        <v>10737</v>
      </c>
      <c r="G6" s="9">
        <v>10714</v>
      </c>
      <c r="H6" s="9">
        <v>10698</v>
      </c>
      <c r="I6" s="9">
        <v>10735</v>
      </c>
      <c r="J6" s="9">
        <v>10742</v>
      </c>
      <c r="K6" s="9">
        <v>10804</v>
      </c>
      <c r="L6" s="9">
        <v>10873</v>
      </c>
      <c r="M6" s="9">
        <v>10886</v>
      </c>
      <c r="N6" s="9">
        <v>10909</v>
      </c>
      <c r="O6" s="9">
        <v>10995</v>
      </c>
      <c r="P6" s="9">
        <v>11025</v>
      </c>
    </row>
    <row r="7" spans="2:16" ht="12.75" hidden="1">
      <c r="B7" s="2" t="s">
        <v>70</v>
      </c>
      <c r="C7" s="2"/>
      <c r="D7" s="9">
        <v>94</v>
      </c>
      <c r="E7" s="9">
        <v>93</v>
      </c>
      <c r="F7" s="9">
        <v>92</v>
      </c>
      <c r="G7" s="9">
        <v>92</v>
      </c>
      <c r="H7" s="9">
        <v>92</v>
      </c>
      <c r="I7" s="9">
        <v>93</v>
      </c>
      <c r="J7" s="9">
        <v>90</v>
      </c>
      <c r="K7" s="9">
        <v>95</v>
      </c>
      <c r="L7" s="9">
        <v>95</v>
      </c>
      <c r="M7" s="9">
        <v>98</v>
      </c>
      <c r="N7" s="9">
        <v>97</v>
      </c>
      <c r="O7" s="9">
        <v>96</v>
      </c>
      <c r="P7" s="9">
        <v>95</v>
      </c>
    </row>
    <row r="8" spans="2:16" ht="12.75" hidden="1">
      <c r="B8" s="2" t="s">
        <v>71</v>
      </c>
      <c r="C8" s="2"/>
      <c r="D8" s="9"/>
      <c r="E8" s="9">
        <v>20</v>
      </c>
      <c r="F8" s="9">
        <v>20</v>
      </c>
      <c r="G8" s="9">
        <v>20</v>
      </c>
      <c r="H8" s="9">
        <v>20</v>
      </c>
      <c r="I8" s="9">
        <v>20</v>
      </c>
      <c r="J8" s="9">
        <v>20</v>
      </c>
      <c r="K8" s="9">
        <v>20</v>
      </c>
      <c r="L8" s="9">
        <v>21</v>
      </c>
      <c r="M8" s="9">
        <v>21</v>
      </c>
      <c r="N8" s="9">
        <v>21</v>
      </c>
      <c r="O8" s="9">
        <v>21</v>
      </c>
      <c r="P8" s="9">
        <v>21</v>
      </c>
    </row>
    <row r="9" spans="1:16" ht="12.75">
      <c r="A9" s="2" t="s">
        <v>72</v>
      </c>
      <c r="B9" s="2"/>
      <c r="C9" s="2"/>
      <c r="D9" s="53">
        <f aca="true" t="shared" si="0" ref="D9:P9">SUM(D5:D8)</f>
        <v>128636</v>
      </c>
      <c r="E9" s="53">
        <f t="shared" si="0"/>
        <v>128840</v>
      </c>
      <c r="F9" s="53">
        <f t="shared" si="0"/>
        <v>129031</v>
      </c>
      <c r="G9" s="53">
        <f t="shared" si="0"/>
        <v>129013</v>
      </c>
      <c r="H9" s="53">
        <f t="shared" si="0"/>
        <v>128996</v>
      </c>
      <c r="I9" s="53">
        <f t="shared" si="0"/>
        <v>129023</v>
      </c>
      <c r="J9" s="53">
        <f t="shared" si="0"/>
        <v>129061</v>
      </c>
      <c r="K9" s="53">
        <f t="shared" si="0"/>
        <v>129192</v>
      </c>
      <c r="L9" s="53">
        <f t="shared" si="0"/>
        <v>129490</v>
      </c>
      <c r="M9" s="53">
        <f t="shared" si="0"/>
        <v>129888</v>
      </c>
      <c r="N9" s="53">
        <f t="shared" si="0"/>
        <v>130451</v>
      </c>
      <c r="O9" s="53">
        <f t="shared" si="0"/>
        <v>131281</v>
      </c>
      <c r="P9" s="53">
        <f t="shared" si="0"/>
        <v>131646</v>
      </c>
    </row>
    <row r="11" ht="12.75">
      <c r="A11" s="1" t="s">
        <v>79</v>
      </c>
    </row>
    <row r="12" spans="1:16" ht="12.75">
      <c r="A12" s="63"/>
      <c r="B12" s="64"/>
      <c r="C12" s="64" t="s">
        <v>80</v>
      </c>
      <c r="D12" s="64"/>
      <c r="E12" s="64"/>
      <c r="F12" s="64"/>
      <c r="G12" s="64"/>
      <c r="H12" s="64"/>
      <c r="I12" s="64"/>
      <c r="J12" s="64"/>
      <c r="K12" s="64"/>
      <c r="L12" s="64"/>
      <c r="M12" s="64"/>
      <c r="N12" s="64"/>
      <c r="O12" s="64"/>
      <c r="P12" s="64"/>
    </row>
    <row r="13" spans="1:16" ht="12.75">
      <c r="A13" s="65"/>
      <c r="B13" s="66" t="s">
        <v>81</v>
      </c>
      <c r="C13" s="66" t="s">
        <v>82</v>
      </c>
      <c r="D13" s="66" t="s">
        <v>83</v>
      </c>
      <c r="E13" s="66" t="s">
        <v>84</v>
      </c>
      <c r="F13" s="66" t="s">
        <v>85</v>
      </c>
      <c r="G13" s="66" t="s">
        <v>86</v>
      </c>
      <c r="H13" s="66" t="s">
        <v>87</v>
      </c>
      <c r="I13" s="66" t="s">
        <v>88</v>
      </c>
      <c r="J13" s="66" t="s">
        <v>89</v>
      </c>
      <c r="K13" s="66" t="s">
        <v>90</v>
      </c>
      <c r="L13" s="66" t="s">
        <v>91</v>
      </c>
      <c r="M13" s="66" t="s">
        <v>92</v>
      </c>
      <c r="N13" s="66" t="s">
        <v>93</v>
      </c>
      <c r="O13" s="67" t="s">
        <v>94</v>
      </c>
      <c r="P13" s="68" t="s">
        <v>95</v>
      </c>
    </row>
    <row r="14" spans="1:16" ht="12.75">
      <c r="A14" s="69" t="s">
        <v>96</v>
      </c>
      <c r="B14" s="70"/>
      <c r="C14" s="71">
        <v>138804</v>
      </c>
      <c r="D14" s="71">
        <v>139210</v>
      </c>
      <c r="E14" s="71">
        <v>139055</v>
      </c>
      <c r="F14" s="71">
        <v>139113</v>
      </c>
      <c r="G14" s="71">
        <v>139012</v>
      </c>
      <c r="H14" s="71">
        <v>138838</v>
      </c>
      <c r="I14" s="71">
        <v>138877</v>
      </c>
      <c r="J14" s="71">
        <v>139096</v>
      </c>
      <c r="K14" s="71">
        <v>139568</v>
      </c>
      <c r="L14" s="71">
        <v>140039</v>
      </c>
      <c r="M14" s="71">
        <v>140930</v>
      </c>
      <c r="N14" s="71">
        <v>141242</v>
      </c>
      <c r="O14" s="71">
        <f>AVERAGE(C14:N14)</f>
        <v>139482</v>
      </c>
      <c r="P14" s="72">
        <f>SUM(C14:N14)</f>
        <v>1673784</v>
      </c>
    </row>
    <row r="16" spans="1:16" ht="12.75">
      <c r="A16" s="73" t="s">
        <v>97</v>
      </c>
      <c r="D16" s="49">
        <v>39083</v>
      </c>
      <c r="E16" s="49">
        <v>39114</v>
      </c>
      <c r="F16" s="49">
        <v>39142</v>
      </c>
      <c r="G16" s="49">
        <v>39173</v>
      </c>
      <c r="H16" s="49">
        <v>39203</v>
      </c>
      <c r="I16" s="49">
        <v>39234</v>
      </c>
      <c r="J16" s="49">
        <v>39264</v>
      </c>
      <c r="K16" s="49">
        <v>39295</v>
      </c>
      <c r="L16" s="49">
        <v>39326</v>
      </c>
      <c r="M16" s="49">
        <v>39356</v>
      </c>
      <c r="N16" s="49">
        <v>39387</v>
      </c>
      <c r="O16" s="49">
        <v>39417</v>
      </c>
      <c r="P16" s="27" t="s">
        <v>98</v>
      </c>
    </row>
    <row r="17" spans="1:16" ht="12.75">
      <c r="A17" t="s">
        <v>22</v>
      </c>
      <c r="D17" s="74">
        <f aca="true" t="shared" si="1" ref="D17:O17">C14-E9</f>
        <v>9964</v>
      </c>
      <c r="E17" s="74">
        <f t="shared" si="1"/>
        <v>10179</v>
      </c>
      <c r="F17" s="74">
        <f t="shared" si="1"/>
        <v>10042</v>
      </c>
      <c r="G17" s="74">
        <f t="shared" si="1"/>
        <v>10117</v>
      </c>
      <c r="H17" s="74">
        <f t="shared" si="1"/>
        <v>9989</v>
      </c>
      <c r="I17" s="74">
        <f t="shared" si="1"/>
        <v>9777</v>
      </c>
      <c r="J17" s="74">
        <f t="shared" si="1"/>
        <v>9685</v>
      </c>
      <c r="K17" s="74">
        <f t="shared" si="1"/>
        <v>9606</v>
      </c>
      <c r="L17" s="74">
        <f t="shared" si="1"/>
        <v>9680</v>
      </c>
      <c r="M17" s="74">
        <f t="shared" si="1"/>
        <v>9588</v>
      </c>
      <c r="N17" s="74">
        <f t="shared" si="1"/>
        <v>9649</v>
      </c>
      <c r="O17" s="74">
        <f t="shared" si="1"/>
        <v>9596</v>
      </c>
      <c r="P17" s="74">
        <f>AVERAGE(D17:O17)</f>
        <v>9822.666666666666</v>
      </c>
    </row>
    <row r="19" spans="1:16" ht="12.75">
      <c r="A19" s="1" t="s">
        <v>99</v>
      </c>
      <c r="D19" s="45">
        <v>10898</v>
      </c>
      <c r="E19" s="45">
        <v>10871</v>
      </c>
      <c r="F19" s="45">
        <v>10114</v>
      </c>
      <c r="G19" s="45">
        <v>10418</v>
      </c>
      <c r="H19" s="45">
        <v>9679</v>
      </c>
      <c r="I19" s="45">
        <v>10073</v>
      </c>
      <c r="J19" s="45">
        <v>9708</v>
      </c>
      <c r="K19" s="45">
        <v>9388</v>
      </c>
      <c r="L19" s="45">
        <v>8874</v>
      </c>
      <c r="M19" s="45">
        <v>8678</v>
      </c>
      <c r="N19" s="45">
        <v>9448</v>
      </c>
      <c r="O19" s="87">
        <v>10818</v>
      </c>
      <c r="P19" s="74">
        <f>AVERAGE(D19:O19)</f>
        <v>9913.916666666666</v>
      </c>
    </row>
    <row r="20" spans="4:16" ht="12.75">
      <c r="D20" s="45"/>
      <c r="E20" s="45"/>
      <c r="F20" s="45"/>
      <c r="G20" s="45"/>
      <c r="H20" s="45"/>
      <c r="I20" s="45"/>
      <c r="J20" s="45"/>
      <c r="K20" s="45"/>
      <c r="L20" s="45"/>
      <c r="M20" s="45"/>
      <c r="N20" s="45"/>
      <c r="O20" s="45"/>
      <c r="P20" s="74"/>
    </row>
    <row r="21" spans="1:15" ht="12.75">
      <c r="A21" s="1" t="s">
        <v>117</v>
      </c>
      <c r="D21" s="45"/>
      <c r="E21" s="45"/>
      <c r="F21" s="45"/>
      <c r="G21" s="45"/>
      <c r="H21" s="45"/>
      <c r="I21" s="45"/>
      <c r="J21" s="45"/>
      <c r="K21" s="45"/>
      <c r="L21" s="45"/>
      <c r="M21" s="45"/>
      <c r="N21" s="45"/>
      <c r="O21" s="45"/>
    </row>
    <row r="22" spans="4:15" ht="12.75">
      <c r="D22" s="45">
        <f>'[1]Impact'!$G$13</f>
        <v>-32</v>
      </c>
      <c r="E22" s="45">
        <f>'[1]Impact'!$H$13</f>
        <v>-5</v>
      </c>
      <c r="F22" s="45">
        <f>'[1]Impact'!$I$13</f>
        <v>-10</v>
      </c>
      <c r="G22" s="45">
        <f>'[1]Impact'!$J$13</f>
        <v>0</v>
      </c>
      <c r="H22" s="45">
        <f>'[1]Impact'!$K$13</f>
        <v>3</v>
      </c>
      <c r="I22" s="45">
        <f>'[1]Impact'!$L$13</f>
        <v>27</v>
      </c>
      <c r="J22" s="45">
        <f>'[1]Impact'!$M$13</f>
        <v>2</v>
      </c>
      <c r="K22" s="45">
        <f>'[1]Impact'!$N$13</f>
        <v>8</v>
      </c>
      <c r="L22" s="45">
        <f>'[1]Impact'!$O$13</f>
        <v>1</v>
      </c>
      <c r="M22" s="45">
        <f>'[1]Impact'!$P$13</f>
        <v>-1</v>
      </c>
      <c r="N22" s="45">
        <f>'[1]Impact'!$Q$13</f>
        <v>1</v>
      </c>
      <c r="O22" s="45">
        <f>'[1]Impact'!$R$13</f>
        <v>-12</v>
      </c>
    </row>
    <row r="23" spans="4:15" ht="12.75">
      <c r="D23" s="45"/>
      <c r="E23" s="45"/>
      <c r="F23" s="45"/>
      <c r="G23" s="45"/>
      <c r="H23" s="45"/>
      <c r="I23" s="45"/>
      <c r="J23" s="45"/>
      <c r="K23" s="45"/>
      <c r="L23" s="45"/>
      <c r="M23" s="45"/>
      <c r="N23" s="45"/>
      <c r="O23" s="45"/>
    </row>
    <row r="24" ht="12.75">
      <c r="A24" s="1" t="s">
        <v>116</v>
      </c>
    </row>
    <row r="25" spans="1:16" ht="12.75">
      <c r="A25" t="s">
        <v>100</v>
      </c>
      <c r="D25" s="74">
        <f>D19-D17+D22</f>
        <v>902</v>
      </c>
      <c r="E25" s="74">
        <f aca="true" t="shared" si="2" ref="E25:N25">E19-E17+E22</f>
        <v>687</v>
      </c>
      <c r="F25" s="74">
        <f t="shared" si="2"/>
        <v>62</v>
      </c>
      <c r="G25" s="74">
        <f t="shared" si="2"/>
        <v>301</v>
      </c>
      <c r="H25" s="74">
        <f t="shared" si="2"/>
        <v>-307</v>
      </c>
      <c r="I25" s="74">
        <f t="shared" si="2"/>
        <v>323</v>
      </c>
      <c r="J25" s="74">
        <f t="shared" si="2"/>
        <v>25</v>
      </c>
      <c r="K25" s="74">
        <f t="shared" si="2"/>
        <v>-210</v>
      </c>
      <c r="L25" s="74">
        <f t="shared" si="2"/>
        <v>-805</v>
      </c>
      <c r="M25" s="74">
        <f t="shared" si="2"/>
        <v>-911</v>
      </c>
      <c r="N25" s="74">
        <f t="shared" si="2"/>
        <v>-200</v>
      </c>
      <c r="O25" s="74">
        <f>O19-O17+O22</f>
        <v>1210</v>
      </c>
      <c r="P25" s="74">
        <f>AVERAGE(D25:O25)</f>
        <v>89.75</v>
      </c>
    </row>
    <row r="26" ht="12.75">
      <c r="P26" s="86">
        <f>P25/P19</f>
        <v>0.009052930644632546</v>
      </c>
    </row>
    <row r="27" ht="12.75">
      <c r="A27" t="s">
        <v>101</v>
      </c>
    </row>
    <row r="28" spans="1:16" ht="12.75">
      <c r="A28" s="3" t="s">
        <v>102</v>
      </c>
      <c r="B28" s="75"/>
      <c r="C28" s="75"/>
      <c r="D28" s="75"/>
      <c r="E28" s="75"/>
      <c r="F28" s="75"/>
      <c r="G28" s="75"/>
      <c r="H28" s="75"/>
      <c r="I28" s="75"/>
      <c r="J28" s="75"/>
      <c r="K28" s="75"/>
      <c r="L28" s="75"/>
      <c r="M28" s="75"/>
      <c r="N28" s="75"/>
      <c r="O28" s="75"/>
      <c r="P28" s="75"/>
    </row>
    <row r="29" spans="1:16" ht="12.75">
      <c r="A29" s="3" t="s">
        <v>103</v>
      </c>
      <c r="B29" s="75"/>
      <c r="C29" s="75"/>
      <c r="D29" s="75"/>
      <c r="E29" s="75"/>
      <c r="F29" s="75"/>
      <c r="G29" s="75"/>
      <c r="H29" s="75"/>
      <c r="I29" s="75"/>
      <c r="J29" s="75"/>
      <c r="K29" s="75"/>
      <c r="L29" s="75"/>
      <c r="M29" s="75"/>
      <c r="N29" s="75"/>
      <c r="O29" s="75"/>
      <c r="P29" s="75"/>
    </row>
    <row r="30" spans="1:16" ht="12.75">
      <c r="A30" s="75"/>
      <c r="B30" s="75"/>
      <c r="C30" s="75"/>
      <c r="D30" s="76"/>
      <c r="E30" s="76"/>
      <c r="F30" s="76"/>
      <c r="G30" s="76"/>
      <c r="H30" s="76"/>
      <c r="I30" s="76"/>
      <c r="J30" s="76"/>
      <c r="K30" s="76"/>
      <c r="L30" s="76"/>
      <c r="M30" s="76"/>
      <c r="N30" s="76"/>
      <c r="O30" s="76"/>
      <c r="P30" s="75"/>
    </row>
    <row r="31" spans="1:16" ht="12.75">
      <c r="A31" s="84" t="s">
        <v>111</v>
      </c>
      <c r="B31" s="75"/>
      <c r="C31" s="75"/>
      <c r="D31" s="77"/>
      <c r="E31" s="77"/>
      <c r="F31" s="77"/>
      <c r="G31" s="77"/>
      <c r="H31" s="77"/>
      <c r="I31" s="77"/>
      <c r="J31" s="77"/>
      <c r="K31" s="77"/>
      <c r="L31" s="77"/>
      <c r="M31" s="77"/>
      <c r="N31" s="77"/>
      <c r="O31" s="90" t="s">
        <v>114</v>
      </c>
      <c r="P31" s="77"/>
    </row>
    <row r="32" spans="1:16" ht="12.75">
      <c r="A32" s="75" t="s">
        <v>104</v>
      </c>
      <c r="B32" s="75"/>
      <c r="C32" s="75"/>
      <c r="D32" s="78"/>
      <c r="E32" s="78"/>
      <c r="F32" s="78"/>
      <c r="G32" s="78"/>
      <c r="H32" s="78"/>
      <c r="I32" s="78"/>
      <c r="J32" s="78"/>
      <c r="K32" s="78"/>
      <c r="L32" s="78"/>
      <c r="M32" s="78"/>
      <c r="N32" s="78"/>
      <c r="O32" s="78"/>
      <c r="P32" s="78"/>
    </row>
    <row r="33" spans="1:16" ht="12.75">
      <c r="A33" s="75"/>
      <c r="B33" s="75"/>
      <c r="C33" s="75"/>
      <c r="D33" s="75"/>
      <c r="E33" s="75"/>
      <c r="F33" s="75"/>
      <c r="G33" s="75"/>
      <c r="H33" s="75"/>
      <c r="I33" s="75"/>
      <c r="J33" s="75"/>
      <c r="K33" s="75"/>
      <c r="L33" s="75"/>
      <c r="M33" s="75"/>
      <c r="N33" s="75"/>
      <c r="O33" s="75"/>
      <c r="P33" s="75"/>
    </row>
    <row r="34" spans="1:16" ht="12.75">
      <c r="A34" s="75" t="s">
        <v>105</v>
      </c>
      <c r="B34" s="75"/>
      <c r="C34" s="75"/>
      <c r="D34" s="79">
        <v>0.18227261295990946</v>
      </c>
      <c r="E34" s="79">
        <v>0.1726284518028704</v>
      </c>
      <c r="F34" s="79">
        <v>0.1245967618497605</v>
      </c>
      <c r="G34" s="79">
        <v>0.09223694625951914</v>
      </c>
      <c r="H34" s="79">
        <v>0.056614261207152704</v>
      </c>
      <c r="I34" s="79">
        <v>0.03381253805555852</v>
      </c>
      <c r="J34" s="79">
        <v>0.02251809374759947</v>
      </c>
      <c r="K34" s="79">
        <v>0.018202180903033223</v>
      </c>
      <c r="L34" s="79">
        <v>0.020834321041824044</v>
      </c>
      <c r="M34" s="79">
        <v>0.038161185523146825</v>
      </c>
      <c r="N34" s="79">
        <v>0.08115897342722435</v>
      </c>
      <c r="O34" s="79">
        <v>0.15696367322240146</v>
      </c>
      <c r="P34" s="77"/>
    </row>
    <row r="35" spans="1:16" ht="12.75">
      <c r="A35" s="75" t="s">
        <v>112</v>
      </c>
      <c r="B35" s="75"/>
      <c r="C35" s="75"/>
      <c r="D35" s="80">
        <f aca="true" t="shared" si="3" ref="D35:O35">828*D34</f>
        <v>150.92172353080502</v>
      </c>
      <c r="E35" s="80">
        <f t="shared" si="3"/>
        <v>142.9363580927767</v>
      </c>
      <c r="F35" s="80">
        <f t="shared" si="3"/>
        <v>103.16611881160169</v>
      </c>
      <c r="G35" s="80">
        <f t="shared" si="3"/>
        <v>76.37219150288185</v>
      </c>
      <c r="H35" s="80">
        <f t="shared" si="3"/>
        <v>46.876608279522436</v>
      </c>
      <c r="I35" s="80">
        <f t="shared" si="3"/>
        <v>27.996781510002453</v>
      </c>
      <c r="J35" s="80">
        <f t="shared" si="3"/>
        <v>18.644981623012363</v>
      </c>
      <c r="K35" s="80">
        <f t="shared" si="3"/>
        <v>15.071405787711509</v>
      </c>
      <c r="L35" s="80">
        <f t="shared" si="3"/>
        <v>17.250817822630307</v>
      </c>
      <c r="M35" s="80">
        <f t="shared" si="3"/>
        <v>31.59746161316557</v>
      </c>
      <c r="N35" s="80">
        <f t="shared" si="3"/>
        <v>67.19962999774177</v>
      </c>
      <c r="O35" s="80">
        <f t="shared" si="3"/>
        <v>129.96592142814842</v>
      </c>
      <c r="P35" s="77"/>
    </row>
    <row r="36" spans="1:16" ht="12.75">
      <c r="A36" s="75" t="s">
        <v>115</v>
      </c>
      <c r="B36" s="75"/>
      <c r="C36" s="75"/>
      <c r="D36" s="81">
        <f aca="true" t="shared" si="4" ref="D36:O36">D25*D35</f>
        <v>136131.39462478613</v>
      </c>
      <c r="E36" s="81">
        <f t="shared" si="4"/>
        <v>98197.27800973758</v>
      </c>
      <c r="F36" s="81">
        <f t="shared" si="4"/>
        <v>6396.299366319305</v>
      </c>
      <c r="G36" s="81">
        <f t="shared" si="4"/>
        <v>22988.029642367437</v>
      </c>
      <c r="H36" s="81">
        <f t="shared" si="4"/>
        <v>-14391.118741813389</v>
      </c>
      <c r="I36" s="81">
        <f t="shared" si="4"/>
        <v>9042.960427730792</v>
      </c>
      <c r="J36" s="81">
        <f t="shared" si="4"/>
        <v>466.1245405753091</v>
      </c>
      <c r="K36" s="81">
        <f t="shared" si="4"/>
        <v>-3164.995215419417</v>
      </c>
      <c r="L36" s="81">
        <f t="shared" si="4"/>
        <v>-13886.908347217397</v>
      </c>
      <c r="M36" s="81">
        <f t="shared" si="4"/>
        <v>-28785.287529593836</v>
      </c>
      <c r="N36" s="81">
        <f t="shared" si="4"/>
        <v>-13439.925999548354</v>
      </c>
      <c r="O36" s="81">
        <f t="shared" si="4"/>
        <v>157258.7649280596</v>
      </c>
      <c r="P36" s="81">
        <f>SUM(D36:O36)</f>
        <v>356812.61570598383</v>
      </c>
    </row>
    <row r="37" spans="1:16" ht="12.75">
      <c r="A37" s="75" t="s">
        <v>108</v>
      </c>
      <c r="B37" s="75"/>
      <c r="C37" s="75"/>
      <c r="D37" s="83">
        <f>-D36/D38</f>
        <v>0.08401056686018961</v>
      </c>
      <c r="E37" s="83">
        <f aca="true" t="shared" si="5" ref="E37:P37">-E36/E38</f>
        <v>0.0627411739887418</v>
      </c>
      <c r="F37" s="83">
        <f t="shared" si="5"/>
        <v>0.006386030629067764</v>
      </c>
      <c r="G37" s="83">
        <f t="shared" si="5"/>
        <v>0.032542741160919084</v>
      </c>
      <c r="H37" s="83">
        <f t="shared" si="5"/>
        <v>-0.034849205339610195</v>
      </c>
      <c r="I37" s="83">
        <f t="shared" si="5"/>
        <v>0.03351019402028034</v>
      </c>
      <c r="J37" s="83">
        <f t="shared" si="5"/>
        <v>0.0025797919039163013</v>
      </c>
      <c r="K37" s="83">
        <f t="shared" si="5"/>
        <v>-0.022394520695819094</v>
      </c>
      <c r="L37" s="83">
        <f t="shared" si="5"/>
        <v>-0.085726948251234</v>
      </c>
      <c r="M37" s="83">
        <f t="shared" si="5"/>
        <v>-0.10369265181660736</v>
      </c>
      <c r="N37" s="83">
        <f t="shared" si="5"/>
        <v>-0.02192351521938864</v>
      </c>
      <c r="O37" s="83">
        <f t="shared" si="5"/>
        <v>0.11060314913260286</v>
      </c>
      <c r="P37" s="85">
        <f t="shared" si="5"/>
        <v>0.04261564018789678</v>
      </c>
    </row>
    <row r="38" spans="1:16" ht="12.75">
      <c r="A38" s="75" t="s">
        <v>106</v>
      </c>
      <c r="B38" s="75"/>
      <c r="C38" s="75"/>
      <c r="D38" s="82">
        <f>'2007 1st &amp; 2nd'!D12</f>
        <v>-1620408</v>
      </c>
      <c r="E38" s="82">
        <f>'2007 1st &amp; 2nd'!E12</f>
        <v>-1565117</v>
      </c>
      <c r="F38" s="82">
        <f>'2007 1st &amp; 2nd'!F12</f>
        <v>-1001608</v>
      </c>
      <c r="G38" s="82">
        <f>'2007 1st &amp; 2nd'!G12</f>
        <v>-706395</v>
      </c>
      <c r="H38" s="82">
        <f>'2007 1st &amp; 2nd'!H12</f>
        <v>-412954</v>
      </c>
      <c r="I38" s="82">
        <f>'2007 1st &amp; 2nd'!I12</f>
        <v>-269857</v>
      </c>
      <c r="J38" s="82">
        <f>'2007 3rd &amp; 4th'!D12</f>
        <v>-180683</v>
      </c>
      <c r="K38" s="82">
        <f>'2007 3rd &amp; 4th'!E12</f>
        <v>-141329</v>
      </c>
      <c r="L38" s="82">
        <f>'2007 3rd &amp; 4th'!F12</f>
        <v>-161990</v>
      </c>
      <c r="M38" s="82">
        <f>'2007 3rd &amp; 4th'!G12</f>
        <v>-277602</v>
      </c>
      <c r="N38" s="82">
        <f>'2007 3rd &amp; 4th'!H12</f>
        <v>-613037</v>
      </c>
      <c r="O38" s="92">
        <f>'2007 3rd &amp; 4th'!I12</f>
        <v>-1421829</v>
      </c>
      <c r="P38" s="81">
        <f>SUM(D38:O38)</f>
        <v>-8372809</v>
      </c>
    </row>
    <row r="39" spans="1:16" ht="12.75">
      <c r="A39" s="75" t="s">
        <v>109</v>
      </c>
      <c r="B39" s="75"/>
      <c r="C39" s="75"/>
      <c r="D39" s="83">
        <f>-D36/D40</f>
        <v>0.22144577861664738</v>
      </c>
      <c r="E39" s="83">
        <f aca="true" t="shared" si="6" ref="E39:P39">-E36/E40</f>
        <v>-0.6446483413406281</v>
      </c>
      <c r="F39" s="83">
        <f t="shared" si="6"/>
        <v>0.006801830831939073</v>
      </c>
      <c r="G39" s="83">
        <f t="shared" si="6"/>
        <v>0.05062520666370882</v>
      </c>
      <c r="H39" s="83">
        <f t="shared" si="6"/>
        <v>-0.038568431686763945</v>
      </c>
      <c r="I39" s="83">
        <f t="shared" si="6"/>
        <v>-0.024132490784369777</v>
      </c>
      <c r="J39" s="83">
        <f t="shared" si="6"/>
        <v>0.002399463003764459</v>
      </c>
      <c r="K39" s="83">
        <f t="shared" si="6"/>
        <v>-0.01847731977363534</v>
      </c>
      <c r="L39" s="83">
        <f t="shared" si="6"/>
        <v>0.03097226733002197</v>
      </c>
      <c r="M39" s="83">
        <f t="shared" si="6"/>
        <v>-0.021575136720723035</v>
      </c>
      <c r="N39" s="83">
        <f t="shared" si="6"/>
        <v>-0.009565418964421927</v>
      </c>
      <c r="O39" s="83">
        <f t="shared" si="6"/>
        <v>0.2863482072531966</v>
      </c>
      <c r="P39" s="85">
        <f t="shared" si="6"/>
        <v>0.07050378193607927</v>
      </c>
    </row>
    <row r="40" spans="1:16" ht="12.75">
      <c r="A40" s="75" t="s">
        <v>107</v>
      </c>
      <c r="B40" s="75"/>
      <c r="C40" s="75"/>
      <c r="D40" s="77">
        <f>'2007 1st &amp; 2nd'!D20</f>
        <v>-614739.1721584722</v>
      </c>
      <c r="E40" s="77">
        <f>'2007 1st &amp; 2nd'!E20</f>
        <v>152326.8915972449</v>
      </c>
      <c r="F40" s="77">
        <f>'2007 1st &amp; 2nd'!F20</f>
        <v>-940379.0720998924</v>
      </c>
      <c r="G40" s="77">
        <f>'2007 1st &amp; 2nd'!G20</f>
        <v>-454082.68246826995</v>
      </c>
      <c r="H40" s="77">
        <f>'2007 1st &amp; 2nd'!H20</f>
        <v>-373132.06973754615</v>
      </c>
      <c r="I40" s="77">
        <f>'2007 1st &amp; 2nd'!I20</f>
        <v>374721.38738317764</v>
      </c>
      <c r="J40" s="77">
        <f>'2007 3rd &amp; 4th'!D20</f>
        <v>-194262.02439629938</v>
      </c>
      <c r="K40" s="77">
        <f>'2007 3rd &amp; 4th'!E20</f>
        <v>-171290.8178347079</v>
      </c>
      <c r="L40" s="77">
        <f>'2007 3rd &amp; 4th'!F20</f>
        <v>448365.8945354824</v>
      </c>
      <c r="M40" s="77">
        <f>'2007 3rd &amp; 4th'!G20</f>
        <v>-1334187.9545053085</v>
      </c>
      <c r="N40" s="77">
        <f>'2007 3rd &amp; 4th'!H20</f>
        <v>-1405053.56320904</v>
      </c>
      <c r="O40" s="77">
        <f>'2007 3rd &amp; 4th'!I20</f>
        <v>-549187.1817063875</v>
      </c>
      <c r="P40" s="81">
        <f>SUM(D40:O40)</f>
        <v>-5060900.3646000195</v>
      </c>
    </row>
    <row r="41" spans="1:16" ht="12.75">
      <c r="A41" s="75"/>
      <c r="B41" s="75"/>
      <c r="C41" s="75"/>
      <c r="D41" s="78"/>
      <c r="E41" s="78"/>
      <c r="F41" s="78"/>
      <c r="G41" s="78"/>
      <c r="H41" s="78"/>
      <c r="I41" s="78"/>
      <c r="J41" s="78"/>
      <c r="K41" s="78"/>
      <c r="L41" s="78"/>
      <c r="M41" s="78"/>
      <c r="N41" s="78"/>
      <c r="O41" s="78"/>
      <c r="P41" s="78"/>
    </row>
    <row r="42" spans="1:16" ht="12.75">
      <c r="A42" s="75"/>
      <c r="B42" s="75"/>
      <c r="C42" s="75"/>
      <c r="D42" s="75"/>
      <c r="E42" s="75"/>
      <c r="F42" s="75"/>
      <c r="G42" s="75"/>
      <c r="H42" s="75"/>
      <c r="I42" s="75"/>
      <c r="J42" s="75"/>
      <c r="K42" s="75"/>
      <c r="L42" s="75"/>
      <c r="M42" s="75"/>
      <c r="N42" s="75"/>
      <c r="O42" s="75"/>
      <c r="P42" s="75"/>
    </row>
    <row r="43" spans="1:16" ht="12.75">
      <c r="A43" s="75" t="s">
        <v>118</v>
      </c>
      <c r="B43" s="75" t="s">
        <v>119</v>
      </c>
      <c r="C43" s="75"/>
      <c r="D43" s="76"/>
      <c r="E43" s="76"/>
      <c r="F43" s="76"/>
      <c r="G43" s="76"/>
      <c r="H43" s="76"/>
      <c r="I43" s="76"/>
      <c r="J43" s="76"/>
      <c r="K43" s="76"/>
      <c r="L43" s="76"/>
      <c r="M43" s="76"/>
      <c r="N43" s="76"/>
      <c r="O43" s="76"/>
      <c r="P43" s="75"/>
    </row>
    <row r="44" spans="1:16" ht="12.75">
      <c r="A44">
        <v>2007</v>
      </c>
      <c r="B44" s="91">
        <f>'[1]Impact'!$D$5</f>
        <v>-73536.66027397261</v>
      </c>
      <c r="C44" s="75"/>
      <c r="D44" s="77"/>
      <c r="E44" s="77"/>
      <c r="F44" s="77"/>
      <c r="G44" s="77"/>
      <c r="H44" s="77"/>
      <c r="I44" s="77"/>
      <c r="J44" s="77"/>
      <c r="K44" s="77"/>
      <c r="L44" s="77"/>
      <c r="M44" s="77"/>
      <c r="N44" s="77"/>
      <c r="O44" s="77"/>
      <c r="P44" s="77"/>
    </row>
    <row r="45" spans="1:16" ht="12.75">
      <c r="A45">
        <v>2008</v>
      </c>
      <c r="B45" s="91">
        <f>'[1]Impact'!$D$9</f>
        <v>-274428.4219178083</v>
      </c>
      <c r="C45" s="75"/>
      <c r="D45" s="77"/>
      <c r="E45" s="77"/>
      <c r="F45" s="77"/>
      <c r="G45" s="77"/>
      <c r="H45" s="77"/>
      <c r="I45" s="77"/>
      <c r="J45" s="77"/>
      <c r="K45" s="77"/>
      <c r="L45" s="77"/>
      <c r="M45" s="77"/>
      <c r="N45" s="77"/>
      <c r="O45" s="77"/>
      <c r="P45" s="77"/>
    </row>
    <row r="46" spans="1:16" ht="12.75">
      <c r="A46" s="75"/>
      <c r="B46" s="75"/>
      <c r="C46" s="75"/>
      <c r="D46" s="78"/>
      <c r="E46" s="78"/>
      <c r="F46" s="78"/>
      <c r="G46" s="78"/>
      <c r="H46" s="78"/>
      <c r="I46" s="78"/>
      <c r="J46" s="78"/>
      <c r="K46" s="78"/>
      <c r="L46" s="78"/>
      <c r="M46" s="78"/>
      <c r="N46" s="78"/>
      <c r="O46" s="78"/>
      <c r="P46" s="78"/>
    </row>
    <row r="47" spans="1:16" ht="12.75">
      <c r="A47" s="75"/>
      <c r="B47" s="75"/>
      <c r="C47" s="75"/>
      <c r="D47" s="75"/>
      <c r="E47" s="75"/>
      <c r="F47" s="75"/>
      <c r="G47" s="75"/>
      <c r="H47" s="75"/>
      <c r="I47" s="75"/>
      <c r="J47" s="75"/>
      <c r="K47" s="75"/>
      <c r="L47" s="75"/>
      <c r="M47" s="75"/>
      <c r="N47" s="75"/>
      <c r="O47" s="75"/>
      <c r="P47" s="75"/>
    </row>
  </sheetData>
  <printOptions horizontalCentered="1"/>
  <pageMargins left="0.25" right="0.25" top="1" bottom="1" header="0.5" footer="0.5"/>
  <pageSetup fitToHeight="1" fitToWidth="1" horizontalDpi="600" verticalDpi="600" orientation="portrait" scale="53" r:id="rId1"/>
  <headerFooter alignWithMargins="0">
    <oddHeader>&amp;C&amp;"Arial,Bold"&amp;12Exhibit I-1 Unaccounted Customers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Titus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vock</dc:creator>
  <cp:keywords/>
  <dc:description/>
  <cp:lastModifiedBy>steve vock</cp:lastModifiedBy>
  <cp:lastPrinted>2009-03-29T21:33:30Z</cp:lastPrinted>
  <dcterms:created xsi:type="dcterms:W3CDTF">2009-01-23T18:56:01Z</dcterms:created>
  <dcterms:modified xsi:type="dcterms:W3CDTF">2009-03-29T21:33:47Z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Exhibit</vt:lpwstr>
  </property>
  <property fmtid="{D5CDD505-2E9C-101B-9397-08002B2CF9AE}" pid="4" name="IsHighlyConfidenti">
    <vt:lpwstr>0</vt:lpwstr>
  </property>
  <property fmtid="{D5CDD505-2E9C-101B-9397-08002B2CF9AE}" pid="5" name="DocketNumb">
    <vt:lpwstr>090134</vt:lpwstr>
  </property>
  <property fmtid="{D5CDD505-2E9C-101B-9397-08002B2CF9AE}" pid="6" name="IsConfidenti">
    <vt:lpwstr>0</vt:lpwstr>
  </property>
  <property fmtid="{D5CDD505-2E9C-101B-9397-08002B2CF9AE}" pid="7" name="Dat">
    <vt:lpwstr>2009-09-29T00:00:00Z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