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MELA.ARCHER\Desktop\"/>
    </mc:Choice>
  </mc:AlternateContent>
  <xr:revisionPtr revIDLastSave="0" documentId="13_ncr:1_{C8F7382D-CBD8-4EF3-9270-00E73A8844EA}" xr6:coauthVersionLast="45" xr6:coauthVersionMax="45" xr10:uidLastSave="{00000000-0000-0000-0000-000000000000}"/>
  <bookViews>
    <workbookView xWindow="-28920" yWindow="-120" windowWidth="29040" windowHeight="15840" activeTab="5" xr2:uid="{93B7ACF4-9C20-4DD5-A861-9A69DD3AB026}"/>
  </bookViews>
  <sheets>
    <sheet name="Rate Design ---&gt;" sheetId="1" r:id="rId1"/>
    <sheet name="Exh 17, Class Revenue" sheetId="2" r:id="rId2"/>
    <sheet name="Exh 18, Class Rates" sheetId="3" r:id="rId3"/>
    <sheet name="Exh 19, RES Monthly Impact" sheetId="4" r:id="rId4"/>
    <sheet name="Exh 19a COM Monthly Impact" sheetId="5" r:id="rId5"/>
    <sheet name="Exh 20, Bill Impacts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gr1" hidden="1">{"three",#N/A,FALSE,"Capital";"four",#N/A,FALSE,"Capital"}</definedName>
    <definedName name="_Key1" hidden="1">[1]RENT!#REF!</definedName>
    <definedName name="_Order1" hidden="1">0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Code" hidden="1">""""</definedName>
    <definedName name="AccessDatabase" hidden="1">"C:\ncux\bud\rms_inv.mdb"</definedName>
    <definedName name="ActOrTarget">[2]Registry!$E$81</definedName>
    <definedName name="ActualOrTarget">[2]Verify!$E$83</definedName>
    <definedName name="ACwvu.allocations." hidden="1">#REF!</definedName>
    <definedName name="ACwvu.annual._.hotel." hidden="1">[3]development!$C$5</definedName>
    <definedName name="ACwvu.bottom._.line." hidden="1">[3]development!#REF!</definedName>
    <definedName name="ACwvu.cash._.flow." hidden="1">#REF!</definedName>
    <definedName name="ACwvu.combo." hidden="1">[3]development!$B$89</definedName>
    <definedName name="ACwvu.full." hidden="1">#REF!</definedName>
    <definedName name="ACwvu.offsite." hidden="1">#REF!</definedName>
    <definedName name="ACwvu.onsite." hidden="1">#REF!</definedName>
    <definedName name="AFactor">[2]Factors!$D$12:$Z$806</definedName>
    <definedName name="AFirst">[2]Factors!$D$12:$D$804</definedName>
    <definedName name="anscount" hidden="1">2</definedName>
    <definedName name="b" hidden="1">{"One",#N/A,FALSE,"CClub";"Two",#N/A,FALSE,"CClub";"Three",#N/A,FALSE,"CClub";"Four",#N/A,FALSE,"CClub";"Five",#N/A,FALSE,"CClub"}</definedName>
    <definedName name="BillRN">[2]Registry!$E$138</definedName>
    <definedName name="BillTargetROR">[2]Verify!$E$74</definedName>
    <definedName name="BNE_MESSAGES_HIDDEN" hidden="1">#REF!</definedName>
    <definedName name="Case">[2]Input!$E$5</definedName>
    <definedName name="CCPTargetROR">[2]Verify!$E$76</definedName>
    <definedName name="cd" hidden="1">{"annual",#N/A,FALSE,"Pro Forma";#N/A,#N/A,FALSE,"Golf Operations"}</definedName>
    <definedName name="CFactor">[2]Factors!$AN$12:$AR$258</definedName>
    <definedName name="CompanyD">[2]Title!$A$2</definedName>
    <definedName name="CPTTargetROR">[2]Verify!$E$75</definedName>
    <definedName name="Cwvu.annual." hidden="1">#REF!,#REF!,#REF!,#REF!,#REF!,#REF!,#REF!,#REF!,#REF!,#REF!,#REF!,#REF!,#REF!,#REF!,#REF!,#REF!,#REF!,#REF!,#REF!,#REF!,#REF!,#REF!,#REF!,#REF!</definedName>
    <definedName name="Cwvu.annual._.hotel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</definedName>
    <definedName name="Cwvu.bottom._.line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$89:$IV$89,[3]development!#REF!,[3]development!#REF!,[3]development!#REF!,[3]development!#REF!,[3]development!#REF!,[3]development!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[3]development!$A$16:$IV$16,[3]development!$A$21:$IV$21,[3]development!#REF!,[3]development!#REF!,[3]development!$A$36:$IV$36,[3]development!$A$46:$IV$46,[3]development!#REF!,[3]development!#REF!,[3]development!#REF!,[3]development!#REF!,[3]development!#REF!,[3]development!#REF!,[3]development!#REF!,[3]development!#REF!,[3]development!#REF!,[3]development!$A$85:$IV$85,[3]development!$A$89:$IV$89,[3]development!$A$91:$IV$91,[3]development!#REF!,[3]development!#REF!,[3]development!#REF!,[3]development!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isplay_Week">[2]Schedule!$G$4</definedName>
    <definedName name="DistRN">[2]Registry!$E$137</definedName>
    <definedName name="DistTargetROR">[2]Verify!$E$73</definedName>
    <definedName name="EFFECTROR">[2]Verify!$D$61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8TargetROR">[2]Verify!$E$77</definedName>
    <definedName name="FFactor">[2]Factors!$AC$12:$AL$131</definedName>
    <definedName name="fffff" hidden="1">{"ALL",#N/A,FALSE,"A"}</definedName>
    <definedName name="FFirst">[2]Factors!$AC$12:$AC$131</definedName>
    <definedName name="first_day">'[4]Historic Data'!$K$3</definedName>
    <definedName name="fsdfsad" hidden="1">{"ALL",#N/A,FALSE,"A"}</definedName>
    <definedName name="Func6RN">[2]Registry!$E$139</definedName>
    <definedName name="Func7RN">[2]Registry!$E$140</definedName>
    <definedName name="Func8RN">[2]Registry!$E$141</definedName>
    <definedName name="Function1">[2]Functions!$G$9</definedName>
    <definedName name="Function2">[2]Functions!$H$9</definedName>
    <definedName name="Function3">[2]Functions!$I$9</definedName>
    <definedName name="Function4">[2]Functions!$J$9</definedName>
    <definedName name="Function5">[2]Functions!$K$9</definedName>
    <definedName name="Function6">[2]Functions!$L$9</definedName>
    <definedName name="Function7">[2]Functions!$M$9</definedName>
    <definedName name="Function8">[2]Functions!$N$9</definedName>
    <definedName name="gr" hidden="1">{"three",#N/A,FALSE,"Capital";"four",#N/A,FALSE,"Capital"}</definedName>
    <definedName name="help" hidden="1">{"ALL",#N/A,FALSE,"A"}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K2_WBEVMODE" hidden="1">0</definedName>
    <definedName name="limcount" hidden="1">3</definedName>
    <definedName name="MaxDiff">[2]Registry!$E$77</definedName>
    <definedName name="Mode">[2]Registry!$E$89</definedName>
    <definedName name="Pal_Workbook_GUID" hidden="1">"VX3CWJGNQX2CCGI81U4N2V76"</definedName>
    <definedName name="PPPPPPPPPPPPPPPP" hidden="1">{#N/A,#N/A,FALSE,"Sheet5"}</definedName>
    <definedName name="_xlnm.Print_Area" localSheetId="1">'Exh 17, Class Revenue'!$A$1:$G$39</definedName>
    <definedName name="_xlnm.Print_Area" localSheetId="2">'Exh 18, Class Rates'!$B$1:$L$54</definedName>
    <definedName name="_xlnm.Print_Area" localSheetId="3">'Exh 19, RES Monthly Impact'!$A$1:$H$37</definedName>
    <definedName name="_xlnm.Print_Area" localSheetId="5">'Exh 20, Bill Impacts'!$A$1:$H$345</definedName>
    <definedName name="Project_Start">[2]Schedule!$G$3</definedName>
    <definedName name="rAcctDol">[2]Functions!$E:$E</definedName>
    <definedName name="rAlloChkTot">[2]Total!$AB:$AB</definedName>
    <definedName name="rClassRR">[2]Total!$F$768:$Z$768</definedName>
    <definedName name="rCol">[2]Total!$F$10:$AA$10</definedName>
    <definedName name="rFuncAlloc">[2]Functions!$F:$F</definedName>
    <definedName name="rFuncChkTot">[2]Functions!$P:$P</definedName>
    <definedName name="rFuncNum">[2]Functions!$C:$C</definedName>
    <definedName name="rFunctCols">[2]Functions!$R:$R</definedName>
    <definedName name="rFuncTitle">[2]Functions!$B:$B</definedName>
    <definedName name="rgeClasses1">[2]Total!$F$7:$AA$7</definedName>
    <definedName name="rgeClasses2">[2]Total!$F$8:$AA$8</definedName>
    <definedName name="rgeClasses3">[2]Total!$F$9:$AA$9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ine">[2]Functions!$A:$A</definedName>
    <definedName name="rQLCrit">[2]Registry!$E$119</definedName>
    <definedName name="rQLNonZ">[2]Registry!$E$117</definedName>
    <definedName name="Rwvu.allocations." hidden="1">#REF!</definedName>
    <definedName name="Rwvu.annual._.hotel." hidden="1">[3]development!#REF!</definedName>
    <definedName name="Rwvu.bottom._.line." hidden="1">[3]development!#REF!</definedName>
    <definedName name="Rwvu.cash._.flow." hidden="1">#REF!</definedName>
    <definedName name="Rwvu.combo." hidden="1">[3]development!#REF!</definedName>
    <definedName name="Rwvu.offsite." hidden="1">#REF!</definedName>
    <definedName name="Rwvu.onsite." hidden="1">#REF!</definedName>
    <definedName name="SAPBEXhrIndnt" hidden="1">"Wide"</definedName>
    <definedName name="SAPsysID" hidden="1">"708C5W7SBKP804JT78WJ0JNKI"</definedName>
    <definedName name="SAPwbID" hidden="1">"ARS"</definedName>
    <definedName name="SpreadsheetBuilder_2" hidden="1">[5]Sheet2!#REF!</definedName>
    <definedName name="SpreadsheetBuilder_3" hidden="1">[6]Sheet2!#REF!</definedName>
    <definedName name="StatComb">[2]Verify!$E$66</definedName>
    <definedName name="StorRN">[2]Registry!$E$135</definedName>
    <definedName name="StorTargetROR">[2]Verify!$E$71</definedName>
    <definedName name="SuppRN">[2]Registry!$E$134</definedName>
    <definedName name="SuppTargetROR">[2]Verify!$E$70</definedName>
    <definedName name="Swvu.allocations." hidden="1">#REF!</definedName>
    <definedName name="Swvu.annual._.hotel." hidden="1">[3]development!$C$5</definedName>
    <definedName name="Swvu.bottom._.line." hidden="1">[3]development!#REF!</definedName>
    <definedName name="Swvu.cash._.flow." hidden="1">#REF!</definedName>
    <definedName name="Swvu.combo." hidden="1">[3]development!$B$89</definedName>
    <definedName name="Swvu.full." hidden="1">#REF!</definedName>
    <definedName name="Swvu.offsite." hidden="1">#REF!</definedName>
    <definedName name="Swvu.onsite." hidden="1">#REF!</definedName>
    <definedName name="TARGETGRT">[2]Verify!$E$63</definedName>
    <definedName name="TargetMuni">[2]Verify!$E$64</definedName>
    <definedName name="Title">[2]Registry!$E$95</definedName>
    <definedName name="Title3">[2]Title!$A$5</definedName>
    <definedName name="Title6">[2]Title!$A$8</definedName>
    <definedName name="TotalTargetROR">[2]Verify!$E$61</definedName>
    <definedName name="TranRN">[2]Registry!$E$136</definedName>
    <definedName name="TranTargetROR">[2]Verify!$E$72</definedName>
    <definedName name="trth" hidden="1">{"ALL",#N/A,FALSE,"A"}</definedName>
    <definedName name="wr" hidden="1">{"Output-3Column",#N/A,FALSE,"Output"}</definedName>
    <definedName name="wrn" hidden="1">{"Inflation-BaseYear",#N/A,FALSE,"Inputs"}</definedName>
    <definedName name="wrn.ALL." hidden="1">{"ALL",#N/A,FALSE,"A"}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CASH." hidden="1">{#N/A,#N/A,FALSE,"Sheet5"}</definedName>
    <definedName name="wrn.Cash._.and._.Accrual." hidden="1">{"a_cash",#N/A,FALSE,"Summary";"a_accrual",#N/A,FALSE,"Summary"}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ive._.Year._.Test." hidden="1">{"Five Year Plan",#N/A,TRUE,"Monthly Summary-IIIXIILP";"Five Year Plan",#N/A,TRUE,"Cash Flow"}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fd." hidden="1">{"Pfd",#N/A,FALSE,"Pfd"}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quarterly." hidden="1">{"quarterly",#N/A,FALSE,"Pro Forma"}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_.and._.Debt." hidden="1">{"a_sales",#N/A,FALSE,"Summary";"a_debt",#N/A,FALSE,"Summary"}</definedName>
    <definedName name="wrn.SCHED._.BC." hidden="1">{"SCHED_B&amp;C",#N/A,FALSE,"A"}</definedName>
    <definedName name="wrn.SCHED._.DE." hidden="1">{"SCHED_D&amp;E",#N/A,FALSE,"A"}</definedName>
    <definedName name="wrn.Shared._.Costs." hidden="1">{"cash flow",#N/A,FALSE,"Shared Costs";"allocations",#N/A,FALSE,"Shared Costs"}</definedName>
    <definedName name="wrn.SHEDA." hidden="1">{"SCHED_A",#N/A,FALSE,"A"}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0" i="6" l="1"/>
  <c r="M216" i="6"/>
  <c r="M141" i="6"/>
  <c r="K73" i="6"/>
  <c r="K16" i="6"/>
  <c r="J18" i="5"/>
  <c r="J18" i="4"/>
  <c r="C376" i="6" l="1"/>
  <c r="C377" i="6" s="1"/>
  <c r="E368" i="6"/>
  <c r="E366" i="6"/>
  <c r="D366" i="6"/>
  <c r="E365" i="6"/>
  <c r="E364" i="6"/>
  <c r="D364" i="6"/>
  <c r="B350" i="6"/>
  <c r="H348" i="6"/>
  <c r="A348" i="6"/>
  <c r="H346" i="6"/>
  <c r="C300" i="6"/>
  <c r="C301" i="6" s="1"/>
  <c r="C302" i="6" s="1"/>
  <c r="C303" i="6" s="1"/>
  <c r="C305" i="6" s="1"/>
  <c r="C306" i="6" s="1"/>
  <c r="C307" i="6" s="1"/>
  <c r="C308" i="6" s="1"/>
  <c r="C309" i="6" s="1"/>
  <c r="C311" i="6" s="1"/>
  <c r="C312" i="6" s="1"/>
  <c r="C313" i="6" s="1"/>
  <c r="C314" i="6" s="1"/>
  <c r="C315" i="6" s="1"/>
  <c r="C317" i="6" s="1"/>
  <c r="C318" i="6" s="1"/>
  <c r="C319" i="6" s="1"/>
  <c r="C320" i="6" s="1"/>
  <c r="C321" i="6" s="1"/>
  <c r="C323" i="6" s="1"/>
  <c r="C324" i="6" s="1"/>
  <c r="C325" i="6" s="1"/>
  <c r="C326" i="6" s="1"/>
  <c r="C327" i="6" s="1"/>
  <c r="C329" i="6" s="1"/>
  <c r="C330" i="6" s="1"/>
  <c r="C331" i="6" s="1"/>
  <c r="C332" i="6" s="1"/>
  <c r="C333" i="6" s="1"/>
  <c r="C335" i="6" s="1"/>
  <c r="C336" i="6" s="1"/>
  <c r="C337" i="6" s="1"/>
  <c r="C338" i="6" s="1"/>
  <c r="C339" i="6" s="1"/>
  <c r="C341" i="6" s="1"/>
  <c r="C342" i="6" s="1"/>
  <c r="C343" i="6" s="1"/>
  <c r="C344" i="6" s="1"/>
  <c r="C345" i="6" s="1"/>
  <c r="C346" i="6" s="1"/>
  <c r="D291" i="6"/>
  <c r="B279" i="6"/>
  <c r="H277" i="6"/>
  <c r="A277" i="6"/>
  <c r="H275" i="6"/>
  <c r="C227" i="6"/>
  <c r="C228" i="6" s="1"/>
  <c r="C229" i="6" s="1"/>
  <c r="C230" i="6" s="1"/>
  <c r="C232" i="6" s="1"/>
  <c r="C233" i="6" s="1"/>
  <c r="C234" i="6" s="1"/>
  <c r="C235" i="6" s="1"/>
  <c r="C236" i="6" s="1"/>
  <c r="C238" i="6" s="1"/>
  <c r="C239" i="6" s="1"/>
  <c r="C240" i="6" s="1"/>
  <c r="C241" i="6" s="1"/>
  <c r="C242" i="6" s="1"/>
  <c r="C244" i="6" s="1"/>
  <c r="C245" i="6" s="1"/>
  <c r="C246" i="6" s="1"/>
  <c r="C247" i="6" s="1"/>
  <c r="C248" i="6" s="1"/>
  <c r="C250" i="6" s="1"/>
  <c r="C251" i="6" s="1"/>
  <c r="C252" i="6" s="1"/>
  <c r="C253" i="6" s="1"/>
  <c r="C254" i="6" s="1"/>
  <c r="C256" i="6" s="1"/>
  <c r="C257" i="6" s="1"/>
  <c r="C258" i="6" s="1"/>
  <c r="C259" i="6" s="1"/>
  <c r="C260" i="6" s="1"/>
  <c r="C262" i="6" s="1"/>
  <c r="C263" i="6" s="1"/>
  <c r="C264" i="6" s="1"/>
  <c r="C265" i="6" s="1"/>
  <c r="C266" i="6" s="1"/>
  <c r="C268" i="6" s="1"/>
  <c r="C269" i="6" s="1"/>
  <c r="C270" i="6" s="1"/>
  <c r="C271" i="6" s="1"/>
  <c r="C272" i="6" s="1"/>
  <c r="C273" i="6" s="1"/>
  <c r="D218" i="6"/>
  <c r="E218" i="6" s="1"/>
  <c r="B205" i="6"/>
  <c r="B211" i="6" s="1"/>
  <c r="H203" i="6"/>
  <c r="A203" i="6"/>
  <c r="H201" i="6"/>
  <c r="C153" i="6"/>
  <c r="C154" i="6" s="1"/>
  <c r="C155" i="6" s="1"/>
  <c r="C156" i="6" s="1"/>
  <c r="C158" i="6" s="1"/>
  <c r="C159" i="6" s="1"/>
  <c r="C160" i="6" s="1"/>
  <c r="C161" i="6" s="1"/>
  <c r="C162" i="6" s="1"/>
  <c r="C164" i="6" s="1"/>
  <c r="C165" i="6" s="1"/>
  <c r="C166" i="6" s="1"/>
  <c r="C167" i="6" s="1"/>
  <c r="C168" i="6" s="1"/>
  <c r="C170" i="6" s="1"/>
  <c r="C171" i="6" s="1"/>
  <c r="C172" i="6" s="1"/>
  <c r="C173" i="6" s="1"/>
  <c r="C174" i="6" s="1"/>
  <c r="C176" i="6" s="1"/>
  <c r="C177" i="6" s="1"/>
  <c r="C178" i="6" s="1"/>
  <c r="C179" i="6" s="1"/>
  <c r="C180" i="6" s="1"/>
  <c r="C182" i="6" s="1"/>
  <c r="C183" i="6" s="1"/>
  <c r="C184" i="6" s="1"/>
  <c r="C185" i="6" s="1"/>
  <c r="C186" i="6" s="1"/>
  <c r="C188" i="6" s="1"/>
  <c r="C189" i="6" s="1"/>
  <c r="C190" i="6" s="1"/>
  <c r="C191" i="6" s="1"/>
  <c r="C192" i="6" s="1"/>
  <c r="C194" i="6" s="1"/>
  <c r="C195" i="6" s="1"/>
  <c r="C196" i="6" s="1"/>
  <c r="C197" i="6" s="1"/>
  <c r="C198" i="6" s="1"/>
  <c r="C199" i="6" s="1"/>
  <c r="D142" i="6"/>
  <c r="D144" i="6"/>
  <c r="E144" i="6" s="1"/>
  <c r="D137" i="6"/>
  <c r="B131" i="6"/>
  <c r="B137" i="6" s="1"/>
  <c r="H129" i="6"/>
  <c r="A129" i="6"/>
  <c r="H127" i="6"/>
  <c r="B117" i="6"/>
  <c r="B112" i="6"/>
  <c r="B106" i="6"/>
  <c r="B100" i="6"/>
  <c r="B94" i="6"/>
  <c r="B88" i="6"/>
  <c r="B82" i="6"/>
  <c r="B80" i="6"/>
  <c r="D73" i="6"/>
  <c r="E73" i="6" s="1"/>
  <c r="B62" i="6"/>
  <c r="H60" i="6"/>
  <c r="A60" i="6"/>
  <c r="H58" i="6"/>
  <c r="D15" i="6"/>
  <c r="B5" i="6"/>
  <c r="A2" i="6"/>
  <c r="A1" i="6"/>
  <c r="C33" i="5"/>
  <c r="C32" i="5"/>
  <c r="C29" i="5"/>
  <c r="C28" i="5"/>
  <c r="C27" i="5"/>
  <c r="C26" i="5"/>
  <c r="C25" i="5"/>
  <c r="C24" i="5"/>
  <c r="C31" i="5"/>
  <c r="C23" i="5"/>
  <c r="D16" i="5"/>
  <c r="E16" i="5"/>
  <c r="E14" i="5"/>
  <c r="A6" i="5"/>
  <c r="A2" i="5"/>
  <c r="A1" i="5"/>
  <c r="A12" i="5" s="1"/>
  <c r="C32" i="4"/>
  <c r="C31" i="4"/>
  <c r="C29" i="4"/>
  <c r="C27" i="4"/>
  <c r="D16" i="4"/>
  <c r="D14" i="4"/>
  <c r="D12" i="4"/>
  <c r="A6" i="4"/>
  <c r="A2" i="4"/>
  <c r="A1" i="4"/>
  <c r="C52" i="3"/>
  <c r="E289" i="6"/>
  <c r="F51" i="3"/>
  <c r="D289" i="6"/>
  <c r="G51" i="3"/>
  <c r="E288" i="6"/>
  <c r="F50" i="3"/>
  <c r="C32" i="2" s="1"/>
  <c r="D288" i="6"/>
  <c r="G50" i="3"/>
  <c r="H49" i="3"/>
  <c r="E285" i="6" s="1"/>
  <c r="F49" i="3"/>
  <c r="D285" i="6"/>
  <c r="D323" i="6" s="1"/>
  <c r="G49" i="3"/>
  <c r="I49" i="3" s="1"/>
  <c r="C44" i="3"/>
  <c r="G43" i="3"/>
  <c r="I43" i="3" s="1"/>
  <c r="E363" i="6"/>
  <c r="G42" i="3"/>
  <c r="E362" i="6"/>
  <c r="G41" i="3"/>
  <c r="E361" i="6"/>
  <c r="G40" i="3"/>
  <c r="I40" i="3" s="1"/>
  <c r="H39" i="3"/>
  <c r="E360" i="6" s="1"/>
  <c r="G39" i="3"/>
  <c r="G38" i="3"/>
  <c r="I38" i="3" s="1"/>
  <c r="D36" i="2" s="1"/>
  <c r="F38" i="3"/>
  <c r="H38" i="3"/>
  <c r="E357" i="6" s="1"/>
  <c r="D356" i="6"/>
  <c r="G37" i="3"/>
  <c r="C33" i="3"/>
  <c r="F32" i="3"/>
  <c r="F31" i="3"/>
  <c r="G30" i="3"/>
  <c r="I30" i="3" s="1"/>
  <c r="F30" i="3"/>
  <c r="H29" i="3"/>
  <c r="E211" i="6" s="1"/>
  <c r="G29" i="3"/>
  <c r="D211" i="6"/>
  <c r="F29" i="3"/>
  <c r="C25" i="3"/>
  <c r="F24" i="3"/>
  <c r="D216" i="6"/>
  <c r="G24" i="3"/>
  <c r="I24" i="3" s="1"/>
  <c r="G23" i="3"/>
  <c r="I23" i="3" s="1"/>
  <c r="F22" i="3"/>
  <c r="G22" i="3"/>
  <c r="H21" i="3"/>
  <c r="E137" i="6" s="1"/>
  <c r="G21" i="3"/>
  <c r="I21" i="3" s="1"/>
  <c r="C17" i="3"/>
  <c r="E71" i="6"/>
  <c r="D71" i="6"/>
  <c r="G16" i="3"/>
  <c r="I16" i="3" s="1"/>
  <c r="G15" i="3"/>
  <c r="C11" i="3"/>
  <c r="G10" i="3"/>
  <c r="F10" i="3"/>
  <c r="C11" i="2" s="1"/>
  <c r="D13" i="6"/>
  <c r="H9" i="3"/>
  <c r="G9" i="3"/>
  <c r="F9" i="3"/>
  <c r="D11" i="6"/>
  <c r="D53" i="6" s="1"/>
  <c r="B3" i="3"/>
  <c r="B2" i="3"/>
  <c r="B1" i="3"/>
  <c r="B38" i="2"/>
  <c r="B33" i="2"/>
  <c r="B27" i="2"/>
  <c r="B22" i="2"/>
  <c r="B17" i="2"/>
  <c r="B12" i="2"/>
  <c r="C10" i="2"/>
  <c r="A1" i="1"/>
  <c r="D34" i="6" l="1"/>
  <c r="D27" i="6"/>
  <c r="B213" i="6"/>
  <c r="A12" i="4"/>
  <c r="C12" i="2"/>
  <c r="D40" i="6"/>
  <c r="I29" i="3"/>
  <c r="J29" i="3" s="1"/>
  <c r="D299" i="6"/>
  <c r="J24" i="3"/>
  <c r="K24" i="3" s="1"/>
  <c r="D20" i="2"/>
  <c r="D16" i="2"/>
  <c r="E16" i="4"/>
  <c r="D29" i="4"/>
  <c r="D27" i="4"/>
  <c r="D365" i="6"/>
  <c r="F43" i="3"/>
  <c r="J43" i="3" s="1"/>
  <c r="K43" i="3" s="1"/>
  <c r="E140" i="6"/>
  <c r="E156" i="6" s="1"/>
  <c r="E214" i="6"/>
  <c r="E216" i="6"/>
  <c r="E142" i="6"/>
  <c r="E190" i="6" s="1"/>
  <c r="J38" i="3"/>
  <c r="F11" i="3"/>
  <c r="C36" i="2"/>
  <c r="E36" i="2" s="1"/>
  <c r="C31" i="2"/>
  <c r="F16" i="3"/>
  <c r="C16" i="2" s="1"/>
  <c r="D361" i="6"/>
  <c r="F40" i="3"/>
  <c r="F21" i="3"/>
  <c r="A276" i="6"/>
  <c r="A202" i="6"/>
  <c r="A59" i="6"/>
  <c r="A128" i="6"/>
  <c r="A347" i="6"/>
  <c r="D69" i="6"/>
  <c r="D12" i="5"/>
  <c r="H15" i="3"/>
  <c r="E195" i="6"/>
  <c r="E158" i="6"/>
  <c r="G32" i="3"/>
  <c r="I32" i="3" s="1"/>
  <c r="J32" i="3" s="1"/>
  <c r="K32" i="3" s="1"/>
  <c r="F37" i="3"/>
  <c r="D363" i="6"/>
  <c r="F42" i="3"/>
  <c r="E13" i="6"/>
  <c r="E14" i="4"/>
  <c r="I10" i="3"/>
  <c r="F15" i="3"/>
  <c r="F23" i="3"/>
  <c r="C21" i="2" s="1"/>
  <c r="D360" i="6"/>
  <c r="E377" i="6" s="1"/>
  <c r="F39" i="3"/>
  <c r="I42" i="3"/>
  <c r="J42" i="3" s="1"/>
  <c r="K42" i="3" s="1"/>
  <c r="J49" i="3"/>
  <c r="K49" i="3" s="1"/>
  <c r="I51" i="3"/>
  <c r="J51" i="3" s="1"/>
  <c r="K51" i="3" s="1"/>
  <c r="C24" i="4"/>
  <c r="C26" i="4"/>
  <c r="D26" i="4" s="1"/>
  <c r="C28" i="4"/>
  <c r="D28" i="4" s="1"/>
  <c r="A16" i="5"/>
  <c r="A14" i="5"/>
  <c r="E15" i="6"/>
  <c r="D50" i="6"/>
  <c r="D25" i="6"/>
  <c r="D46" i="6"/>
  <c r="I22" i="3"/>
  <c r="I25" i="3" s="1"/>
  <c r="F52" i="3"/>
  <c r="A14" i="4"/>
  <c r="A16" i="4" s="1"/>
  <c r="C25" i="4"/>
  <c r="D25" i="4" s="1"/>
  <c r="E11" i="6"/>
  <c r="E12" i="4"/>
  <c r="I9" i="3"/>
  <c r="E215" i="6"/>
  <c r="E252" i="6" s="1"/>
  <c r="E141" i="6"/>
  <c r="E172" i="6" s="1"/>
  <c r="C26" i="2"/>
  <c r="G31" i="3"/>
  <c r="I31" i="3" s="1"/>
  <c r="J31" i="3" s="1"/>
  <c r="K31" i="3" s="1"/>
  <c r="I39" i="3"/>
  <c r="J39" i="3" s="1"/>
  <c r="K39" i="3" s="1"/>
  <c r="D24" i="4"/>
  <c r="C30" i="4"/>
  <c r="D30" i="4" s="1"/>
  <c r="B69" i="6"/>
  <c r="B71" i="6" s="1"/>
  <c r="E150" i="6"/>
  <c r="J30" i="3"/>
  <c r="K30" i="3" s="1"/>
  <c r="J40" i="3"/>
  <c r="K40" i="3" s="1"/>
  <c r="D31" i="4"/>
  <c r="D32" i="4"/>
  <c r="D31" i="2"/>
  <c r="E31" i="2" s="1"/>
  <c r="D362" i="6"/>
  <c r="F41" i="3"/>
  <c r="I50" i="3"/>
  <c r="C33" i="4"/>
  <c r="D33" i="4" s="1"/>
  <c r="D14" i="5"/>
  <c r="E291" i="6"/>
  <c r="E336" i="6" s="1"/>
  <c r="F336" i="6" s="1"/>
  <c r="G336" i="6" s="1"/>
  <c r="D332" i="6"/>
  <c r="D313" i="6"/>
  <c r="E245" i="6"/>
  <c r="F33" i="3"/>
  <c r="C25" i="2"/>
  <c r="I41" i="3"/>
  <c r="C23" i="4"/>
  <c r="C34" i="4"/>
  <c r="D34" i="4" s="1"/>
  <c r="A346" i="6"/>
  <c r="A275" i="6"/>
  <c r="A201" i="6"/>
  <c r="A58" i="6"/>
  <c r="A127" i="6"/>
  <c r="D44" i="6"/>
  <c r="B139" i="6"/>
  <c r="E272" i="6"/>
  <c r="B11" i="6"/>
  <c r="B13" i="6" s="1"/>
  <c r="H37" i="3"/>
  <c r="E356" i="6" s="1"/>
  <c r="C30" i="5"/>
  <c r="C35" i="5" s="1"/>
  <c r="C37" i="5" s="1"/>
  <c r="B218" i="6"/>
  <c r="B224" i="6" s="1"/>
  <c r="D158" i="6"/>
  <c r="D47" i="6"/>
  <c r="D38" i="6"/>
  <c r="D28" i="6"/>
  <c r="D51" i="6"/>
  <c r="D41" i="6"/>
  <c r="D32" i="6"/>
  <c r="D21" i="6"/>
  <c r="D45" i="6"/>
  <c r="D35" i="6"/>
  <c r="D26" i="6"/>
  <c r="D49" i="6"/>
  <c r="D39" i="6"/>
  <c r="D29" i="6"/>
  <c r="D52" i="6"/>
  <c r="D43" i="6"/>
  <c r="D33" i="6"/>
  <c r="D23" i="6"/>
  <c r="D344" i="6"/>
  <c r="D339" i="6"/>
  <c r="D335" i="6"/>
  <c r="D330" i="6"/>
  <c r="D325" i="6"/>
  <c r="D320" i="6"/>
  <c r="D315" i="6"/>
  <c r="D311" i="6"/>
  <c r="D306" i="6"/>
  <c r="D301" i="6"/>
  <c r="D297" i="6"/>
  <c r="D345" i="6"/>
  <c r="D341" i="6"/>
  <c r="D336" i="6"/>
  <c r="D331" i="6"/>
  <c r="D326" i="6"/>
  <c r="D321" i="6"/>
  <c r="D317" i="6"/>
  <c r="D312" i="6"/>
  <c r="D307" i="6"/>
  <c r="D302" i="6"/>
  <c r="D343" i="6"/>
  <c r="D333" i="6"/>
  <c r="D324" i="6"/>
  <c r="D314" i="6"/>
  <c r="D305" i="6"/>
  <c r="D338" i="6"/>
  <c r="D303" i="6"/>
  <c r="D346" i="6"/>
  <c r="D337" i="6"/>
  <c r="D329" i="6"/>
  <c r="D327" i="6"/>
  <c r="D319" i="6"/>
  <c r="D318" i="6"/>
  <c r="D309" i="6"/>
  <c r="D342" i="6"/>
  <c r="D308" i="6"/>
  <c r="D300" i="6"/>
  <c r="C34" i="5"/>
  <c r="D31" i="6"/>
  <c r="D214" i="6"/>
  <c r="D269" i="6" s="1"/>
  <c r="D140" i="6"/>
  <c r="D154" i="6" s="1"/>
  <c r="D215" i="6"/>
  <c r="D141" i="6"/>
  <c r="D159" i="6" s="1"/>
  <c r="E270" i="6"/>
  <c r="E265" i="6"/>
  <c r="E260" i="6"/>
  <c r="E256" i="6"/>
  <c r="E251" i="6"/>
  <c r="E246" i="6"/>
  <c r="E241" i="6"/>
  <c r="E271" i="6"/>
  <c r="E266" i="6"/>
  <c r="E259" i="6"/>
  <c r="E244" i="6"/>
  <c r="E224" i="6"/>
  <c r="E273" i="6"/>
  <c r="E264" i="6"/>
  <c r="E248" i="6"/>
  <c r="E234" i="6"/>
  <c r="E229" i="6"/>
  <c r="E253" i="6"/>
  <c r="E239" i="6"/>
  <c r="E263" i="6"/>
  <c r="E247" i="6"/>
  <c r="E242" i="6"/>
  <c r="E257" i="6"/>
  <c r="E250" i="6"/>
  <c r="E240" i="6"/>
  <c r="E238" i="6"/>
  <c r="E233" i="6"/>
  <c r="E262" i="6"/>
  <c r="E236" i="6"/>
  <c r="E228" i="6"/>
  <c r="E269" i="6"/>
  <c r="E254" i="6"/>
  <c r="E232" i="6"/>
  <c r="E268" i="6"/>
  <c r="E235" i="6"/>
  <c r="E227" i="6"/>
  <c r="D37" i="6"/>
  <c r="D150" i="6"/>
  <c r="C378" i="6"/>
  <c r="C379" i="6" s="1"/>
  <c r="B356" i="6"/>
  <c r="B285" i="6"/>
  <c r="B287" i="6" s="1"/>
  <c r="E341" i="6" l="1"/>
  <c r="F341" i="6" s="1"/>
  <c r="G341" i="6" s="1"/>
  <c r="J41" i="3"/>
  <c r="K41" i="3" s="1"/>
  <c r="E154" i="6"/>
  <c r="F154" i="6" s="1"/>
  <c r="G154" i="6" s="1"/>
  <c r="E258" i="6"/>
  <c r="E16" i="2"/>
  <c r="F16" i="2" s="1"/>
  <c r="D164" i="6"/>
  <c r="C27" i="2"/>
  <c r="E153" i="6"/>
  <c r="J16" i="3"/>
  <c r="K16" i="3" s="1"/>
  <c r="E376" i="6"/>
  <c r="E319" i="6"/>
  <c r="F319" i="6" s="1"/>
  <c r="G319" i="6" s="1"/>
  <c r="D25" i="2"/>
  <c r="D196" i="6"/>
  <c r="E379" i="6"/>
  <c r="E305" i="6"/>
  <c r="F305" i="6" s="1"/>
  <c r="G305" i="6" s="1"/>
  <c r="E152" i="6"/>
  <c r="F152" i="6" s="1"/>
  <c r="G152" i="6" s="1"/>
  <c r="D239" i="6"/>
  <c r="D190" i="6"/>
  <c r="F190" i="6" s="1"/>
  <c r="G190" i="6" s="1"/>
  <c r="E374" i="6"/>
  <c r="E313" i="6"/>
  <c r="F313" i="6" s="1"/>
  <c r="G313" i="6" s="1"/>
  <c r="E155" i="6"/>
  <c r="C380" i="6"/>
  <c r="E380" i="6" s="1"/>
  <c r="D184" i="6"/>
  <c r="E302" i="6"/>
  <c r="F302" i="6" s="1"/>
  <c r="G302" i="6" s="1"/>
  <c r="D234" i="6"/>
  <c r="D273" i="6"/>
  <c r="F273" i="6" s="1"/>
  <c r="G273" i="6" s="1"/>
  <c r="D168" i="6"/>
  <c r="D162" i="6"/>
  <c r="D156" i="6"/>
  <c r="F156" i="6" s="1"/>
  <c r="G156" i="6" s="1"/>
  <c r="D195" i="6"/>
  <c r="F195" i="6" s="1"/>
  <c r="G195" i="6" s="1"/>
  <c r="D189" i="6"/>
  <c r="E378" i="6"/>
  <c r="E306" i="6"/>
  <c r="F306" i="6" s="1"/>
  <c r="G306" i="6" s="1"/>
  <c r="E329" i="6"/>
  <c r="F329" i="6" s="1"/>
  <c r="G329" i="6" s="1"/>
  <c r="E314" i="6"/>
  <c r="F314" i="6" s="1"/>
  <c r="G314" i="6" s="1"/>
  <c r="E318" i="6"/>
  <c r="F318" i="6" s="1"/>
  <c r="G318" i="6" s="1"/>
  <c r="E307" i="6"/>
  <c r="F307" i="6" s="1"/>
  <c r="G307" i="6" s="1"/>
  <c r="E345" i="6"/>
  <c r="F345" i="6" s="1"/>
  <c r="G345" i="6" s="1"/>
  <c r="D247" i="6"/>
  <c r="F247" i="6" s="1"/>
  <c r="G247" i="6" s="1"/>
  <c r="D271" i="6"/>
  <c r="D248" i="6"/>
  <c r="D262" i="6"/>
  <c r="F262" i="6" s="1"/>
  <c r="G262" i="6" s="1"/>
  <c r="D240" i="6"/>
  <c r="C15" i="2"/>
  <c r="C17" i="2" s="1"/>
  <c r="F17" i="3"/>
  <c r="E168" i="6"/>
  <c r="E165" i="6"/>
  <c r="E179" i="6"/>
  <c r="E159" i="6"/>
  <c r="F159" i="6" s="1"/>
  <c r="G159" i="6" s="1"/>
  <c r="E161" i="6"/>
  <c r="E199" i="6"/>
  <c r="J33" i="3"/>
  <c r="K33" i="3" s="1"/>
  <c r="K29" i="3"/>
  <c r="F239" i="6"/>
  <c r="G239" i="6" s="1"/>
  <c r="D173" i="6"/>
  <c r="D167" i="6"/>
  <c r="D161" i="6"/>
  <c r="D199" i="6"/>
  <c r="D194" i="6"/>
  <c r="D26" i="2"/>
  <c r="E26" i="2" s="1"/>
  <c r="F26" i="2" s="1"/>
  <c r="E315" i="6"/>
  <c r="F315" i="6" s="1"/>
  <c r="G315" i="6" s="1"/>
  <c r="E338" i="6"/>
  <c r="F338" i="6" s="1"/>
  <c r="G338" i="6" s="1"/>
  <c r="E324" i="6"/>
  <c r="F324" i="6" s="1"/>
  <c r="G324" i="6" s="1"/>
  <c r="E323" i="6"/>
  <c r="F323" i="6" s="1"/>
  <c r="G323" i="6" s="1"/>
  <c r="E312" i="6"/>
  <c r="F312" i="6" s="1"/>
  <c r="G312" i="6" s="1"/>
  <c r="E297" i="6"/>
  <c r="F297" i="6" s="1"/>
  <c r="G297" i="6" s="1"/>
  <c r="D242" i="6"/>
  <c r="D226" i="6"/>
  <c r="D266" i="6"/>
  <c r="F266" i="6" s="1"/>
  <c r="G266" i="6" s="1"/>
  <c r="D268" i="6"/>
  <c r="D245" i="6"/>
  <c r="F245" i="6" s="1"/>
  <c r="G245" i="6" s="1"/>
  <c r="D11" i="2"/>
  <c r="E11" i="2" s="1"/>
  <c r="F11" i="2" s="1"/>
  <c r="J10" i="3"/>
  <c r="K10" i="3" s="1"/>
  <c r="E178" i="6"/>
  <c r="E177" i="6"/>
  <c r="E188" i="6"/>
  <c r="E167" i="6"/>
  <c r="E166" i="6"/>
  <c r="E69" i="6"/>
  <c r="E12" i="5"/>
  <c r="F25" i="3"/>
  <c r="C20" i="2"/>
  <c r="C22" i="2" s="1"/>
  <c r="I15" i="3"/>
  <c r="I33" i="3"/>
  <c r="B357" i="6"/>
  <c r="F268" i="6"/>
  <c r="G268" i="6" s="1"/>
  <c r="D178" i="6"/>
  <c r="D172" i="6"/>
  <c r="F172" i="6" s="1"/>
  <c r="G172" i="6" s="1"/>
  <c r="D166" i="6"/>
  <c r="D160" i="6"/>
  <c r="D198" i="6"/>
  <c r="C35" i="4"/>
  <c r="F150" i="6"/>
  <c r="G150" i="6" s="1"/>
  <c r="B73" i="6"/>
  <c r="E325" i="6"/>
  <c r="F325" i="6" s="1"/>
  <c r="G325" i="6" s="1"/>
  <c r="E301" i="6"/>
  <c r="F301" i="6" s="1"/>
  <c r="G301" i="6" s="1"/>
  <c r="E333" i="6"/>
  <c r="F333" i="6" s="1"/>
  <c r="G333" i="6" s="1"/>
  <c r="E327" i="6"/>
  <c r="F327" i="6" s="1"/>
  <c r="G327" i="6" s="1"/>
  <c r="E317" i="6"/>
  <c r="F317" i="6" s="1"/>
  <c r="G317" i="6" s="1"/>
  <c r="D263" i="6"/>
  <c r="F263" i="6" s="1"/>
  <c r="G263" i="6" s="1"/>
  <c r="D230" i="6"/>
  <c r="D224" i="6"/>
  <c r="F224" i="6" s="1"/>
  <c r="G224" i="6" s="1"/>
  <c r="D246" i="6"/>
  <c r="D250" i="6"/>
  <c r="E160" i="6"/>
  <c r="E186" i="6"/>
  <c r="E196" i="6"/>
  <c r="F196" i="6" s="1"/>
  <c r="G196" i="6" s="1"/>
  <c r="E189" i="6"/>
  <c r="E171" i="6"/>
  <c r="D34" i="5"/>
  <c r="D27" i="5"/>
  <c r="D28" i="5"/>
  <c r="D29" i="5"/>
  <c r="D30" i="5"/>
  <c r="D26" i="5"/>
  <c r="D32" i="5"/>
  <c r="D25" i="5"/>
  <c r="D24" i="5"/>
  <c r="D31" i="5"/>
  <c r="D23" i="5"/>
  <c r="D33" i="5"/>
  <c r="C37" i="2"/>
  <c r="J23" i="3"/>
  <c r="K23" i="3" s="1"/>
  <c r="D253" i="6"/>
  <c r="F253" i="6" s="1"/>
  <c r="G253" i="6" s="1"/>
  <c r="D270" i="6"/>
  <c r="F270" i="6" s="1"/>
  <c r="G270" i="6" s="1"/>
  <c r="F158" i="6"/>
  <c r="G158" i="6" s="1"/>
  <c r="E25" i="2"/>
  <c r="D153" i="6"/>
  <c r="D183" i="6"/>
  <c r="D177" i="6"/>
  <c r="D171" i="6"/>
  <c r="D165" i="6"/>
  <c r="I11" i="3"/>
  <c r="J9" i="3"/>
  <c r="D10" i="2"/>
  <c r="E335" i="6"/>
  <c r="F335" i="6" s="1"/>
  <c r="G335" i="6" s="1"/>
  <c r="E311" i="6"/>
  <c r="F311" i="6" s="1"/>
  <c r="G311" i="6" s="1"/>
  <c r="E343" i="6"/>
  <c r="F343" i="6" s="1"/>
  <c r="G343" i="6" s="1"/>
  <c r="E332" i="6"/>
  <c r="F332" i="6" s="1"/>
  <c r="G332" i="6" s="1"/>
  <c r="E321" i="6"/>
  <c r="F321" i="6" s="1"/>
  <c r="G321" i="6" s="1"/>
  <c r="B144" i="6"/>
  <c r="D257" i="6"/>
  <c r="F257" i="6" s="1"/>
  <c r="G257" i="6" s="1"/>
  <c r="D235" i="6"/>
  <c r="F235" i="6" s="1"/>
  <c r="G235" i="6" s="1"/>
  <c r="D241" i="6"/>
  <c r="D251" i="6"/>
  <c r="F251" i="6" s="1"/>
  <c r="G251" i="6" s="1"/>
  <c r="D254" i="6"/>
  <c r="F254" i="6" s="1"/>
  <c r="G254" i="6" s="1"/>
  <c r="E170" i="6"/>
  <c r="E174" i="6"/>
  <c r="E162" i="6"/>
  <c r="F162" i="6" s="1"/>
  <c r="G162" i="6" s="1"/>
  <c r="E197" i="6"/>
  <c r="F197" i="6" s="1"/>
  <c r="G197" i="6" s="1"/>
  <c r="E176" i="6"/>
  <c r="D121" i="6"/>
  <c r="D101" i="6"/>
  <c r="D97" i="6"/>
  <c r="D93" i="6"/>
  <c r="D108" i="6"/>
  <c r="D104" i="6"/>
  <c r="D84" i="6"/>
  <c r="D119" i="6"/>
  <c r="D115" i="6"/>
  <c r="D111" i="6"/>
  <c r="D95" i="6"/>
  <c r="D91" i="6"/>
  <c r="D87" i="6"/>
  <c r="D79" i="6"/>
  <c r="D102" i="6"/>
  <c r="D98" i="6"/>
  <c r="D113" i="6"/>
  <c r="D109" i="6"/>
  <c r="D105" i="6"/>
  <c r="D89" i="6"/>
  <c r="D85" i="6"/>
  <c r="D81" i="6"/>
  <c r="D114" i="6"/>
  <c r="D118" i="6"/>
  <c r="D99" i="6"/>
  <c r="D103" i="6"/>
  <c r="D90" i="6"/>
  <c r="D116" i="6"/>
  <c r="D107" i="6"/>
  <c r="D92" i="6"/>
  <c r="D83" i="6"/>
  <c r="D86" i="6"/>
  <c r="D110" i="6"/>
  <c r="D96" i="6"/>
  <c r="D120" i="6"/>
  <c r="E230" i="6"/>
  <c r="F230" i="6" s="1"/>
  <c r="G230" i="6" s="1"/>
  <c r="E226" i="6"/>
  <c r="D23" i="4"/>
  <c r="D35" i="4" s="1"/>
  <c r="D37" i="4" s="1"/>
  <c r="B15" i="6"/>
  <c r="D252" i="6"/>
  <c r="F252" i="6" s="1"/>
  <c r="G252" i="6" s="1"/>
  <c r="D238" i="6"/>
  <c r="F238" i="6" s="1"/>
  <c r="G238" i="6" s="1"/>
  <c r="F250" i="6"/>
  <c r="G250" i="6" s="1"/>
  <c r="F271" i="6"/>
  <c r="G271" i="6" s="1"/>
  <c r="D152" i="6"/>
  <c r="D188" i="6"/>
  <c r="D182" i="6"/>
  <c r="D176" i="6"/>
  <c r="D170" i="6"/>
  <c r="B227" i="6"/>
  <c r="B226" i="6"/>
  <c r="D32" i="2"/>
  <c r="E32" i="2" s="1"/>
  <c r="F32" i="2" s="1"/>
  <c r="J50" i="3"/>
  <c r="K50" i="3" s="1"/>
  <c r="E29" i="4"/>
  <c r="F29" i="4" s="1"/>
  <c r="G29" i="4" s="1"/>
  <c r="E31" i="4"/>
  <c r="F31" i="4" s="1"/>
  <c r="G31" i="4" s="1"/>
  <c r="E33" i="4"/>
  <c r="F33" i="4" s="1"/>
  <c r="G33" i="4" s="1"/>
  <c r="E32" i="4"/>
  <c r="F32" i="4" s="1"/>
  <c r="G32" i="4" s="1"/>
  <c r="E24" i="4"/>
  <c r="F24" i="4" s="1"/>
  <c r="G24" i="4" s="1"/>
  <c r="E23" i="4"/>
  <c r="E27" i="4"/>
  <c r="F27" i="4" s="1"/>
  <c r="G27" i="4" s="1"/>
  <c r="E28" i="4"/>
  <c r="F28" i="4" s="1"/>
  <c r="G28" i="4" s="1"/>
  <c r="E26" i="4"/>
  <c r="F26" i="4" s="1"/>
  <c r="G26" i="4" s="1"/>
  <c r="E30" i="4"/>
  <c r="F30" i="4" s="1"/>
  <c r="G30" i="4" s="1"/>
  <c r="E25" i="4"/>
  <c r="F25" i="4" s="1"/>
  <c r="G25" i="4" s="1"/>
  <c r="E34" i="4"/>
  <c r="F34" i="4" s="1"/>
  <c r="G34" i="4" s="1"/>
  <c r="E344" i="6"/>
  <c r="F344" i="6" s="1"/>
  <c r="G344" i="6" s="1"/>
  <c r="E320" i="6"/>
  <c r="F320" i="6" s="1"/>
  <c r="G320" i="6" s="1"/>
  <c r="E299" i="6"/>
  <c r="F299" i="6" s="1"/>
  <c r="G299" i="6" s="1"/>
  <c r="E337" i="6"/>
  <c r="F337" i="6" s="1"/>
  <c r="G337" i="6" s="1"/>
  <c r="E326" i="6"/>
  <c r="F326" i="6" s="1"/>
  <c r="G326" i="6" s="1"/>
  <c r="D227" i="6"/>
  <c r="F227" i="6" s="1"/>
  <c r="G227" i="6" s="1"/>
  <c r="D258" i="6"/>
  <c r="F258" i="6" s="1"/>
  <c r="G258" i="6" s="1"/>
  <c r="D244" i="6"/>
  <c r="F244" i="6" s="1"/>
  <c r="G244" i="6" s="1"/>
  <c r="D256" i="6"/>
  <c r="F256" i="6" s="1"/>
  <c r="G256" i="6" s="1"/>
  <c r="D259" i="6"/>
  <c r="F259" i="6" s="1"/>
  <c r="G259" i="6" s="1"/>
  <c r="E182" i="6"/>
  <c r="F182" i="6" s="1"/>
  <c r="G182" i="6" s="1"/>
  <c r="E183" i="6"/>
  <c r="F183" i="6" s="1"/>
  <c r="G183" i="6" s="1"/>
  <c r="E184" i="6"/>
  <c r="E164" i="6"/>
  <c r="E180" i="6"/>
  <c r="J21" i="3"/>
  <c r="F240" i="6"/>
  <c r="G240" i="6" s="1"/>
  <c r="F234" i="6"/>
  <c r="G234" i="6" s="1"/>
  <c r="F269" i="6"/>
  <c r="G269" i="6" s="1"/>
  <c r="F248" i="6"/>
  <c r="G248" i="6" s="1"/>
  <c r="F241" i="6"/>
  <c r="G241" i="6" s="1"/>
  <c r="D155" i="6"/>
  <c r="F155" i="6" s="1"/>
  <c r="G155" i="6" s="1"/>
  <c r="D192" i="6"/>
  <c r="D186" i="6"/>
  <c r="D180" i="6"/>
  <c r="D174" i="6"/>
  <c r="E51" i="6"/>
  <c r="F51" i="6" s="1"/>
  <c r="G51" i="6" s="1"/>
  <c r="E41" i="6"/>
  <c r="F41" i="6" s="1"/>
  <c r="G41" i="6" s="1"/>
  <c r="E32" i="6"/>
  <c r="F32" i="6" s="1"/>
  <c r="G32" i="6" s="1"/>
  <c r="E21" i="6"/>
  <c r="F21" i="6" s="1"/>
  <c r="G21" i="6" s="1"/>
  <c r="E45" i="6"/>
  <c r="F45" i="6" s="1"/>
  <c r="G45" i="6" s="1"/>
  <c r="E35" i="6"/>
  <c r="F35" i="6" s="1"/>
  <c r="G35" i="6" s="1"/>
  <c r="E26" i="6"/>
  <c r="F26" i="6" s="1"/>
  <c r="G26" i="6" s="1"/>
  <c r="E49" i="6"/>
  <c r="F49" i="6" s="1"/>
  <c r="G49" i="6" s="1"/>
  <c r="E39" i="6"/>
  <c r="F39" i="6" s="1"/>
  <c r="G39" i="6" s="1"/>
  <c r="E29" i="6"/>
  <c r="F29" i="6" s="1"/>
  <c r="G29" i="6" s="1"/>
  <c r="E52" i="6"/>
  <c r="F52" i="6" s="1"/>
  <c r="G52" i="6" s="1"/>
  <c r="E43" i="6"/>
  <c r="F43" i="6" s="1"/>
  <c r="G43" i="6" s="1"/>
  <c r="E33" i="6"/>
  <c r="F33" i="6" s="1"/>
  <c r="G33" i="6" s="1"/>
  <c r="E23" i="6"/>
  <c r="F23" i="6" s="1"/>
  <c r="G23" i="6" s="1"/>
  <c r="E46" i="6"/>
  <c r="F46" i="6" s="1"/>
  <c r="G46" i="6" s="1"/>
  <c r="E37" i="6"/>
  <c r="F37" i="6" s="1"/>
  <c r="G37" i="6" s="1"/>
  <c r="E27" i="6"/>
  <c r="F27" i="6" s="1"/>
  <c r="G27" i="6" s="1"/>
  <c r="E47" i="6"/>
  <c r="F47" i="6" s="1"/>
  <c r="G47" i="6" s="1"/>
  <c r="E40" i="6"/>
  <c r="F40" i="6" s="1"/>
  <c r="G40" i="6" s="1"/>
  <c r="E50" i="6"/>
  <c r="F50" i="6" s="1"/>
  <c r="G50" i="6" s="1"/>
  <c r="E25" i="6"/>
  <c r="F25" i="6" s="1"/>
  <c r="G25" i="6" s="1"/>
  <c r="E34" i="6"/>
  <c r="F34" i="6" s="1"/>
  <c r="G34" i="6" s="1"/>
  <c r="E53" i="6"/>
  <c r="F53" i="6" s="1"/>
  <c r="G53" i="6" s="1"/>
  <c r="E28" i="6"/>
  <c r="F28" i="6" s="1"/>
  <c r="G28" i="6" s="1"/>
  <c r="E38" i="6"/>
  <c r="F38" i="6" s="1"/>
  <c r="G38" i="6" s="1"/>
  <c r="E31" i="6"/>
  <c r="F31" i="6" s="1"/>
  <c r="G31" i="6" s="1"/>
  <c r="E44" i="6"/>
  <c r="F44" i="6" s="1"/>
  <c r="G44" i="6" s="1"/>
  <c r="E300" i="6"/>
  <c r="F300" i="6" s="1"/>
  <c r="G300" i="6" s="1"/>
  <c r="E330" i="6"/>
  <c r="F330" i="6" s="1"/>
  <c r="G330" i="6" s="1"/>
  <c r="E303" i="6"/>
  <c r="F303" i="6" s="1"/>
  <c r="G303" i="6" s="1"/>
  <c r="E342" i="6"/>
  <c r="F342" i="6" s="1"/>
  <c r="G342" i="6" s="1"/>
  <c r="E331" i="6"/>
  <c r="F331" i="6" s="1"/>
  <c r="G331" i="6" s="1"/>
  <c r="J22" i="3"/>
  <c r="K22" i="3" s="1"/>
  <c r="D21" i="2"/>
  <c r="E21" i="2" s="1"/>
  <c r="F21" i="2" s="1"/>
  <c r="D232" i="6"/>
  <c r="F232" i="6" s="1"/>
  <c r="G232" i="6" s="1"/>
  <c r="D272" i="6"/>
  <c r="F272" i="6" s="1"/>
  <c r="G272" i="6" s="1"/>
  <c r="D228" i="6"/>
  <c r="F228" i="6" s="1"/>
  <c r="G228" i="6" s="1"/>
  <c r="D260" i="6"/>
  <c r="F260" i="6" s="1"/>
  <c r="G260" i="6" s="1"/>
  <c r="D264" i="6"/>
  <c r="F264" i="6" s="1"/>
  <c r="G264" i="6" s="1"/>
  <c r="A23" i="5"/>
  <c r="A24" i="5"/>
  <c r="E173" i="6"/>
  <c r="F173" i="6" s="1"/>
  <c r="G173" i="6" s="1"/>
  <c r="E191" i="6"/>
  <c r="E192" i="6"/>
  <c r="E185" i="6"/>
  <c r="E20" i="2"/>
  <c r="F20" i="2" s="1"/>
  <c r="B291" i="6"/>
  <c r="A24" i="4"/>
  <c r="A23" i="4"/>
  <c r="B359" i="6"/>
  <c r="F242" i="6"/>
  <c r="G242" i="6" s="1"/>
  <c r="F246" i="6"/>
  <c r="G246" i="6" s="1"/>
  <c r="D197" i="6"/>
  <c r="D191" i="6"/>
  <c r="D185" i="6"/>
  <c r="D179" i="6"/>
  <c r="F377" i="6"/>
  <c r="G377" i="6" s="1"/>
  <c r="H377" i="6" s="1"/>
  <c r="F378" i="6"/>
  <c r="G378" i="6" s="1"/>
  <c r="H378" i="6" s="1"/>
  <c r="F379" i="6"/>
  <c r="F376" i="6"/>
  <c r="G376" i="6" s="1"/>
  <c r="H376" i="6" s="1"/>
  <c r="F374" i="6"/>
  <c r="G374" i="6" s="1"/>
  <c r="H374" i="6" s="1"/>
  <c r="D37" i="2"/>
  <c r="E309" i="6"/>
  <c r="F309" i="6" s="1"/>
  <c r="G309" i="6" s="1"/>
  <c r="E339" i="6"/>
  <c r="F339" i="6" s="1"/>
  <c r="G339" i="6" s="1"/>
  <c r="E308" i="6"/>
  <c r="F308" i="6" s="1"/>
  <c r="G308" i="6" s="1"/>
  <c r="E346" i="6"/>
  <c r="F346" i="6" s="1"/>
  <c r="G346" i="6" s="1"/>
  <c r="D236" i="6"/>
  <c r="F236" i="6" s="1"/>
  <c r="G236" i="6" s="1"/>
  <c r="D229" i="6"/>
  <c r="F229" i="6" s="1"/>
  <c r="G229" i="6" s="1"/>
  <c r="D233" i="6"/>
  <c r="F233" i="6" s="1"/>
  <c r="G233" i="6" s="1"/>
  <c r="D265" i="6"/>
  <c r="F265" i="6" s="1"/>
  <c r="G265" i="6" s="1"/>
  <c r="C35" i="2"/>
  <c r="C30" i="2"/>
  <c r="C33" i="2" s="1"/>
  <c r="F44" i="3"/>
  <c r="E198" i="6"/>
  <c r="F198" i="6" s="1"/>
  <c r="G198" i="6" s="1"/>
  <c r="F153" i="6"/>
  <c r="G153" i="6" s="1"/>
  <c r="E194" i="6"/>
  <c r="I52" i="3"/>
  <c r="J52" i="3" s="1"/>
  <c r="I37" i="3"/>
  <c r="F189" i="6" l="1"/>
  <c r="G189" i="6" s="1"/>
  <c r="F194" i="6"/>
  <c r="G194" i="6" s="1"/>
  <c r="F180" i="6"/>
  <c r="G180" i="6" s="1"/>
  <c r="G379" i="6"/>
  <c r="H379" i="6" s="1"/>
  <c r="D22" i="2"/>
  <c r="E22" i="2" s="1"/>
  <c r="F22" i="2" s="1"/>
  <c r="F226" i="6"/>
  <c r="G226" i="6" s="1"/>
  <c r="D27" i="2"/>
  <c r="E27" i="2" s="1"/>
  <c r="F27" i="2" s="1"/>
  <c r="F178" i="6"/>
  <c r="G178" i="6" s="1"/>
  <c r="F199" i="6"/>
  <c r="G199" i="6" s="1"/>
  <c r="F160" i="6"/>
  <c r="G160" i="6" s="1"/>
  <c r="F57" i="3"/>
  <c r="F380" i="6"/>
  <c r="G380" i="6" s="1"/>
  <c r="H380" i="6" s="1"/>
  <c r="C382" i="6"/>
  <c r="F382" i="6" s="1"/>
  <c r="F161" i="6"/>
  <c r="G161" i="6" s="1"/>
  <c r="C38" i="2"/>
  <c r="E37" i="2"/>
  <c r="F37" i="2" s="1"/>
  <c r="F164" i="6"/>
  <c r="G164" i="6" s="1"/>
  <c r="F184" i="6"/>
  <c r="G184" i="6" s="1"/>
  <c r="F167" i="6"/>
  <c r="G167" i="6" s="1"/>
  <c r="F23" i="4"/>
  <c r="E35" i="4"/>
  <c r="E37" i="4" s="1"/>
  <c r="B150" i="6"/>
  <c r="F188" i="6"/>
  <c r="G188" i="6" s="1"/>
  <c r="C37" i="4"/>
  <c r="I36" i="4"/>
  <c r="E382" i="6"/>
  <c r="F174" i="6"/>
  <c r="G174" i="6" s="1"/>
  <c r="F186" i="6"/>
  <c r="G186" i="6" s="1"/>
  <c r="J15" i="3"/>
  <c r="I17" i="3"/>
  <c r="D15" i="2"/>
  <c r="F177" i="6"/>
  <c r="G177" i="6" s="1"/>
  <c r="K21" i="3"/>
  <c r="J25" i="3"/>
  <c r="K25" i="3" s="1"/>
  <c r="F170" i="6"/>
  <c r="G170" i="6" s="1"/>
  <c r="F179" i="6"/>
  <c r="G179" i="6" s="1"/>
  <c r="B228" i="6"/>
  <c r="B229" i="6" s="1"/>
  <c r="B230" i="6" s="1"/>
  <c r="B297" i="6"/>
  <c r="F185" i="6"/>
  <c r="G185" i="6" s="1"/>
  <c r="D35" i="5"/>
  <c r="D37" i="5" s="1"/>
  <c r="F165" i="6"/>
  <c r="G165" i="6" s="1"/>
  <c r="A25" i="4"/>
  <c r="J11" i="3"/>
  <c r="K11" i="3" s="1"/>
  <c r="K9" i="3"/>
  <c r="I44" i="3"/>
  <c r="J44" i="3" s="1"/>
  <c r="K44" i="3" s="1"/>
  <c r="J37" i="3"/>
  <c r="K37" i="3" s="1"/>
  <c r="D35" i="2"/>
  <c r="D30" i="2"/>
  <c r="F192" i="6"/>
  <c r="G192" i="6" s="1"/>
  <c r="E27" i="5"/>
  <c r="F27" i="5" s="1"/>
  <c r="G27" i="5" s="1"/>
  <c r="E28" i="5"/>
  <c r="F28" i="5" s="1"/>
  <c r="G28" i="5" s="1"/>
  <c r="E29" i="5"/>
  <c r="F29" i="5" s="1"/>
  <c r="G29" i="5" s="1"/>
  <c r="E30" i="5"/>
  <c r="F30" i="5" s="1"/>
  <c r="G30" i="5" s="1"/>
  <c r="E31" i="5"/>
  <c r="F31" i="5" s="1"/>
  <c r="G31" i="5" s="1"/>
  <c r="E33" i="5"/>
  <c r="F33" i="5" s="1"/>
  <c r="G33" i="5" s="1"/>
  <c r="E24" i="5"/>
  <c r="F24" i="5" s="1"/>
  <c r="G24" i="5" s="1"/>
  <c r="E23" i="5"/>
  <c r="E32" i="5"/>
  <c r="F32" i="5" s="1"/>
  <c r="G32" i="5" s="1"/>
  <c r="E25" i="5"/>
  <c r="F25" i="5" s="1"/>
  <c r="G25" i="5" s="1"/>
  <c r="E26" i="5"/>
  <c r="F26" i="5" s="1"/>
  <c r="G26" i="5" s="1"/>
  <c r="E34" i="5"/>
  <c r="F34" i="5" s="1"/>
  <c r="G34" i="5" s="1"/>
  <c r="F168" i="6"/>
  <c r="G168" i="6" s="1"/>
  <c r="K52" i="3"/>
  <c r="G382" i="6"/>
  <c r="H382" i="6" s="1"/>
  <c r="F191" i="6"/>
  <c r="G191" i="6" s="1"/>
  <c r="B79" i="6"/>
  <c r="E108" i="6"/>
  <c r="F108" i="6" s="1"/>
  <c r="G108" i="6" s="1"/>
  <c r="E104" i="6"/>
  <c r="F104" i="6" s="1"/>
  <c r="G104" i="6" s="1"/>
  <c r="E84" i="6"/>
  <c r="F84" i="6" s="1"/>
  <c r="G84" i="6" s="1"/>
  <c r="E119" i="6"/>
  <c r="F119" i="6" s="1"/>
  <c r="G119" i="6" s="1"/>
  <c r="E115" i="6"/>
  <c r="F115" i="6" s="1"/>
  <c r="G115" i="6" s="1"/>
  <c r="E111" i="6"/>
  <c r="F111" i="6" s="1"/>
  <c r="G111" i="6" s="1"/>
  <c r="E95" i="6"/>
  <c r="F95" i="6" s="1"/>
  <c r="G95" i="6" s="1"/>
  <c r="E91" i="6"/>
  <c r="F91" i="6" s="1"/>
  <c r="G91" i="6" s="1"/>
  <c r="E87" i="6"/>
  <c r="F87" i="6" s="1"/>
  <c r="G87" i="6" s="1"/>
  <c r="E79" i="6"/>
  <c r="F79" i="6" s="1"/>
  <c r="G79" i="6" s="1"/>
  <c r="E102" i="6"/>
  <c r="F102" i="6" s="1"/>
  <c r="G102" i="6" s="1"/>
  <c r="E98" i="6"/>
  <c r="F98" i="6" s="1"/>
  <c r="G98" i="6" s="1"/>
  <c r="E113" i="6"/>
  <c r="F113" i="6" s="1"/>
  <c r="G113" i="6" s="1"/>
  <c r="E109" i="6"/>
  <c r="F109" i="6" s="1"/>
  <c r="G109" i="6" s="1"/>
  <c r="E105" i="6"/>
  <c r="F105" i="6" s="1"/>
  <c r="G105" i="6" s="1"/>
  <c r="E89" i="6"/>
  <c r="F89" i="6" s="1"/>
  <c r="G89" i="6" s="1"/>
  <c r="E85" i="6"/>
  <c r="F85" i="6" s="1"/>
  <c r="G85" i="6" s="1"/>
  <c r="E81" i="6"/>
  <c r="F81" i="6" s="1"/>
  <c r="G81" i="6" s="1"/>
  <c r="E120" i="6"/>
  <c r="F120" i="6" s="1"/>
  <c r="G120" i="6" s="1"/>
  <c r="E116" i="6"/>
  <c r="F116" i="6" s="1"/>
  <c r="G116" i="6" s="1"/>
  <c r="E96" i="6"/>
  <c r="F96" i="6" s="1"/>
  <c r="G96" i="6" s="1"/>
  <c r="E92" i="6"/>
  <c r="F92" i="6" s="1"/>
  <c r="G92" i="6" s="1"/>
  <c r="E114" i="6"/>
  <c r="F114" i="6" s="1"/>
  <c r="G114" i="6" s="1"/>
  <c r="E86" i="6"/>
  <c r="F86" i="6" s="1"/>
  <c r="G86" i="6" s="1"/>
  <c r="E118" i="6"/>
  <c r="F118" i="6" s="1"/>
  <c r="G118" i="6" s="1"/>
  <c r="E99" i="6"/>
  <c r="F99" i="6" s="1"/>
  <c r="G99" i="6" s="1"/>
  <c r="E103" i="6"/>
  <c r="F103" i="6" s="1"/>
  <c r="G103" i="6" s="1"/>
  <c r="E90" i="6"/>
  <c r="F90" i="6" s="1"/>
  <c r="G90" i="6" s="1"/>
  <c r="E121" i="6"/>
  <c r="F121" i="6" s="1"/>
  <c r="G121" i="6" s="1"/>
  <c r="E107" i="6"/>
  <c r="F107" i="6" s="1"/>
  <c r="G107" i="6" s="1"/>
  <c r="E110" i="6"/>
  <c r="F110" i="6" s="1"/>
  <c r="G110" i="6" s="1"/>
  <c r="E97" i="6"/>
  <c r="F97" i="6" s="1"/>
  <c r="G97" i="6" s="1"/>
  <c r="E83" i="6"/>
  <c r="F83" i="6" s="1"/>
  <c r="G83" i="6" s="1"/>
  <c r="E93" i="6"/>
  <c r="F93" i="6" s="1"/>
  <c r="G93" i="6" s="1"/>
  <c r="E101" i="6"/>
  <c r="F101" i="6" s="1"/>
  <c r="G101" i="6" s="1"/>
  <c r="B21" i="6"/>
  <c r="A25" i="5"/>
  <c r="A26" i="5" s="1"/>
  <c r="F176" i="6"/>
  <c r="G176" i="6" s="1"/>
  <c r="D12" i="2"/>
  <c r="E10" i="2"/>
  <c r="F10" i="2" s="1"/>
  <c r="F171" i="6"/>
  <c r="G171" i="6" s="1"/>
  <c r="F166" i="6"/>
  <c r="G166" i="6" s="1"/>
  <c r="C39" i="2"/>
  <c r="B360" i="6"/>
  <c r="B361" i="6" s="1"/>
  <c r="B299" i="6" l="1"/>
  <c r="B301" i="6" s="1"/>
  <c r="C383" i="6"/>
  <c r="B300" i="6"/>
  <c r="B302" i="6" s="1"/>
  <c r="B232" i="6"/>
  <c r="B233" i="6"/>
  <c r="B234" i="6"/>
  <c r="E35" i="5"/>
  <c r="E37" i="5" s="1"/>
  <c r="F23" i="5"/>
  <c r="B81" i="6"/>
  <c r="E12" i="2"/>
  <c r="J17" i="3"/>
  <c r="K15" i="3"/>
  <c r="B362" i="6"/>
  <c r="E30" i="2"/>
  <c r="F30" i="2" s="1"/>
  <c r="D33" i="2"/>
  <c r="E33" i="2" s="1"/>
  <c r="F33" i="2" s="1"/>
  <c r="G23" i="4"/>
  <c r="F35" i="4"/>
  <c r="F37" i="4" s="1"/>
  <c r="G37" i="4" s="1"/>
  <c r="E35" i="2"/>
  <c r="F35" i="2" s="1"/>
  <c r="D38" i="2"/>
  <c r="E38" i="2" s="1"/>
  <c r="F38" i="2" s="1"/>
  <c r="B23" i="6"/>
  <c r="C384" i="6"/>
  <c r="E383" i="6"/>
  <c r="F383" i="6"/>
  <c r="A27" i="5"/>
  <c r="A28" i="5" s="1"/>
  <c r="D17" i="2"/>
  <c r="E17" i="2" s="1"/>
  <c r="F17" i="2" s="1"/>
  <c r="E15" i="2"/>
  <c r="F15" i="2" s="1"/>
  <c r="B152" i="6"/>
  <c r="A26" i="4"/>
  <c r="A29" i="5" l="1"/>
  <c r="A31" i="5" s="1"/>
  <c r="A30" i="5"/>
  <c r="B154" i="6"/>
  <c r="B153" i="6"/>
  <c r="K17" i="3"/>
  <c r="J57" i="3"/>
  <c r="K57" i="3" s="1"/>
  <c r="B235" i="6"/>
  <c r="B236" i="6" s="1"/>
  <c r="B238" i="6" s="1"/>
  <c r="B83" i="6"/>
  <c r="B84" i="6" s="1"/>
  <c r="B303" i="6"/>
  <c r="D39" i="2"/>
  <c r="B25" i="6"/>
  <c r="E39" i="2"/>
  <c r="E41" i="2" s="1"/>
  <c r="F12" i="2"/>
  <c r="G23" i="5"/>
  <c r="F35" i="5"/>
  <c r="F37" i="5" s="1"/>
  <c r="G37" i="5" s="1"/>
  <c r="C385" i="6"/>
  <c r="E384" i="6"/>
  <c r="F384" i="6"/>
  <c r="B155" i="6"/>
  <c r="B305" i="6"/>
  <c r="B364" i="6"/>
  <c r="B365" i="6" s="1"/>
  <c r="G383" i="6"/>
  <c r="H383" i="6" s="1"/>
  <c r="A27" i="4"/>
  <c r="B363" i="6"/>
  <c r="B366" i="6" l="1"/>
  <c r="B368" i="6" s="1"/>
  <c r="B239" i="6"/>
  <c r="G384" i="6"/>
  <c r="H384" i="6" s="1"/>
  <c r="B156" i="6"/>
  <c r="B374" i="6"/>
  <c r="B306" i="6"/>
  <c r="B240" i="6"/>
  <c r="B241" i="6" s="1"/>
  <c r="A32" i="5"/>
  <c r="B26" i="6"/>
  <c r="C386" i="6"/>
  <c r="E385" i="6"/>
  <c r="F385" i="6"/>
  <c r="G385" i="6" s="1"/>
  <c r="H385" i="6" s="1"/>
  <c r="A28" i="4"/>
  <c r="B85" i="6"/>
  <c r="B86" i="6" s="1"/>
  <c r="B87" i="6" l="1"/>
  <c r="B307" i="6"/>
  <c r="B158" i="6"/>
  <c r="A33" i="5"/>
  <c r="B376" i="6"/>
  <c r="B242" i="6"/>
  <c r="B27" i="6"/>
  <c r="B28" i="6" s="1"/>
  <c r="A29" i="4"/>
  <c r="C388" i="6"/>
  <c r="E386" i="6"/>
  <c r="F386" i="6"/>
  <c r="B159" i="6" l="1"/>
  <c r="B29" i="6"/>
  <c r="B31" i="6" s="1"/>
  <c r="B32" i="6" s="1"/>
  <c r="B160" i="6"/>
  <c r="C389" i="6"/>
  <c r="E388" i="6"/>
  <c r="F388" i="6"/>
  <c r="B308" i="6"/>
  <c r="A30" i="4"/>
  <c r="A34" i="5"/>
  <c r="A35" i="5" s="1"/>
  <c r="A37" i="5" s="1"/>
  <c r="A31" i="4"/>
  <c r="A32" i="4" s="1"/>
  <c r="A33" i="4" s="1"/>
  <c r="A34" i="4" s="1"/>
  <c r="B89" i="6"/>
  <c r="B90" i="6" s="1"/>
  <c r="B91" i="6" s="1"/>
  <c r="B92" i="6" s="1"/>
  <c r="B93" i="6" s="1"/>
  <c r="B95" i="6" s="1"/>
  <c r="B96" i="6" s="1"/>
  <c r="B97" i="6" s="1"/>
  <c r="B98" i="6" s="1"/>
  <c r="B99" i="6" s="1"/>
  <c r="B101" i="6" s="1"/>
  <c r="B102" i="6" s="1"/>
  <c r="B103" i="6" s="1"/>
  <c r="B104" i="6" s="1"/>
  <c r="B105" i="6" s="1"/>
  <c r="B107" i="6" s="1"/>
  <c r="B108" i="6" s="1"/>
  <c r="B109" i="6" s="1"/>
  <c r="B110" i="6" s="1"/>
  <c r="B111" i="6" s="1"/>
  <c r="B113" i="6" s="1"/>
  <c r="B114" i="6" s="1"/>
  <c r="B115" i="6" s="1"/>
  <c r="B116" i="6" s="1"/>
  <c r="B118" i="6" s="1"/>
  <c r="B119" i="6" s="1"/>
  <c r="B120" i="6" s="1"/>
  <c r="B121" i="6" s="1"/>
  <c r="B244" i="6"/>
  <c r="B245" i="6" s="1"/>
  <c r="G386" i="6"/>
  <c r="H386" i="6" s="1"/>
  <c r="B377" i="6"/>
  <c r="E389" i="6" l="1"/>
  <c r="F389" i="6"/>
  <c r="G389" i="6" s="1"/>
  <c r="H389" i="6" s="1"/>
  <c r="B246" i="6"/>
  <c r="B247" i="6" s="1"/>
  <c r="C390" i="6"/>
  <c r="A35" i="4"/>
  <c r="A37" i="4" s="1"/>
  <c r="B248" i="6"/>
  <c r="B309" i="6"/>
  <c r="B378" i="6"/>
  <c r="G388" i="6"/>
  <c r="H388" i="6" s="1"/>
  <c r="B161" i="6"/>
  <c r="B162" i="6"/>
  <c r="B33" i="6"/>
  <c r="B34" i="6" s="1"/>
  <c r="B379" i="6" l="1"/>
  <c r="B35" i="6"/>
  <c r="B311" i="6"/>
  <c r="B250" i="6"/>
  <c r="E390" i="6"/>
  <c r="F390" i="6"/>
  <c r="C391" i="6"/>
  <c r="C392" i="6" s="1"/>
  <c r="C393" i="6" s="1"/>
  <c r="B164" i="6"/>
  <c r="B165" i="6" s="1"/>
  <c r="B166" i="6" l="1"/>
  <c r="B167" i="6"/>
  <c r="E393" i="6"/>
  <c r="F393" i="6"/>
  <c r="B168" i="6"/>
  <c r="B38" i="6"/>
  <c r="B39" i="6"/>
  <c r="B251" i="6"/>
  <c r="B252" i="6" s="1"/>
  <c r="B380" i="6"/>
  <c r="B37" i="6"/>
  <c r="C395" i="6"/>
  <c r="E392" i="6"/>
  <c r="F392" i="6"/>
  <c r="G392" i="6" s="1"/>
  <c r="H392" i="6" s="1"/>
  <c r="E391" i="6"/>
  <c r="F391" i="6"/>
  <c r="G390" i="6"/>
  <c r="H390" i="6" s="1"/>
  <c r="B312" i="6"/>
  <c r="B253" i="6" l="1"/>
  <c r="G391" i="6"/>
  <c r="H391" i="6" s="1"/>
  <c r="E395" i="6"/>
  <c r="F395" i="6"/>
  <c r="G395" i="6" s="1"/>
  <c r="H395" i="6" s="1"/>
  <c r="B41" i="6"/>
  <c r="B43" i="6" s="1"/>
  <c r="B313" i="6"/>
  <c r="B314" i="6" s="1"/>
  <c r="B254" i="6"/>
  <c r="C396" i="6"/>
  <c r="C397" i="6" s="1"/>
  <c r="B170" i="6"/>
  <c r="B382" i="6"/>
  <c r="B40" i="6"/>
  <c r="G393" i="6"/>
  <c r="H393" i="6" s="1"/>
  <c r="B315" i="6" l="1"/>
  <c r="E397" i="6"/>
  <c r="F397" i="6"/>
  <c r="B317" i="6"/>
  <c r="E396" i="6"/>
  <c r="F396" i="6"/>
  <c r="G396" i="6" s="1"/>
  <c r="H396" i="6" s="1"/>
  <c r="C398" i="6"/>
  <c r="B171" i="6"/>
  <c r="B256" i="6"/>
  <c r="B44" i="6"/>
  <c r="B383" i="6"/>
  <c r="B384" i="6" s="1"/>
  <c r="B385" i="6" s="1"/>
  <c r="B386" i="6" l="1"/>
  <c r="B257" i="6"/>
  <c r="B258" i="6"/>
  <c r="E398" i="6"/>
  <c r="F398" i="6"/>
  <c r="G398" i="6" s="1"/>
  <c r="H398" i="6" s="1"/>
  <c r="G397" i="6"/>
  <c r="H397" i="6" s="1"/>
  <c r="C399" i="6"/>
  <c r="C401" i="6" s="1"/>
  <c r="B45" i="6"/>
  <c r="B46" i="6" s="1"/>
  <c r="B172" i="6"/>
  <c r="B318" i="6"/>
  <c r="B319" i="6" l="1"/>
  <c r="E401" i="6"/>
  <c r="F401" i="6"/>
  <c r="B47" i="6"/>
  <c r="B173" i="6"/>
  <c r="B174" i="6" s="1"/>
  <c r="B259" i="6"/>
  <c r="B260" i="6" s="1"/>
  <c r="C402" i="6"/>
  <c r="E399" i="6"/>
  <c r="F399" i="6"/>
  <c r="G399" i="6" s="1"/>
  <c r="H399" i="6" s="1"/>
  <c r="B388" i="6"/>
  <c r="B389" i="6" s="1"/>
  <c r="B49" i="6" l="1"/>
  <c r="B50" i="6"/>
  <c r="E402" i="6"/>
  <c r="F402" i="6"/>
  <c r="G402" i="6" s="1"/>
  <c r="H402" i="6" s="1"/>
  <c r="G401" i="6"/>
  <c r="H401" i="6" s="1"/>
  <c r="B263" i="6"/>
  <c r="B176" i="6"/>
  <c r="B177" i="6" s="1"/>
  <c r="B320" i="6"/>
  <c r="B390" i="6"/>
  <c r="B391" i="6"/>
  <c r="B392" i="6"/>
  <c r="C403" i="6"/>
  <c r="B262" i="6"/>
  <c r="B51" i="6" l="1"/>
  <c r="B52" i="6" s="1"/>
  <c r="B53" i="6" s="1"/>
  <c r="B178" i="6"/>
  <c r="B179" i="6"/>
  <c r="B264" i="6"/>
  <c r="B393" i="6"/>
  <c r="C405" i="6"/>
  <c r="E403" i="6"/>
  <c r="F403" i="6"/>
  <c r="G403" i="6" s="1"/>
  <c r="H403" i="6" s="1"/>
  <c r="C404" i="6"/>
  <c r="B321" i="6"/>
  <c r="B323" i="6" l="1"/>
  <c r="E405" i="6"/>
  <c r="F405" i="6"/>
  <c r="G405" i="6" s="1"/>
  <c r="H405" i="6" s="1"/>
  <c r="B324" i="6"/>
  <c r="C407" i="6"/>
  <c r="C408" i="6" s="1"/>
  <c r="E404" i="6"/>
  <c r="F404" i="6"/>
  <c r="B180" i="6"/>
  <c r="B395" i="6"/>
  <c r="B265" i="6"/>
  <c r="C409" i="6" l="1"/>
  <c r="C410" i="6"/>
  <c r="C411" i="6" s="1"/>
  <c r="E407" i="6"/>
  <c r="F407" i="6"/>
  <c r="G407" i="6" s="1"/>
  <c r="H407" i="6" s="1"/>
  <c r="B396" i="6"/>
  <c r="B325" i="6"/>
  <c r="B326" i="6"/>
  <c r="B266" i="6"/>
  <c r="B268" i="6" s="1"/>
  <c r="B269" i="6" s="1"/>
  <c r="G404" i="6"/>
  <c r="H404" i="6" s="1"/>
  <c r="E408" i="6"/>
  <c r="F408" i="6"/>
  <c r="G408" i="6" s="1"/>
  <c r="H408" i="6" s="1"/>
  <c r="B182" i="6"/>
  <c r="B183" i="6" l="1"/>
  <c r="C413" i="6"/>
  <c r="E410" i="6"/>
  <c r="F410" i="6"/>
  <c r="G410" i="6" s="1"/>
  <c r="H410" i="6" s="1"/>
  <c r="C414" i="6"/>
  <c r="E411" i="6"/>
  <c r="F411" i="6"/>
  <c r="E409" i="6"/>
  <c r="F409" i="6"/>
  <c r="B327" i="6"/>
  <c r="B397" i="6"/>
  <c r="B270" i="6"/>
  <c r="B271" i="6" s="1"/>
  <c r="G409" i="6" l="1"/>
  <c r="H409" i="6" s="1"/>
  <c r="E414" i="6"/>
  <c r="F414" i="6"/>
  <c r="G414" i="6" s="1"/>
  <c r="H414" i="6" s="1"/>
  <c r="B398" i="6"/>
  <c r="C415" i="6"/>
  <c r="E413" i="6"/>
  <c r="F413" i="6"/>
  <c r="B184" i="6"/>
  <c r="B329" i="6"/>
  <c r="G411" i="6"/>
  <c r="H411" i="6" s="1"/>
  <c r="B272" i="6"/>
  <c r="B273" i="6" s="1"/>
  <c r="B185" i="6" l="1"/>
  <c r="B399" i="6"/>
  <c r="G413" i="6"/>
  <c r="H413" i="6" s="1"/>
  <c r="E415" i="6"/>
  <c r="F415" i="6"/>
  <c r="G415" i="6" s="1"/>
  <c r="H415" i="6" s="1"/>
  <c r="B330" i="6"/>
  <c r="B331" i="6"/>
  <c r="B332" i="6" l="1"/>
  <c r="B401" i="6"/>
  <c r="B186" i="6"/>
  <c r="B333" i="6" l="1"/>
  <c r="B188" i="6"/>
  <c r="B402" i="6"/>
  <c r="B335" i="6"/>
  <c r="B189" i="6" l="1"/>
  <c r="B403" i="6"/>
  <c r="B404" i="6" s="1"/>
  <c r="B336" i="6"/>
  <c r="B405" i="6" l="1"/>
  <c r="B407" i="6"/>
  <c r="B408" i="6" s="1"/>
  <c r="B190" i="6"/>
  <c r="B337" i="6"/>
  <c r="B338" i="6" l="1"/>
  <c r="B339" i="6" s="1"/>
  <c r="B341" i="6" s="1"/>
  <c r="B191" i="6"/>
  <c r="B192" i="6" s="1"/>
  <c r="B409" i="6"/>
  <c r="B194" i="6" l="1"/>
  <c r="B195" i="6" s="1"/>
  <c r="B410" i="6"/>
  <c r="B411" i="6" s="1"/>
  <c r="B196" i="6"/>
  <c r="B197" i="6" s="1"/>
  <c r="B342" i="6"/>
  <c r="B343" i="6" s="1"/>
  <c r="B344" i="6" l="1"/>
  <c r="B345" i="6" s="1"/>
  <c r="B198" i="6"/>
  <c r="B199" i="6" s="1"/>
  <c r="B413" i="6"/>
  <c r="B414" i="6" s="1"/>
  <c r="B4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Macias</author>
  </authors>
  <commentList>
    <comment ref="C28" authorId="0" shapeId="0" xr:uid="{A176D031-F79D-48DF-9EC1-79614D22708F}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this is commercial and industrial combined</t>
        </r>
      </text>
    </comment>
  </commentList>
</comments>
</file>

<file path=xl/sharedStrings.xml><?xml version="1.0" encoding="utf-8"?>
<sst xmlns="http://schemas.openxmlformats.org/spreadsheetml/2006/main" count="415" uniqueCount="121">
  <si>
    <t>Rate Design Section</t>
  </si>
  <si>
    <t>Cascade Natural Gas Corporation</t>
  </si>
  <si>
    <t xml:space="preserve"> </t>
  </si>
  <si>
    <t>Washington Jurisdiction</t>
  </si>
  <si>
    <t>Test Year Ended December 31, 2019</t>
  </si>
  <si>
    <t>Summary of Revenue by Rate Class</t>
  </si>
  <si>
    <t>Present and Proposed Rates</t>
  </si>
  <si>
    <t>Revenues</t>
  </si>
  <si>
    <t>Customer Class</t>
  </si>
  <si>
    <t>Current</t>
  </si>
  <si>
    <t>Proposed</t>
  </si>
  <si>
    <t>$ Difference</t>
  </si>
  <si>
    <t>% Difference</t>
  </si>
  <si>
    <t>Residential - 503</t>
  </si>
  <si>
    <t>Basic Service Charge</t>
  </si>
  <si>
    <t>Delivery Charge</t>
  </si>
  <si>
    <t>Commercial - 504</t>
  </si>
  <si>
    <t>Industrial - Firm 505</t>
  </si>
  <si>
    <t>Com-Ind Dual Service 511</t>
  </si>
  <si>
    <t>n/a</t>
  </si>
  <si>
    <t>Interruptible General 570</t>
  </si>
  <si>
    <t>Demand Charge</t>
  </si>
  <si>
    <t>General Distribution - 663</t>
  </si>
  <si>
    <t>TOTAL</t>
  </si>
  <si>
    <t>Analysis of Revenue by Detailed Rate Schedule</t>
  </si>
  <si>
    <t>Current Adjusted Test Year Revenues</t>
  </si>
  <si>
    <t>Proposed Revenues</t>
  </si>
  <si>
    <t>Difference</t>
  </si>
  <si>
    <t>Adjusted Billing Units*</t>
  </si>
  <si>
    <t>Adjusted Current Rate</t>
  </si>
  <si>
    <t>Revenue</t>
  </si>
  <si>
    <t>Proposed Rates</t>
  </si>
  <si>
    <t>$ Amount</t>
  </si>
  <si>
    <t>% Amount</t>
  </si>
  <si>
    <t>General Commercial - 504</t>
  </si>
  <si>
    <t>General Industrial - 505</t>
  </si>
  <si>
    <t>Delivery Charge First 500 Therms</t>
  </si>
  <si>
    <t>Delivery Charge Next 3,500 Therms</t>
  </si>
  <si>
    <t>Delivery Charge &gt; 4,000 Therms</t>
  </si>
  <si>
    <t>Large Volume General Service - 511</t>
  </si>
  <si>
    <t xml:space="preserve">  Margin First 20,000 Therms</t>
  </si>
  <si>
    <t xml:space="preserve">  Margin Next 80,000 Therms</t>
  </si>
  <si>
    <t xml:space="preserve">  Margin&gt; 100,000 Therms</t>
  </si>
  <si>
    <t>Non-Core Industrial 663</t>
  </si>
  <si>
    <t xml:space="preserve">  Basic Service Charge</t>
  </si>
  <si>
    <t xml:space="preserve">  Contract Demand Charge</t>
  </si>
  <si>
    <t xml:space="preserve">  System Balancing Charge</t>
  </si>
  <si>
    <t xml:space="preserve"> Delivery Charge First 100,000 Therms</t>
  </si>
  <si>
    <t>Delivery Charge Next 200,000 Therms</t>
  </si>
  <si>
    <t>Delivery Charge - over 500,000 therms</t>
  </si>
  <si>
    <t>Interruptible Service - 570</t>
  </si>
  <si>
    <t xml:space="preserve">  Margin First 30,000 Therms</t>
  </si>
  <si>
    <t xml:space="preserve">  Margin &gt; 30,000 Therms</t>
  </si>
  <si>
    <t>* Delivery Charge units are in therms</t>
  </si>
  <si>
    <t>Line</t>
  </si>
  <si>
    <t>No.</t>
  </si>
  <si>
    <t>(a)</t>
  </si>
  <si>
    <t>(b)</t>
  </si>
  <si>
    <t>(c)</t>
  </si>
  <si>
    <t>(d)</t>
  </si>
  <si>
    <t>(e)</t>
  </si>
  <si>
    <t>(f)</t>
  </si>
  <si>
    <t>Present</t>
  </si>
  <si>
    <t>Rates</t>
  </si>
  <si>
    <t>Rate Schedules</t>
  </si>
  <si>
    <t>Rate</t>
  </si>
  <si>
    <t>Effective Date</t>
  </si>
  <si>
    <t>PGA WACOG</t>
  </si>
  <si>
    <t xml:space="preserve">Decoupling </t>
  </si>
  <si>
    <t>Tax Credit</t>
  </si>
  <si>
    <t>Temp., Low Income, Cons., CRM</t>
  </si>
  <si>
    <t>Other Rates</t>
  </si>
  <si>
    <t>Cons, CRM</t>
  </si>
  <si>
    <t>Total</t>
  </si>
  <si>
    <t>Average</t>
  </si>
  <si>
    <t>Revenue at</t>
  </si>
  <si>
    <t>Monthly Bill Change</t>
  </si>
  <si>
    <t>therms per</t>
  </si>
  <si>
    <t>Month</t>
  </si>
  <si>
    <t>Customer</t>
  </si>
  <si>
    <t>Amount</t>
  </si>
  <si>
    <t>Percent</t>
  </si>
  <si>
    <t>Therms</t>
  </si>
  <si>
    <t>customers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</si>
  <si>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</si>
  <si>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</si>
  <si>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</si>
  <si>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</si>
  <si>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</si>
  <si>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</si>
  <si>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</si>
  <si>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</si>
  <si>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</si>
  <si>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</si>
  <si>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</si>
  <si>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</si>
  <si>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Average</t>
  </si>
  <si>
    <t>Commercial Impact by Month</t>
  </si>
  <si>
    <t>Monthly Consumption</t>
  </si>
  <si>
    <t>Revenue Change</t>
  </si>
  <si>
    <t>(therms)</t>
  </si>
  <si>
    <t>Present Rates</t>
  </si>
  <si>
    <t>PGA Rate</t>
  </si>
  <si>
    <t>Temp., Low Income,</t>
  </si>
  <si>
    <t>First 500 therms</t>
  </si>
  <si>
    <t>Next 3,500 therms</t>
  </si>
  <si>
    <t>Over 4,000 therms</t>
  </si>
  <si>
    <t>First 20,000 therms</t>
  </si>
  <si>
    <t>Next 80,000 therms</t>
  </si>
  <si>
    <t>Over 100,000 therms</t>
  </si>
  <si>
    <t>First 30,000 therms</t>
  </si>
  <si>
    <t>Over 30,000 therms</t>
  </si>
  <si>
    <t>Contract Demand</t>
  </si>
  <si>
    <t>First 10,000 therms</t>
  </si>
  <si>
    <t>Next 10,000 therms</t>
  </si>
  <si>
    <t>Next 30,000 therms</t>
  </si>
  <si>
    <t>Next 50,000 therms</t>
  </si>
  <si>
    <t>Next 400,000 therms</t>
  </si>
  <si>
    <t>Next 500,000 therms</t>
  </si>
  <si>
    <t>Over 1,000,000 therms</t>
  </si>
  <si>
    <t>Base Rate Increase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</si>
</sst>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.00"/>
    <numFmt numFmtId="168" formatCode="&quot;$&quot;#,##0.00000"/>
    <numFmt numFmtId="169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Helv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4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9" xfId="0" applyFont="1" applyBorder="1"/>
    <xf numFmtId="0" fontId="5" fillId="0" borderId="10" xfId="0" applyFont="1" applyBorder="1"/>
    <xf numFmtId="0" fontId="8" fillId="0" borderId="11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left" indent="1"/>
    </xf>
    <xf numFmtId="164" fontId="5" fillId="0" borderId="0" xfId="2" applyNumberFormat="1" applyFont="1"/>
    <xf numFmtId="165" fontId="5" fillId="0" borderId="12" xfId="3" applyNumberFormat="1" applyFont="1" applyBorder="1" applyAlignment="1">
      <alignment horizontal="center"/>
    </xf>
    <xf numFmtId="166" fontId="5" fillId="0" borderId="0" xfId="1" applyNumberFormat="1" applyFont="1"/>
    <xf numFmtId="0" fontId="4" fillId="0" borderId="5" xfId="0" applyFont="1" applyBorder="1" applyAlignment="1">
      <alignment horizontal="left" indent="2"/>
    </xf>
    <xf numFmtId="164" fontId="9" fillId="0" borderId="13" xfId="2" applyNumberFormat="1" applyFont="1" applyBorder="1"/>
    <xf numFmtId="165" fontId="5" fillId="0" borderId="14" xfId="3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indent="1"/>
    </xf>
    <xf numFmtId="164" fontId="4" fillId="0" borderId="13" xfId="0" applyNumberFormat="1" applyFont="1" applyBorder="1"/>
    <xf numFmtId="0" fontId="5" fillId="0" borderId="14" xfId="0" applyFont="1" applyBorder="1"/>
    <xf numFmtId="43" fontId="5" fillId="0" borderId="0" xfId="1" applyFont="1"/>
    <xf numFmtId="10" fontId="5" fillId="0" borderId="0" xfId="3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43" fontId="5" fillId="0" borderId="0" xfId="0" applyNumberFormat="1" applyFont="1"/>
    <xf numFmtId="0" fontId="4" fillId="0" borderId="15" xfId="0" applyFont="1" applyBorder="1"/>
    <xf numFmtId="0" fontId="4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166" fontId="4" fillId="0" borderId="6" xfId="1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5" fillId="0" borderId="24" xfId="0" applyFont="1" applyBorder="1"/>
    <xf numFmtId="166" fontId="5" fillId="0" borderId="11" xfId="1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horizontal="center"/>
    </xf>
    <xf numFmtId="0" fontId="8" fillId="0" borderId="26" xfId="0" applyFont="1" applyBorder="1"/>
    <xf numFmtId="166" fontId="5" fillId="0" borderId="0" xfId="0" applyNumberFormat="1" applyFont="1"/>
    <xf numFmtId="0" fontId="5" fillId="0" borderId="27" xfId="0" applyFont="1" applyBorder="1"/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left" indent="1"/>
    </xf>
    <xf numFmtId="166" fontId="5" fillId="0" borderId="0" xfId="1" applyNumberFormat="1" applyFont="1" applyBorder="1"/>
    <xf numFmtId="167" fontId="5" fillId="0" borderId="0" xfId="1" applyNumberFormat="1" applyFont="1" applyBorder="1"/>
    <xf numFmtId="164" fontId="5" fillId="0" borderId="0" xfId="2" applyNumberFormat="1" applyFont="1" applyBorder="1"/>
    <xf numFmtId="167" fontId="5" fillId="2" borderId="0" xfId="1" applyNumberFormat="1" applyFont="1" applyFill="1" applyBorder="1"/>
    <xf numFmtId="164" fontId="5" fillId="0" borderId="27" xfId="2" applyNumberFormat="1" applyFont="1" applyBorder="1"/>
    <xf numFmtId="165" fontId="5" fillId="0" borderId="27" xfId="3" applyNumberFormat="1" applyFont="1" applyBorder="1" applyAlignment="1">
      <alignment horizontal="center"/>
    </xf>
    <xf numFmtId="168" fontId="5" fillId="0" borderId="0" xfId="1" applyNumberFormat="1" applyFont="1" applyBorder="1"/>
    <xf numFmtId="168" fontId="5" fillId="2" borderId="0" xfId="1" applyNumberFormat="1" applyFont="1" applyFill="1" applyBorder="1"/>
    <xf numFmtId="43" fontId="10" fillId="0" borderId="0" xfId="1" applyFont="1"/>
    <xf numFmtId="0" fontId="4" fillId="0" borderId="26" xfId="0" applyFont="1" applyBorder="1" applyAlignment="1">
      <alignment horizontal="left" indent="2"/>
    </xf>
    <xf numFmtId="164" fontId="11" fillId="0" borderId="0" xfId="2" applyNumberFormat="1" applyFont="1" applyBorder="1"/>
    <xf numFmtId="164" fontId="4" fillId="0" borderId="28" xfId="2" applyNumberFormat="1" applyFont="1" applyBorder="1"/>
    <xf numFmtId="166" fontId="4" fillId="0" borderId="11" xfId="1" applyNumberFormat="1" applyFont="1" applyBorder="1"/>
    <xf numFmtId="164" fontId="4" fillId="0" borderId="0" xfId="2" applyNumberFormat="1" applyFont="1" applyBorder="1"/>
    <xf numFmtId="164" fontId="4" fillId="0" borderId="29" xfId="2" applyNumberFormat="1" applyFont="1" applyBorder="1"/>
    <xf numFmtId="164" fontId="4" fillId="0" borderId="30" xfId="2" applyNumberFormat="1" applyFont="1" applyBorder="1"/>
    <xf numFmtId="164" fontId="9" fillId="0" borderId="0" xfId="2" applyNumberFormat="1" applyFont="1" applyBorder="1"/>
    <xf numFmtId="166" fontId="9" fillId="0" borderId="5" xfId="1" applyNumberFormat="1" applyFont="1" applyBorder="1"/>
    <xf numFmtId="164" fontId="9" fillId="0" borderId="31" xfId="2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5" fillId="0" borderId="26" xfId="0" applyFont="1" applyBorder="1"/>
    <xf numFmtId="167" fontId="5" fillId="0" borderId="0" xfId="2" applyNumberFormat="1" applyFont="1" applyBorder="1"/>
    <xf numFmtId="168" fontId="5" fillId="0" borderId="0" xfId="2" applyNumberFormat="1" applyFont="1" applyBorder="1"/>
    <xf numFmtId="168" fontId="5" fillId="0" borderId="0" xfId="0" applyNumberFormat="1" applyFont="1"/>
    <xf numFmtId="165" fontId="5" fillId="0" borderId="0" xfId="3" applyNumberFormat="1" applyFont="1"/>
    <xf numFmtId="10" fontId="5" fillId="0" borderId="0" xfId="0" applyNumberFormat="1" applyFont="1"/>
    <xf numFmtId="43" fontId="5" fillId="0" borderId="0" xfId="1" applyFont="1" applyBorder="1"/>
    <xf numFmtId="164" fontId="4" fillId="0" borderId="0" xfId="0" applyNumberFormat="1" applyFont="1"/>
    <xf numFmtId="166" fontId="5" fillId="0" borderId="32" xfId="1" applyNumberFormat="1" applyFont="1" applyBorder="1"/>
    <xf numFmtId="0" fontId="4" fillId="0" borderId="33" xfId="0" applyFont="1" applyBorder="1" applyAlignment="1">
      <alignment horizontal="left" indent="2"/>
    </xf>
    <xf numFmtId="164" fontId="9" fillId="0" borderId="34" xfId="2" applyNumberFormat="1" applyFont="1" applyBorder="1"/>
    <xf numFmtId="166" fontId="9" fillId="0" borderId="34" xfId="1" applyNumberFormat="1" applyFont="1" applyBorder="1"/>
    <xf numFmtId="164" fontId="9" fillId="0" borderId="33" xfId="2" applyNumberFormat="1" applyFont="1" applyBorder="1"/>
    <xf numFmtId="164" fontId="9" fillId="0" borderId="35" xfId="2" applyNumberFormat="1" applyFont="1" applyBorder="1"/>
    <xf numFmtId="9" fontId="5" fillId="0" borderId="35" xfId="3" applyFont="1" applyBorder="1" applyAlignment="1">
      <alignment horizontal="center"/>
    </xf>
    <xf numFmtId="0" fontId="4" fillId="0" borderId="0" xfId="0" applyFont="1" applyAlignment="1">
      <alignment horizontal="left" indent="2"/>
    </xf>
    <xf numFmtId="166" fontId="9" fillId="0" borderId="0" xfId="1" applyNumberFormat="1" applyFont="1" applyBorder="1"/>
    <xf numFmtId="9" fontId="5" fillId="0" borderId="0" xfId="3" applyFont="1" applyBorder="1" applyAlignment="1">
      <alignment horizontal="center"/>
    </xf>
    <xf numFmtId="0" fontId="4" fillId="0" borderId="13" xfId="0" applyFont="1" applyBorder="1" applyAlignment="1">
      <alignment horizontal="left" indent="2"/>
    </xf>
    <xf numFmtId="166" fontId="9" fillId="0" borderId="13" xfId="1" applyNumberFormat="1" applyFont="1" applyBorder="1"/>
    <xf numFmtId="9" fontId="5" fillId="0" borderId="13" xfId="3" applyFont="1" applyBorder="1" applyAlignment="1">
      <alignment horizontal="center"/>
    </xf>
    <xf numFmtId="169" fontId="5" fillId="0" borderId="0" xfId="3" applyNumberFormat="1" applyFont="1"/>
    <xf numFmtId="166" fontId="5" fillId="3" borderId="0" xfId="1" applyNumberFormat="1" applyFont="1" applyFill="1"/>
    <xf numFmtId="0" fontId="15" fillId="0" borderId="0" xfId="4" applyFont="1"/>
    <xf numFmtId="0" fontId="16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15" xfId="0" applyFont="1" applyBorder="1"/>
    <xf numFmtId="0" fontId="5" fillId="0" borderId="36" xfId="0" applyFont="1" applyBorder="1"/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167" fontId="5" fillId="0" borderId="0" xfId="0" applyNumberFormat="1" applyFont="1"/>
    <xf numFmtId="167" fontId="5" fillId="0" borderId="27" xfId="0" applyNumberFormat="1" applyFont="1" applyBorder="1"/>
    <xf numFmtId="14" fontId="5" fillId="4" borderId="0" xfId="0" applyNumberFormat="1" applyFont="1" applyFill="1"/>
    <xf numFmtId="168" fontId="5" fillId="0" borderId="27" xfId="0" applyNumberFormat="1" applyFont="1" applyBorder="1"/>
    <xf numFmtId="0" fontId="5" fillId="0" borderId="33" xfId="0" applyFont="1" applyBorder="1"/>
    <xf numFmtId="0" fontId="5" fillId="0" borderId="34" xfId="0" applyFont="1" applyBorder="1"/>
    <xf numFmtId="168" fontId="5" fillId="0" borderId="34" xfId="0" applyNumberFormat="1" applyFont="1" applyBorder="1"/>
    <xf numFmtId="168" fontId="5" fillId="0" borderId="35" xfId="0" applyNumberFormat="1" applyFont="1" applyBorder="1"/>
    <xf numFmtId="0" fontId="17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166" fontId="5" fillId="0" borderId="0" xfId="1" applyNumberFormat="1" applyFont="1" applyAlignment="1">
      <alignment horizontal="center"/>
    </xf>
    <xf numFmtId="44" fontId="5" fillId="0" borderId="0" xfId="2" applyFont="1"/>
    <xf numFmtId="166" fontId="5" fillId="4" borderId="15" xfId="1" applyNumberFormat="1" applyFont="1" applyFill="1" applyBorder="1" applyAlignment="1">
      <alignment horizontal="center"/>
    </xf>
    <xf numFmtId="166" fontId="5" fillId="4" borderId="37" xfId="1" applyNumberFormat="1" applyFont="1" applyFill="1" applyBorder="1"/>
    <xf numFmtId="166" fontId="5" fillId="4" borderId="26" xfId="1" applyNumberFormat="1" applyFont="1" applyFill="1" applyBorder="1" applyAlignment="1">
      <alignment horizontal="center"/>
    </xf>
    <xf numFmtId="0" fontId="5" fillId="4" borderId="27" xfId="0" applyFont="1" applyFill="1" applyBorder="1"/>
    <xf numFmtId="166" fontId="17" fillId="0" borderId="0" xfId="1" applyNumberFormat="1" applyFont="1" applyAlignment="1">
      <alignment horizontal="center"/>
    </xf>
    <xf numFmtId="44" fontId="17" fillId="0" borderId="0" xfId="2" applyFont="1" applyAlignment="1">
      <alignment horizontal="center"/>
    </xf>
    <xf numFmtId="166" fontId="5" fillId="4" borderId="33" xfId="1" applyNumberFormat="1" applyFont="1" applyFill="1" applyBorder="1" applyAlignment="1">
      <alignment horizontal="center"/>
    </xf>
    <xf numFmtId="0" fontId="5" fillId="4" borderId="35" xfId="0" applyFont="1" applyFill="1" applyBorder="1"/>
    <xf numFmtId="166" fontId="9" fillId="0" borderId="0" xfId="0" applyNumberFormat="1" applyFont="1"/>
    <xf numFmtId="44" fontId="9" fillId="0" borderId="0" xfId="2" applyFont="1"/>
    <xf numFmtId="44" fontId="5" fillId="0" borderId="0" xfId="0" applyNumberFormat="1" applyFont="1"/>
    <xf numFmtId="3" fontId="5" fillId="0" borderId="0" xfId="0" applyNumberFormat="1" applyFont="1"/>
    <xf numFmtId="168" fontId="5" fillId="4" borderId="34" xfId="0" applyNumberFormat="1" applyFont="1" applyFill="1" applyBorder="1"/>
    <xf numFmtId="167" fontId="5" fillId="0" borderId="0" xfId="2" applyNumberFormat="1" applyFont="1" applyAlignment="1">
      <alignment horizontal="center"/>
    </xf>
    <xf numFmtId="10" fontId="5" fillId="0" borderId="0" xfId="3" applyNumberFormat="1" applyFont="1" applyAlignment="1">
      <alignment horizontal="center"/>
    </xf>
    <xf numFmtId="167" fontId="5" fillId="0" borderId="0" xfId="2" applyNumberFormat="1" applyFont="1"/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3" fontId="5" fillId="5" borderId="38" xfId="1" applyNumberFormat="1" applyFont="1" applyFill="1" applyBorder="1"/>
    <xf numFmtId="3" fontId="5" fillId="5" borderId="39" xfId="1" applyNumberFormat="1" applyFont="1" applyFill="1" applyBorder="1"/>
    <xf numFmtId="3" fontId="5" fillId="5" borderId="4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RD2001" xfId="4" xr:uid="{7CE2EEB0-574D-4031-8025-5512B86CB23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alice.peters/AppData/Local/Microsoft/Windows/INetCache/Content.Outlook/V8BB7G0Y/Cascade%20GRC%20Model%20(WA)%20-%20Supplemental%20Inital%20Filing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WEATHER%20DATA/Weather%20Normalization/2016/WA%2065%20HDD%20NOAA/2016-12%20WA%20Weather%20Normalization%2065%20HDD%20-%20Copy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Title"/>
      <sheetName val="Summary of Request"/>
      <sheetName val="Summary Bill Impacts"/>
      <sheetName val="Schedule"/>
      <sheetName val="Proof ---&gt;"/>
      <sheetName val="Exh 2, Proof of Revenue"/>
      <sheetName val="Exh 3, Revenue Adjustments"/>
      <sheetName val="Exh 4, Revenue Distribution"/>
      <sheetName val="Exh 5, Decoupling"/>
      <sheetName val="Proof WPs ---&gt;"/>
      <sheetName val="1501 Summary"/>
      <sheetName val="Revenue Reconcilliation"/>
      <sheetName val="End of Period Calculations"/>
      <sheetName val="Allocation Report Summary 2019"/>
      <sheetName val="Weather Normalization"/>
      <sheetName val="WACAP 2019"/>
      <sheetName val="2020 New Customers"/>
      <sheetName val="Billing Correction"/>
      <sheetName val="Rev Req ---&gt;"/>
      <sheetName val="Exh 6, ROO Summary Sheet"/>
      <sheetName val="Exh 7, Rev Req Calc"/>
      <sheetName val="Exh 8, Conversion Factor"/>
      <sheetName val="Exh 9, Summary of Adj"/>
      <sheetName val="Exh 10, Plant Additions"/>
      <sheetName val="Exh 11, Supporting Explanations"/>
      <sheetName val="RR WPs ---&gt;"/>
      <sheetName val="Exhibit PCD-2"/>
      <sheetName val="Operating Report"/>
      <sheetName val="Rate Base"/>
      <sheetName val="Plant in Serv &amp; Accum Depr"/>
      <sheetName val="Adv for Const. &amp; Def Tax"/>
      <sheetName val="Capital Structure Calculation"/>
      <sheetName val="State Allocation Formulas"/>
      <sheetName val="Annualize CRM Adjustment"/>
      <sheetName val="Advertising Adj"/>
      <sheetName val="Restate Revenues Adjustment"/>
      <sheetName val="EOP Revenue Adjustment"/>
      <sheetName val="EOP Depreciation Expense Adj"/>
      <sheetName val="Restate &amp; Pro Forma Wage Adjust"/>
      <sheetName val="Executive Incentives"/>
      <sheetName val="Interest Coord. Adj."/>
      <sheetName val="Pro Forma Plant Additions"/>
      <sheetName val="MAOP UG-160787 Deferral"/>
      <sheetName val=" Working Capital (AMA)"/>
      <sheetName val="Cost of Service ---&gt;"/>
      <sheetName val="Cover (2)"/>
      <sheetName val="Exh 12, A - RR Cross-reference "/>
      <sheetName val="Exh 13, B - COS results"/>
      <sheetName val="Exh 14,C-COS allocation factors"/>
      <sheetName val="Exh 15,D-Summary of adjustments"/>
      <sheetName val="Exh 16, E-Summary of results"/>
      <sheetName val="COS WPs ---&gt;"/>
      <sheetName val="Input"/>
      <sheetName val="Functions"/>
      <sheetName val="Classify"/>
      <sheetName val="C_Supp Demand"/>
      <sheetName val="C_Supp Comm"/>
      <sheetName val="C_Supp Cust"/>
      <sheetName val="C_Stor Demand"/>
      <sheetName val="C_Stor Comm"/>
      <sheetName val="C_Stor Cust"/>
      <sheetName val="Tran Demand"/>
      <sheetName val="Tran Comm"/>
      <sheetName val="Tran Cust"/>
      <sheetName val="Dist Demand"/>
      <sheetName val="Dist Comm"/>
      <sheetName val="Dist Cust"/>
      <sheetName val="BBA Demand"/>
      <sheetName val="BBA Comm"/>
      <sheetName val="BBA Cust"/>
      <sheetName val="Gather Demand"/>
      <sheetName val="Gather Comm"/>
      <sheetName val="Gather Cust"/>
      <sheetName val="CommColl Demand"/>
      <sheetName val="CommColl Comm"/>
      <sheetName val="CommColl Cust"/>
      <sheetName val="Func8 Demand"/>
      <sheetName val="Func8 Comm"/>
      <sheetName val="Func8 Cust"/>
      <sheetName val="Total"/>
      <sheetName val="Quick List"/>
      <sheetName val="Factors"/>
      <sheetName val="Open"/>
      <sheetName val="Registry"/>
      <sheetName val="RJA-2"/>
      <sheetName val="RJA-3"/>
      <sheetName val="Unit Cost"/>
      <sheetName val="Verify"/>
      <sheetName val="Rate Design ---&gt;"/>
      <sheetName val="Exh 17, Class Revenue"/>
      <sheetName val="Exh 18, Class Rates"/>
      <sheetName val="Exh 19, RES Monthly Impact"/>
      <sheetName val="Exh 19a COM Monthly Impact"/>
      <sheetName val="Exh 20, Bill Impacts"/>
      <sheetName val="RD WPs ---&gt;"/>
    </sheetNames>
    <sheetDataSet>
      <sheetData sheetId="0" refreshError="1"/>
      <sheetData sheetId="1" refreshError="1"/>
      <sheetData sheetId="2">
        <row r="2">
          <cell r="A2" t="str">
            <v>Cascade Natural Gas Corp.</v>
          </cell>
        </row>
        <row r="5">
          <cell r="A5" t="str">
            <v>General Rate Case Model</v>
          </cell>
        </row>
        <row r="8">
          <cell r="A8" t="str">
            <v>Embedded Cost of Service (ECOS) Study</v>
          </cell>
        </row>
      </sheetData>
      <sheetData sheetId="3" refreshError="1"/>
      <sheetData sheetId="4" refreshError="1"/>
      <sheetData sheetId="5">
        <row r="3">
          <cell r="G3">
            <v>43696</v>
          </cell>
        </row>
        <row r="4">
          <cell r="G4">
            <v>0</v>
          </cell>
        </row>
      </sheetData>
      <sheetData sheetId="6" refreshError="1"/>
      <sheetData sheetId="7">
        <row r="7">
          <cell r="K7">
            <v>2321731.12</v>
          </cell>
        </row>
      </sheetData>
      <sheetData sheetId="8" refreshError="1"/>
      <sheetData sheetId="9">
        <row r="7">
          <cell r="F7">
            <v>0.36344290521131306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E4">
            <v>21127127.921285022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E5">
            <v>1</v>
          </cell>
        </row>
      </sheetData>
      <sheetData sheetId="55">
        <row r="4">
          <cell r="B4" t="str">
            <v>Step 1</v>
          </cell>
        </row>
        <row r="5">
          <cell r="C5" t="str">
            <v>All Totals Intact =</v>
          </cell>
        </row>
        <row r="6">
          <cell r="A6" t="str">
            <v>CONFIDENTIAL MATERIAL</v>
          </cell>
          <cell r="C6" t="str">
            <v xml:space="preserve">All Allocators Found = </v>
          </cell>
        </row>
        <row r="7">
          <cell r="A7" t="str">
            <v>Protective Order Requested 8/31/2017</v>
          </cell>
          <cell r="F7" t="str">
            <v>Functional</v>
          </cell>
        </row>
        <row r="8">
          <cell r="B8" t="str">
            <v>Account</v>
          </cell>
          <cell r="C8" t="str">
            <v>Account</v>
          </cell>
          <cell r="E8" t="str">
            <v>Account</v>
          </cell>
          <cell r="F8" t="str">
            <v>Allocation</v>
          </cell>
        </row>
        <row r="9">
          <cell r="B9" t="str">
            <v>Description</v>
          </cell>
          <cell r="C9" t="str">
            <v>Code</v>
          </cell>
          <cell r="E9" t="str">
            <v>Balance</v>
          </cell>
          <cell r="F9" t="str">
            <v>Factor</v>
          </cell>
          <cell r="G9" t="str">
            <v>Gas Supply</v>
          </cell>
          <cell r="H9" t="str">
            <v>Storage</v>
          </cell>
          <cell r="I9" t="str">
            <v>Transmission</v>
          </cell>
          <cell r="J9" t="str">
            <v>Distribution</v>
          </cell>
          <cell r="K9" t="str">
            <v>BB&amp;A</v>
          </cell>
          <cell r="L9" t="str">
            <v>Gathering</v>
          </cell>
          <cell r="M9" t="str">
            <v>Function7</v>
          </cell>
          <cell r="N9" t="str">
            <v>Function8</v>
          </cell>
          <cell r="P9" t="str">
            <v>check total</v>
          </cell>
        </row>
        <row r="11">
          <cell r="E11" t="str">
            <v xml:space="preserve"> </v>
          </cell>
        </row>
        <row r="12">
          <cell r="B12" t="str">
            <v>I. GAS PLANT IN SERVICE</v>
          </cell>
        </row>
        <row r="14">
          <cell r="B14" t="str">
            <v>A. INTANGIBLE PLANT</v>
          </cell>
        </row>
        <row r="16">
          <cell r="A16">
            <v>1</v>
          </cell>
          <cell r="B16" t="str">
            <v>Organization</v>
          </cell>
          <cell r="C16" t="str">
            <v>301</v>
          </cell>
          <cell r="E16">
            <v>114489.28441466672</v>
          </cell>
          <cell r="F16" t="str">
            <v>PSTDP</v>
          </cell>
          <cell r="P16">
            <v>0</v>
          </cell>
          <cell r="R16">
            <v>50</v>
          </cell>
        </row>
        <row r="17">
          <cell r="A17">
            <v>2</v>
          </cell>
          <cell r="B17" t="str">
            <v>Franchise and Consents</v>
          </cell>
          <cell r="C17" t="str">
            <v>302</v>
          </cell>
          <cell r="E17">
            <v>138157.94999999998</v>
          </cell>
          <cell r="F17" t="str">
            <v>PSTDP</v>
          </cell>
          <cell r="P17">
            <v>0</v>
          </cell>
          <cell r="R17">
            <v>50</v>
          </cell>
        </row>
        <row r="18">
          <cell r="A18">
            <v>3</v>
          </cell>
          <cell r="B18" t="str">
            <v>Miscellaneous Intangible Plant - Plant Related</v>
          </cell>
          <cell r="C18" t="str">
            <v>303</v>
          </cell>
          <cell r="E18">
            <v>7468710.8487851443</v>
          </cell>
          <cell r="F18" t="str">
            <v>PSTDP</v>
          </cell>
          <cell r="P18">
            <v>0</v>
          </cell>
          <cell r="R18">
            <v>50</v>
          </cell>
        </row>
        <row r="19">
          <cell r="A19">
            <v>4</v>
          </cell>
          <cell r="B19" t="str">
            <v>Miscellaneous Intangible Plant - Throughput Related</v>
          </cell>
          <cell r="C19" t="str">
            <v>303</v>
          </cell>
          <cell r="E19">
            <v>3170904.2847735365</v>
          </cell>
          <cell r="F19" t="str">
            <v>TRANS</v>
          </cell>
          <cell r="P19">
            <v>0</v>
          </cell>
          <cell r="R19">
            <v>14</v>
          </cell>
        </row>
        <row r="20">
          <cell r="A20">
            <v>5</v>
          </cell>
          <cell r="B20" t="str">
            <v>Miscellaneous Intangible Plant - Cust Related</v>
          </cell>
          <cell r="C20" t="str">
            <v>303</v>
          </cell>
          <cell r="E20">
            <v>15930474.109187033</v>
          </cell>
          <cell r="F20" t="str">
            <v>DIST</v>
          </cell>
          <cell r="P20">
            <v>0</v>
          </cell>
          <cell r="R20">
            <v>17</v>
          </cell>
        </row>
        <row r="21">
          <cell r="A21">
            <v>6</v>
          </cell>
          <cell r="B21" t="str">
            <v>Subtotal - INTANGIBLE PLANT</v>
          </cell>
          <cell r="C21" t="str">
            <v>301-303</v>
          </cell>
          <cell r="E21">
            <v>26822736.477160379</v>
          </cell>
          <cell r="P21">
            <v>0</v>
          </cell>
        </row>
        <row r="22">
          <cell r="A22">
            <v>7</v>
          </cell>
        </row>
        <row r="23">
          <cell r="A23">
            <v>8</v>
          </cell>
          <cell r="B23" t="str">
            <v>B. PRODUCTION PLANT</v>
          </cell>
        </row>
        <row r="24">
          <cell r="A24">
            <v>9</v>
          </cell>
        </row>
        <row r="25">
          <cell r="A25">
            <v>10</v>
          </cell>
          <cell r="B25" t="str">
            <v>Other Land &amp; Land Rights-Land</v>
          </cell>
          <cell r="C25">
            <v>325</v>
          </cell>
          <cell r="E25">
            <v>0</v>
          </cell>
          <cell r="F25" t="str">
            <v>SUPP</v>
          </cell>
          <cell r="P25">
            <v>0</v>
          </cell>
          <cell r="R25">
            <v>8</v>
          </cell>
        </row>
        <row r="26">
          <cell r="A26">
            <v>11</v>
          </cell>
          <cell r="B26" t="str">
            <v>Gas Well Structures</v>
          </cell>
          <cell r="C26">
            <v>326</v>
          </cell>
          <cell r="E26">
            <v>0</v>
          </cell>
          <cell r="F26" t="str">
            <v>SUPP</v>
          </cell>
          <cell r="P26">
            <v>0</v>
          </cell>
          <cell r="R26">
            <v>8</v>
          </cell>
        </row>
        <row r="27">
          <cell r="A27">
            <v>12</v>
          </cell>
          <cell r="B27" t="str">
            <v>Field Compressor Station Structures</v>
          </cell>
          <cell r="C27">
            <v>327</v>
          </cell>
          <cell r="E27">
            <v>0</v>
          </cell>
          <cell r="F27" t="str">
            <v>SUPP</v>
          </cell>
          <cell r="P27">
            <v>0</v>
          </cell>
          <cell r="R27">
            <v>8</v>
          </cell>
        </row>
        <row r="28">
          <cell r="A28">
            <v>13</v>
          </cell>
          <cell r="B28" t="str">
            <v>Field M&amp;R Station Structures</v>
          </cell>
          <cell r="C28">
            <v>328</v>
          </cell>
          <cell r="E28">
            <v>0</v>
          </cell>
          <cell r="F28" t="str">
            <v>SUPP</v>
          </cell>
          <cell r="P28">
            <v>0</v>
          </cell>
          <cell r="R28">
            <v>8</v>
          </cell>
        </row>
        <row r="29">
          <cell r="A29">
            <v>14</v>
          </cell>
          <cell r="B29" t="str">
            <v>Other Structures</v>
          </cell>
          <cell r="C29">
            <v>329</v>
          </cell>
          <cell r="E29">
            <v>0</v>
          </cell>
          <cell r="F29" t="str">
            <v>SUPP</v>
          </cell>
          <cell r="P29">
            <v>0</v>
          </cell>
          <cell r="R29">
            <v>8</v>
          </cell>
        </row>
        <row r="30">
          <cell r="A30">
            <v>15</v>
          </cell>
          <cell r="B30" t="str">
            <v>Producing Gas Wells-Well Construction</v>
          </cell>
          <cell r="C30" t="str">
            <v>330, 331</v>
          </cell>
          <cell r="E30">
            <v>0</v>
          </cell>
          <cell r="F30" t="str">
            <v>SUPP</v>
          </cell>
          <cell r="P30">
            <v>0</v>
          </cell>
          <cell r="R30">
            <v>8</v>
          </cell>
        </row>
        <row r="31">
          <cell r="A31">
            <v>16</v>
          </cell>
          <cell r="B31" t="str">
            <v>Field Lines</v>
          </cell>
          <cell r="C31">
            <v>332</v>
          </cell>
          <cell r="E31">
            <v>0</v>
          </cell>
          <cell r="F31" t="str">
            <v>SUPP</v>
          </cell>
          <cell r="P31">
            <v>0</v>
          </cell>
          <cell r="R31">
            <v>8</v>
          </cell>
        </row>
        <row r="32">
          <cell r="A32">
            <v>17</v>
          </cell>
          <cell r="B32" t="str">
            <v>Field Compressor Station Equipment</v>
          </cell>
          <cell r="C32">
            <v>333</v>
          </cell>
          <cell r="E32">
            <v>0</v>
          </cell>
          <cell r="F32" t="str">
            <v>SUPP</v>
          </cell>
          <cell r="P32">
            <v>0</v>
          </cell>
          <cell r="R32">
            <v>8</v>
          </cell>
        </row>
        <row r="33">
          <cell r="A33">
            <v>18</v>
          </cell>
          <cell r="B33" t="str">
            <v>Field M&amp;R Station Equip-Company</v>
          </cell>
          <cell r="C33">
            <v>334</v>
          </cell>
          <cell r="E33">
            <v>0</v>
          </cell>
          <cell r="F33" t="str">
            <v>SUPP</v>
          </cell>
          <cell r="P33">
            <v>0</v>
          </cell>
          <cell r="R33">
            <v>8</v>
          </cell>
        </row>
        <row r="34">
          <cell r="A34">
            <v>19</v>
          </cell>
          <cell r="B34" t="str">
            <v>Drilling &amp; Cleaning Equipment</v>
          </cell>
          <cell r="C34">
            <v>335</v>
          </cell>
          <cell r="E34">
            <v>0</v>
          </cell>
          <cell r="F34" t="str">
            <v>SUPP</v>
          </cell>
          <cell r="P34">
            <v>0</v>
          </cell>
          <cell r="R34">
            <v>8</v>
          </cell>
        </row>
        <row r="35">
          <cell r="A35">
            <v>20</v>
          </cell>
          <cell r="B35" t="str">
            <v>Other Equipment-Other</v>
          </cell>
          <cell r="C35">
            <v>337</v>
          </cell>
          <cell r="E35">
            <v>0</v>
          </cell>
          <cell r="F35" t="str">
            <v>SUPP</v>
          </cell>
          <cell r="P35">
            <v>0</v>
          </cell>
          <cell r="R35">
            <v>8</v>
          </cell>
        </row>
        <row r="36">
          <cell r="A36">
            <v>21</v>
          </cell>
          <cell r="B36" t="str">
            <v>Subtotal - PRODUCTION PLANT</v>
          </cell>
          <cell r="C36" t="str">
            <v>325-337</v>
          </cell>
          <cell r="E36">
            <v>0</v>
          </cell>
          <cell r="P36">
            <v>0</v>
          </cell>
        </row>
        <row r="37">
          <cell r="A37">
            <v>22</v>
          </cell>
        </row>
        <row r="38">
          <cell r="A38">
            <v>23</v>
          </cell>
          <cell r="B38" t="str">
            <v>C. NATURAL GAS STORAGE PLANT &amp; PROD PLANT</v>
          </cell>
        </row>
        <row r="39">
          <cell r="A39">
            <v>24</v>
          </cell>
        </row>
        <row r="40">
          <cell r="A40">
            <v>25</v>
          </cell>
          <cell r="B40" t="str">
            <v xml:space="preserve">Land and Land Rights </v>
          </cell>
          <cell r="C40">
            <v>350</v>
          </cell>
          <cell r="E40">
            <v>0</v>
          </cell>
          <cell r="F40" t="str">
            <v>STOR</v>
          </cell>
          <cell r="P40">
            <v>0</v>
          </cell>
          <cell r="R40">
            <v>11</v>
          </cell>
        </row>
        <row r="41">
          <cell r="A41">
            <v>26</v>
          </cell>
          <cell r="B41" t="str">
            <v>Structures and Improvements</v>
          </cell>
          <cell r="C41">
            <v>351</v>
          </cell>
          <cell r="E41">
            <v>0</v>
          </cell>
          <cell r="F41" t="str">
            <v>STOR</v>
          </cell>
          <cell r="P41">
            <v>0</v>
          </cell>
          <cell r="R41">
            <v>11</v>
          </cell>
        </row>
        <row r="42">
          <cell r="A42">
            <v>27</v>
          </cell>
          <cell r="B42" t="str">
            <v>Wells-Well Equipment</v>
          </cell>
          <cell r="C42">
            <v>352</v>
          </cell>
          <cell r="E42">
            <v>0</v>
          </cell>
          <cell r="F42" t="str">
            <v>STOR</v>
          </cell>
          <cell r="P42">
            <v>0</v>
          </cell>
          <cell r="R42">
            <v>11</v>
          </cell>
        </row>
        <row r="43">
          <cell r="A43">
            <v>28</v>
          </cell>
          <cell r="B43" t="str">
            <v>Lines</v>
          </cell>
          <cell r="C43">
            <v>353</v>
          </cell>
          <cell r="E43">
            <v>0</v>
          </cell>
          <cell r="F43" t="str">
            <v>STOR</v>
          </cell>
          <cell r="P43">
            <v>0</v>
          </cell>
          <cell r="R43">
            <v>11</v>
          </cell>
        </row>
        <row r="44">
          <cell r="A44">
            <v>29</v>
          </cell>
          <cell r="B44" t="str">
            <v>Compressor Station Equipment - Other</v>
          </cell>
          <cell r="C44">
            <v>354</v>
          </cell>
          <cell r="E44">
            <v>0</v>
          </cell>
          <cell r="F44" t="str">
            <v>STOR</v>
          </cell>
          <cell r="P44">
            <v>0</v>
          </cell>
          <cell r="R44">
            <v>11</v>
          </cell>
        </row>
        <row r="45">
          <cell r="A45">
            <v>30</v>
          </cell>
          <cell r="B45" t="str">
            <v>M&amp;R Equipment-Meters &amp; Gauges</v>
          </cell>
          <cell r="C45">
            <v>355</v>
          </cell>
          <cell r="E45">
            <v>0</v>
          </cell>
          <cell r="F45" t="str">
            <v>STOR</v>
          </cell>
          <cell r="P45">
            <v>0</v>
          </cell>
          <cell r="R45">
            <v>11</v>
          </cell>
        </row>
        <row r="46">
          <cell r="A46">
            <v>31</v>
          </cell>
          <cell r="B46" t="str">
            <v>Other Equipment</v>
          </cell>
          <cell r="C46">
            <v>357</v>
          </cell>
          <cell r="E46">
            <v>0</v>
          </cell>
          <cell r="F46" t="str">
            <v>STOR</v>
          </cell>
          <cell r="P46">
            <v>0</v>
          </cell>
          <cell r="R46">
            <v>11</v>
          </cell>
        </row>
        <row r="47">
          <cell r="A47">
            <v>32</v>
          </cell>
          <cell r="B47" t="str">
            <v>Subtotal - STORAGE PLANT</v>
          </cell>
          <cell r="C47" t="str">
            <v>350-363</v>
          </cell>
          <cell r="E47">
            <v>0</v>
          </cell>
          <cell r="P47">
            <v>0</v>
          </cell>
        </row>
        <row r="48">
          <cell r="A48">
            <v>33</v>
          </cell>
        </row>
        <row r="49">
          <cell r="A49">
            <v>34</v>
          </cell>
          <cell r="B49" t="str">
            <v>D. TRANSMISSION PLANT</v>
          </cell>
        </row>
        <row r="50">
          <cell r="A50">
            <v>35</v>
          </cell>
        </row>
        <row r="51">
          <cell r="A51">
            <v>36</v>
          </cell>
          <cell r="B51" t="str">
            <v>Land &amp; Land Rights</v>
          </cell>
          <cell r="C51">
            <v>365</v>
          </cell>
          <cell r="E51">
            <v>1229801.72</v>
          </cell>
          <cell r="F51" t="str">
            <v>TRANS</v>
          </cell>
          <cell r="P51">
            <v>0</v>
          </cell>
          <cell r="R51">
            <v>14</v>
          </cell>
        </row>
        <row r="52">
          <cell r="A52">
            <v>37</v>
          </cell>
          <cell r="B52" t="str">
            <v>Structures &amp; Improvements</v>
          </cell>
          <cell r="C52">
            <v>366</v>
          </cell>
          <cell r="E52">
            <v>0</v>
          </cell>
          <cell r="F52" t="str">
            <v>TRANS</v>
          </cell>
          <cell r="P52">
            <v>0</v>
          </cell>
          <cell r="R52">
            <v>14</v>
          </cell>
        </row>
        <row r="53">
          <cell r="A53">
            <v>38</v>
          </cell>
          <cell r="B53" t="str">
            <v>Mains</v>
          </cell>
          <cell r="C53">
            <v>367</v>
          </cell>
          <cell r="E53">
            <v>15382525.939166667</v>
          </cell>
          <cell r="F53" t="str">
            <v>TRANS</v>
          </cell>
          <cell r="P53">
            <v>0</v>
          </cell>
          <cell r="R53">
            <v>14</v>
          </cell>
        </row>
        <row r="54">
          <cell r="A54">
            <v>39</v>
          </cell>
          <cell r="B54" t="str">
            <v>Mains - Direct</v>
          </cell>
          <cell r="C54">
            <v>367</v>
          </cell>
          <cell r="E54">
            <v>658588.30000000005</v>
          </cell>
          <cell r="F54" t="str">
            <v>TRANS</v>
          </cell>
          <cell r="P54">
            <v>0</v>
          </cell>
          <cell r="R54">
            <v>14</v>
          </cell>
        </row>
        <row r="55">
          <cell r="A55">
            <v>40</v>
          </cell>
          <cell r="B55" t="str">
            <v>Compression Staion Equipement</v>
          </cell>
          <cell r="C55">
            <v>368</v>
          </cell>
          <cell r="E55">
            <v>0</v>
          </cell>
          <cell r="F55" t="str">
            <v>TRANS</v>
          </cell>
          <cell r="P55">
            <v>0</v>
          </cell>
          <cell r="R55">
            <v>14</v>
          </cell>
        </row>
        <row r="56">
          <cell r="A56">
            <v>41</v>
          </cell>
          <cell r="B56" t="str">
            <v>M&amp;R Station Equipment</v>
          </cell>
          <cell r="C56">
            <v>369</v>
          </cell>
          <cell r="E56">
            <v>156138.81000000003</v>
          </cell>
          <cell r="F56" t="str">
            <v>TRANS</v>
          </cell>
          <cell r="P56">
            <v>0</v>
          </cell>
          <cell r="R56">
            <v>14</v>
          </cell>
        </row>
        <row r="57">
          <cell r="A57">
            <v>42</v>
          </cell>
          <cell r="B57" t="str">
            <v>Other Equipment</v>
          </cell>
          <cell r="C57" t="str">
            <v>371</v>
          </cell>
          <cell r="E57">
            <v>0</v>
          </cell>
          <cell r="F57" t="str">
            <v>TRANSPT</v>
          </cell>
          <cell r="P57">
            <v>0</v>
          </cell>
          <cell r="R57">
            <v>74</v>
          </cell>
        </row>
        <row r="58">
          <cell r="A58">
            <v>43</v>
          </cell>
          <cell r="B58" t="str">
            <v>Subtotal - TRANSMISSION PLANT</v>
          </cell>
          <cell r="C58" t="str">
            <v>365-371</v>
          </cell>
          <cell r="E58">
            <v>17427054.769166667</v>
          </cell>
          <cell r="P58">
            <v>0</v>
          </cell>
        </row>
        <row r="59">
          <cell r="A59">
            <v>44</v>
          </cell>
        </row>
        <row r="60">
          <cell r="A60">
            <v>45</v>
          </cell>
          <cell r="B60" t="str">
            <v>E. DISTRIBUTION PLANT</v>
          </cell>
        </row>
        <row r="61">
          <cell r="A61">
            <v>46</v>
          </cell>
        </row>
        <row r="62">
          <cell r="A62">
            <v>47</v>
          </cell>
          <cell r="B62" t="str">
            <v>Land and Land Rights</v>
          </cell>
          <cell r="C62" t="str">
            <v>374</v>
          </cell>
          <cell r="E62">
            <v>2242166.0584726674</v>
          </cell>
          <cell r="F62" t="str">
            <v>DIST</v>
          </cell>
          <cell r="P62">
            <v>0</v>
          </cell>
          <cell r="R62">
            <v>17</v>
          </cell>
        </row>
        <row r="63">
          <cell r="A63">
            <v>48</v>
          </cell>
          <cell r="B63" t="str">
            <v>Structures and Improvements</v>
          </cell>
          <cell r="C63" t="str">
            <v>375</v>
          </cell>
          <cell r="E63">
            <v>995654.58139750012</v>
          </cell>
          <cell r="F63" t="str">
            <v>DIST</v>
          </cell>
          <cell r="P63">
            <v>0</v>
          </cell>
          <cell r="R63">
            <v>17</v>
          </cell>
        </row>
        <row r="64">
          <cell r="A64">
            <v>49</v>
          </cell>
          <cell r="B64" t="str">
            <v>Mains - High Pressure</v>
          </cell>
          <cell r="C64" t="str">
            <v>376</v>
          </cell>
          <cell r="E64">
            <v>93870445.610000014</v>
          </cell>
          <cell r="F64" t="str">
            <v>DIST</v>
          </cell>
          <cell r="P64">
            <v>0</v>
          </cell>
          <cell r="R64">
            <v>17</v>
          </cell>
        </row>
        <row r="65">
          <cell r="A65">
            <v>50</v>
          </cell>
          <cell r="B65" t="str">
            <v>Mains - HPx663</v>
          </cell>
          <cell r="C65" t="str">
            <v>376</v>
          </cell>
          <cell r="E65">
            <v>3943430.2719999999</v>
          </cell>
          <cell r="F65" t="str">
            <v>DIST</v>
          </cell>
          <cell r="P65">
            <v>0</v>
          </cell>
          <cell r="R65">
            <v>17</v>
          </cell>
        </row>
        <row r="66">
          <cell r="A66">
            <v>51</v>
          </cell>
          <cell r="B66" t="str">
            <v>Mains - HP Direct Assign</v>
          </cell>
          <cell r="C66" t="str">
            <v>376</v>
          </cell>
          <cell r="E66">
            <v>985857.56799999997</v>
          </cell>
          <cell r="F66" t="str">
            <v>DIST</v>
          </cell>
          <cell r="P66">
            <v>0</v>
          </cell>
          <cell r="R66">
            <v>17</v>
          </cell>
        </row>
        <row r="67">
          <cell r="A67">
            <v>52</v>
          </cell>
          <cell r="B67" t="str">
            <v>Mains Steel IP &gt;6"</v>
          </cell>
          <cell r="C67" t="str">
            <v>376</v>
          </cell>
          <cell r="E67">
            <v>8543907.7400000002</v>
          </cell>
          <cell r="F67" t="str">
            <v>DIST</v>
          </cell>
          <cell r="P67">
            <v>0</v>
          </cell>
          <cell r="R67">
            <v>17</v>
          </cell>
        </row>
        <row r="68">
          <cell r="A68">
            <v>53</v>
          </cell>
          <cell r="B68" t="str">
            <v>Mains Steel IP &gt;4-6"</v>
          </cell>
          <cell r="C68" t="str">
            <v>376</v>
          </cell>
          <cell r="E68">
            <v>12921271.720000003</v>
          </cell>
          <cell r="F68" t="str">
            <v>DIST</v>
          </cell>
          <cell r="P68">
            <v>0</v>
          </cell>
          <cell r="R68">
            <v>17</v>
          </cell>
        </row>
        <row r="69">
          <cell r="A69">
            <v>54</v>
          </cell>
          <cell r="B69" t="str">
            <v>Mains Steel IP &gt;2-4"</v>
          </cell>
          <cell r="C69" t="str">
            <v>376</v>
          </cell>
          <cell r="E69">
            <v>23422942.150000002</v>
          </cell>
          <cell r="F69" t="str">
            <v>DIST</v>
          </cell>
          <cell r="P69">
            <v>0</v>
          </cell>
          <cell r="R69">
            <v>17</v>
          </cell>
        </row>
        <row r="70">
          <cell r="A70">
            <v>55</v>
          </cell>
          <cell r="B70" t="str">
            <v>Mains Steel IP &lt;=2"</v>
          </cell>
          <cell r="C70" t="str">
            <v>376</v>
          </cell>
          <cell r="E70">
            <v>65857060.210000001</v>
          </cell>
          <cell r="F70" t="str">
            <v>DIST</v>
          </cell>
          <cell r="P70">
            <v>0</v>
          </cell>
          <cell r="R70">
            <v>17</v>
          </cell>
        </row>
        <row r="71">
          <cell r="A71">
            <v>56</v>
          </cell>
          <cell r="B71" t="str">
            <v>Mains Plasticl IP 6"</v>
          </cell>
          <cell r="C71" t="str">
            <v>376</v>
          </cell>
          <cell r="E71">
            <v>8176829.4099999992</v>
          </cell>
          <cell r="F71" t="str">
            <v>DIST</v>
          </cell>
          <cell r="P71">
            <v>0</v>
          </cell>
          <cell r="R71">
            <v>17</v>
          </cell>
        </row>
        <row r="72">
          <cell r="A72">
            <v>57</v>
          </cell>
          <cell r="B72" t="str">
            <v>Mains Plasticl IP 4"</v>
          </cell>
          <cell r="C72" t="str">
            <v>376</v>
          </cell>
          <cell r="E72">
            <v>25939078.09</v>
          </cell>
          <cell r="F72" t="str">
            <v>DIST</v>
          </cell>
          <cell r="P72">
            <v>0</v>
          </cell>
          <cell r="R72">
            <v>17</v>
          </cell>
        </row>
        <row r="73">
          <cell r="A73">
            <v>58</v>
          </cell>
          <cell r="B73" t="str">
            <v>Mains Plasticl IP 2"</v>
          </cell>
          <cell r="C73" t="str">
            <v>376</v>
          </cell>
          <cell r="E73">
            <v>64574112.350000001</v>
          </cell>
          <cell r="F73" t="str">
            <v>DIST</v>
          </cell>
          <cell r="P73">
            <v>0</v>
          </cell>
          <cell r="R73">
            <v>17</v>
          </cell>
        </row>
        <row r="74">
          <cell r="A74">
            <v>59</v>
          </cell>
          <cell r="B74" t="str">
            <v>Mains - Direct Allocation</v>
          </cell>
          <cell r="C74" t="str">
            <v>376</v>
          </cell>
          <cell r="E74">
            <v>22509568.120000001</v>
          </cell>
          <cell r="F74" t="str">
            <v>DIST</v>
          </cell>
          <cell r="P74">
            <v>0</v>
          </cell>
          <cell r="R74">
            <v>17</v>
          </cell>
        </row>
        <row r="75">
          <cell r="A75">
            <v>60</v>
          </cell>
          <cell r="B75" t="str">
            <v>Mains - Other</v>
          </cell>
          <cell r="C75" t="str">
            <v>376</v>
          </cell>
          <cell r="E75">
            <v>8403131.9529166576</v>
          </cell>
          <cell r="F75" t="str">
            <v>DIST</v>
          </cell>
          <cell r="P75">
            <v>0</v>
          </cell>
          <cell r="R75">
            <v>17</v>
          </cell>
        </row>
        <row r="76">
          <cell r="A76">
            <v>61</v>
          </cell>
          <cell r="B76" t="str">
            <v>Compressor Station</v>
          </cell>
          <cell r="C76">
            <v>377</v>
          </cell>
          <cell r="E76">
            <v>2097766.77</v>
          </cell>
          <cell r="F76" t="str">
            <v>DIST</v>
          </cell>
          <cell r="P76">
            <v>0</v>
          </cell>
          <cell r="R76">
            <v>17</v>
          </cell>
        </row>
        <row r="77">
          <cell r="A77">
            <v>62</v>
          </cell>
          <cell r="B77" t="str">
            <v>M &amp; R Station Equipment</v>
          </cell>
          <cell r="C77" t="str">
            <v>378</v>
          </cell>
          <cell r="E77">
            <v>19188859.344166666</v>
          </cell>
          <cell r="F77" t="str">
            <v>DIST</v>
          </cell>
          <cell r="P77">
            <v>0</v>
          </cell>
          <cell r="R77">
            <v>17</v>
          </cell>
        </row>
        <row r="78">
          <cell r="A78">
            <v>63</v>
          </cell>
          <cell r="B78" t="str">
            <v>Services</v>
          </cell>
          <cell r="C78" t="str">
            <v>380</v>
          </cell>
          <cell r="E78">
            <v>163002131.05500001</v>
          </cell>
          <cell r="F78" t="str">
            <v>DIST</v>
          </cell>
          <cell r="P78">
            <v>0</v>
          </cell>
          <cell r="R78">
            <v>17</v>
          </cell>
        </row>
        <row r="79">
          <cell r="A79">
            <v>64</v>
          </cell>
          <cell r="B79" t="str">
            <v>Services - Direct</v>
          </cell>
          <cell r="C79" t="str">
            <v>380</v>
          </cell>
          <cell r="E79">
            <v>22241.79</v>
          </cell>
          <cell r="F79" t="str">
            <v>DIST</v>
          </cell>
          <cell r="P79">
            <v>0</v>
          </cell>
          <cell r="R79">
            <v>17</v>
          </cell>
        </row>
        <row r="80">
          <cell r="A80">
            <v>65</v>
          </cell>
          <cell r="B80" t="str">
            <v>Meters</v>
          </cell>
          <cell r="C80" t="str">
            <v>381</v>
          </cell>
          <cell r="E80">
            <v>41039332.402482167</v>
          </cell>
          <cell r="F80" t="str">
            <v>DIST</v>
          </cell>
          <cell r="P80">
            <v>0</v>
          </cell>
          <cell r="R80">
            <v>17</v>
          </cell>
        </row>
        <row r="81">
          <cell r="A81">
            <v>66</v>
          </cell>
          <cell r="B81" t="str">
            <v xml:space="preserve">Meter Install </v>
          </cell>
          <cell r="C81" t="str">
            <v>382</v>
          </cell>
          <cell r="E81">
            <v>22597276.53083333</v>
          </cell>
          <cell r="F81" t="str">
            <v>DIST</v>
          </cell>
          <cell r="P81">
            <v>0</v>
          </cell>
          <cell r="R81">
            <v>17</v>
          </cell>
        </row>
        <row r="82">
          <cell r="A82">
            <v>67</v>
          </cell>
          <cell r="B82" t="str">
            <v>House Regulator &amp; Install.</v>
          </cell>
          <cell r="C82" t="str">
            <v>383, 384</v>
          </cell>
          <cell r="E82">
            <v>7755597.5630362509</v>
          </cell>
          <cell r="F82" t="str">
            <v>DIST</v>
          </cell>
          <cell r="P82">
            <v>0</v>
          </cell>
          <cell r="R82">
            <v>17</v>
          </cell>
        </row>
        <row r="83">
          <cell r="A83">
            <v>68</v>
          </cell>
          <cell r="B83" t="str">
            <v>Industrial M &amp; R Station Equipment</v>
          </cell>
          <cell r="C83" t="str">
            <v>385</v>
          </cell>
          <cell r="E83">
            <v>9042638.8108333349</v>
          </cell>
          <cell r="F83" t="str">
            <v>DIST</v>
          </cell>
          <cell r="P83">
            <v>0</v>
          </cell>
          <cell r="R83">
            <v>17</v>
          </cell>
        </row>
        <row r="84">
          <cell r="A84">
            <v>69</v>
          </cell>
          <cell r="B84" t="str">
            <v>Other Property on Customers Premise</v>
          </cell>
          <cell r="C84" t="str">
            <v>386</v>
          </cell>
          <cell r="E84">
            <v>0</v>
          </cell>
          <cell r="F84" t="str">
            <v>DIST</v>
          </cell>
          <cell r="P84">
            <v>0</v>
          </cell>
          <cell r="R84">
            <v>17</v>
          </cell>
        </row>
        <row r="85">
          <cell r="A85">
            <v>70</v>
          </cell>
          <cell r="B85" t="str">
            <v>Other Equipment</v>
          </cell>
          <cell r="C85" t="str">
            <v>387, 388</v>
          </cell>
          <cell r="E85">
            <v>0</v>
          </cell>
          <cell r="F85" t="str">
            <v>DISTPT</v>
          </cell>
          <cell r="P85">
            <v>0</v>
          </cell>
          <cell r="R85">
            <v>77</v>
          </cell>
        </row>
        <row r="86">
          <cell r="A86">
            <v>71</v>
          </cell>
          <cell r="B86" t="str">
            <v>Subtotal - DISTRIBUTION PLANT</v>
          </cell>
          <cell r="C86" t="str">
            <v>374-387</v>
          </cell>
          <cell r="E86">
            <v>607131300.09913862</v>
          </cell>
          <cell r="P86">
            <v>0</v>
          </cell>
        </row>
        <row r="87">
          <cell r="A87">
            <v>72</v>
          </cell>
        </row>
        <row r="88">
          <cell r="A88">
            <v>73</v>
          </cell>
          <cell r="B88" t="str">
            <v>F. GENERAL PLANT</v>
          </cell>
        </row>
        <row r="89">
          <cell r="A89">
            <v>74</v>
          </cell>
        </row>
        <row r="90">
          <cell r="A90">
            <v>75</v>
          </cell>
          <cell r="B90" t="str">
            <v>Land and Land Rights</v>
          </cell>
          <cell r="C90" t="str">
            <v>389</v>
          </cell>
          <cell r="E90">
            <v>2738864.5645764172</v>
          </cell>
          <cell r="F90" t="str">
            <v>PSTDP</v>
          </cell>
          <cell r="P90">
            <v>0</v>
          </cell>
          <cell r="R90">
            <v>50</v>
          </cell>
        </row>
        <row r="91">
          <cell r="A91">
            <v>76</v>
          </cell>
          <cell r="B91" t="str">
            <v>Structures and Improvements</v>
          </cell>
          <cell r="C91" t="str">
            <v>390</v>
          </cell>
          <cell r="E91">
            <v>13566023.193436205</v>
          </cell>
          <cell r="F91" t="str">
            <v>PSTDP</v>
          </cell>
          <cell r="P91">
            <v>0</v>
          </cell>
          <cell r="R91">
            <v>50</v>
          </cell>
        </row>
        <row r="92">
          <cell r="A92">
            <v>77</v>
          </cell>
          <cell r="B92" t="str">
            <v>Office Furniture and Equipment</v>
          </cell>
          <cell r="C92" t="str">
            <v>391</v>
          </cell>
          <cell r="E92">
            <v>5763949.7455356671</v>
          </cell>
          <cell r="F92" t="str">
            <v>PSTDP</v>
          </cell>
          <cell r="P92">
            <v>0</v>
          </cell>
          <cell r="R92">
            <v>50</v>
          </cell>
        </row>
        <row r="93">
          <cell r="A93">
            <v>78</v>
          </cell>
          <cell r="B93" t="str">
            <v>Transportation Equipment</v>
          </cell>
          <cell r="C93" t="str">
            <v>392</v>
          </cell>
          <cell r="E93">
            <v>10752616.541323917</v>
          </cell>
          <cell r="F93" t="str">
            <v>PSTDP</v>
          </cell>
          <cell r="P93">
            <v>0</v>
          </cell>
          <cell r="R93">
            <v>50</v>
          </cell>
        </row>
        <row r="94">
          <cell r="A94">
            <v>79</v>
          </cell>
          <cell r="B94" t="str">
            <v>Stores Equipment</v>
          </cell>
          <cell r="C94" t="str">
            <v>393</v>
          </cell>
          <cell r="E94">
            <v>56277.75918275</v>
          </cell>
          <cell r="F94" t="str">
            <v>PSTDP</v>
          </cell>
          <cell r="P94">
            <v>0</v>
          </cell>
          <cell r="R94">
            <v>50</v>
          </cell>
        </row>
        <row r="95">
          <cell r="A95">
            <v>80</v>
          </cell>
          <cell r="B95" t="str">
            <v>Tools, Shop and Garage Equipment</v>
          </cell>
          <cell r="C95" t="str">
            <v>394</v>
          </cell>
          <cell r="E95">
            <v>6006139.5495692082</v>
          </cell>
          <cell r="F95" t="str">
            <v>PSTDP</v>
          </cell>
          <cell r="P95">
            <v>0</v>
          </cell>
          <cell r="R95">
            <v>50</v>
          </cell>
        </row>
        <row r="96">
          <cell r="A96">
            <v>81</v>
          </cell>
          <cell r="B96" t="str">
            <v>Laboratory Equipment</v>
          </cell>
          <cell r="C96" t="str">
            <v>395</v>
          </cell>
          <cell r="E96">
            <v>102218.10203783335</v>
          </cell>
          <cell r="F96" t="str">
            <v>PSTDP</v>
          </cell>
          <cell r="P96">
            <v>0</v>
          </cell>
          <cell r="R96">
            <v>50</v>
          </cell>
        </row>
        <row r="97">
          <cell r="A97">
            <v>82</v>
          </cell>
          <cell r="B97" t="str">
            <v>Power Operated Equipment</v>
          </cell>
          <cell r="C97" t="str">
            <v>396</v>
          </cell>
          <cell r="E97">
            <v>2567582.4077424579</v>
          </cell>
          <cell r="F97" t="str">
            <v>PSTDP</v>
          </cell>
          <cell r="P97">
            <v>0</v>
          </cell>
          <cell r="R97">
            <v>50</v>
          </cell>
        </row>
        <row r="98">
          <cell r="A98">
            <v>83</v>
          </cell>
          <cell r="B98" t="str">
            <v>Communication Equipment</v>
          </cell>
          <cell r="C98" t="str">
            <v>397</v>
          </cell>
          <cell r="E98">
            <v>5311915.0541760828</v>
          </cell>
          <cell r="F98" t="str">
            <v>PSTDP</v>
          </cell>
          <cell r="P98">
            <v>0</v>
          </cell>
          <cell r="R98">
            <v>50</v>
          </cell>
        </row>
        <row r="99">
          <cell r="A99">
            <v>84</v>
          </cell>
          <cell r="B99" t="str">
            <v>Communication Equipment-Metretek</v>
          </cell>
          <cell r="C99" t="str">
            <v>397</v>
          </cell>
          <cell r="E99">
            <v>106500</v>
          </cell>
          <cell r="F99" t="str">
            <v>DIST</v>
          </cell>
          <cell r="P99">
            <v>0</v>
          </cell>
          <cell r="R99">
            <v>17</v>
          </cell>
        </row>
        <row r="100">
          <cell r="A100">
            <v>85</v>
          </cell>
          <cell r="B100" t="str">
            <v>Miscellaneous Equipment</v>
          </cell>
          <cell r="C100">
            <v>398</v>
          </cell>
          <cell r="E100">
            <v>56984.498182583353</v>
          </cell>
          <cell r="F100" t="str">
            <v>PSTDP</v>
          </cell>
          <cell r="P100">
            <v>0</v>
          </cell>
          <cell r="R100">
            <v>50</v>
          </cell>
        </row>
        <row r="101">
          <cell r="A101">
            <v>86</v>
          </cell>
          <cell r="B101" t="str">
            <v>Other Tangible Plant</v>
          </cell>
          <cell r="C101">
            <v>399</v>
          </cell>
          <cell r="E101">
            <v>0</v>
          </cell>
          <cell r="F101" t="str">
            <v>PSTDP</v>
          </cell>
          <cell r="P101">
            <v>0</v>
          </cell>
          <cell r="R101">
            <v>50</v>
          </cell>
        </row>
        <row r="102">
          <cell r="A102">
            <v>87</v>
          </cell>
          <cell r="B102" t="str">
            <v>Subtotal - GENERAL PLANT</v>
          </cell>
          <cell r="C102" t="str">
            <v>389-399</v>
          </cell>
          <cell r="E102">
            <v>47029071.415763117</v>
          </cell>
          <cell r="P102">
            <v>0</v>
          </cell>
        </row>
        <row r="103">
          <cell r="A103">
            <v>88</v>
          </cell>
        </row>
        <row r="104">
          <cell r="A104">
            <v>89</v>
          </cell>
          <cell r="B104" t="str">
            <v>TOTAL PLANT IN SERVICE</v>
          </cell>
          <cell r="E104">
            <v>698410162.7612288</v>
          </cell>
          <cell r="P104">
            <v>0</v>
          </cell>
        </row>
        <row r="105">
          <cell r="A105">
            <v>90</v>
          </cell>
        </row>
        <row r="106">
          <cell r="A106">
            <v>91</v>
          </cell>
          <cell r="B106" t="str">
            <v xml:space="preserve">G. Utility Plant </v>
          </cell>
          <cell r="C106" t="str">
            <v>105</v>
          </cell>
          <cell r="E106">
            <v>0</v>
          </cell>
          <cell r="F106" t="str">
            <v>PSTDP</v>
          </cell>
          <cell r="P106">
            <v>0</v>
          </cell>
          <cell r="R106">
            <v>50</v>
          </cell>
        </row>
        <row r="107">
          <cell r="A107">
            <v>92</v>
          </cell>
        </row>
        <row r="108">
          <cell r="A108">
            <v>93</v>
          </cell>
          <cell r="B108" t="str">
            <v>TOTAL UTILITY PLANT</v>
          </cell>
          <cell r="E108">
            <v>698410162.7612288</v>
          </cell>
          <cell r="P108">
            <v>0</v>
          </cell>
        </row>
        <row r="109">
          <cell r="A109">
            <v>94</v>
          </cell>
        </row>
        <row r="110">
          <cell r="A110">
            <v>95</v>
          </cell>
          <cell r="B110" t="str">
            <v>II. DEPRECIATION RESERVE</v>
          </cell>
        </row>
        <row r="111">
          <cell r="A111">
            <v>96</v>
          </cell>
          <cell r="B111" t="str">
            <v>Intangible Plant</v>
          </cell>
          <cell r="C111">
            <v>303</v>
          </cell>
          <cell r="E111">
            <v>7329017.6091067931</v>
          </cell>
          <cell r="F111" t="str">
            <v>INTANGPT</v>
          </cell>
          <cell r="P111">
            <v>0</v>
          </cell>
          <cell r="R111">
            <v>116</v>
          </cell>
        </row>
        <row r="112">
          <cell r="A112">
            <v>97</v>
          </cell>
          <cell r="B112" t="str">
            <v>Production Plant</v>
          </cell>
          <cell r="C112" t="str">
            <v>332-337</v>
          </cell>
          <cell r="E112">
            <v>0</v>
          </cell>
          <cell r="F112" t="str">
            <v>SUPP</v>
          </cell>
          <cell r="P112">
            <v>0</v>
          </cell>
          <cell r="R112">
            <v>8</v>
          </cell>
        </row>
        <row r="113">
          <cell r="A113">
            <v>98</v>
          </cell>
          <cell r="B113" t="str">
            <v>Local Storage Plant</v>
          </cell>
          <cell r="C113" t="str">
            <v>350-357</v>
          </cell>
          <cell r="E113">
            <v>0</v>
          </cell>
          <cell r="F113" t="str">
            <v>STORPT</v>
          </cell>
          <cell r="P113">
            <v>0</v>
          </cell>
          <cell r="R113">
            <v>71</v>
          </cell>
        </row>
        <row r="114">
          <cell r="A114">
            <v>99</v>
          </cell>
          <cell r="B114" t="str">
            <v>Transmission</v>
          </cell>
          <cell r="C114" t="str">
            <v>365-371</v>
          </cell>
          <cell r="E114">
            <v>11521078.067329334</v>
          </cell>
          <cell r="F114" t="str">
            <v>TRANSPT</v>
          </cell>
          <cell r="P114">
            <v>0</v>
          </cell>
          <cell r="R114">
            <v>74</v>
          </cell>
        </row>
        <row r="115">
          <cell r="A115">
            <v>100</v>
          </cell>
          <cell r="B115" t="str">
            <v>Distribution Land Structures &amp; Improvements</v>
          </cell>
          <cell r="C115" t="str">
            <v>374-375</v>
          </cell>
          <cell r="E115">
            <v>1592449.7936781668</v>
          </cell>
          <cell r="F115" t="str">
            <v>DISTPT</v>
          </cell>
          <cell r="P115">
            <v>0</v>
          </cell>
          <cell r="R115">
            <v>77</v>
          </cell>
        </row>
        <row r="116">
          <cell r="A116">
            <v>101</v>
          </cell>
          <cell r="B116" t="str">
            <v>Mains</v>
          </cell>
          <cell r="C116">
            <v>376</v>
          </cell>
          <cell r="E116">
            <v>138449805.07294154</v>
          </cell>
          <cell r="F116" t="str">
            <v>DISTPT</v>
          </cell>
          <cell r="P116">
            <v>0</v>
          </cell>
          <cell r="R116">
            <v>77</v>
          </cell>
        </row>
        <row r="117">
          <cell r="A117">
            <v>102</v>
          </cell>
          <cell r="B117" t="str">
            <v>Compressor Station</v>
          </cell>
          <cell r="C117">
            <v>377</v>
          </cell>
          <cell r="E117">
            <v>1370496.24</v>
          </cell>
          <cell r="F117" t="str">
            <v>DISTPT</v>
          </cell>
          <cell r="P117">
            <v>0</v>
          </cell>
          <cell r="R117">
            <v>77</v>
          </cell>
        </row>
        <row r="118">
          <cell r="A118">
            <v>103</v>
          </cell>
          <cell r="B118" t="str">
            <v>Distribution M&amp;R General</v>
          </cell>
          <cell r="C118">
            <v>378</v>
          </cell>
          <cell r="E118">
            <v>5594946.9176786663</v>
          </cell>
          <cell r="F118" t="str">
            <v>DISTPT</v>
          </cell>
          <cell r="P118">
            <v>0</v>
          </cell>
          <cell r="R118">
            <v>77</v>
          </cell>
        </row>
        <row r="119">
          <cell r="A119">
            <v>104</v>
          </cell>
          <cell r="B119" t="str">
            <v>Distribution Services</v>
          </cell>
          <cell r="C119">
            <v>380</v>
          </cell>
          <cell r="E119">
            <v>129932792.20200464</v>
          </cell>
          <cell r="F119" t="str">
            <v>DISTPT</v>
          </cell>
          <cell r="P119">
            <v>0</v>
          </cell>
          <cell r="R119">
            <v>77</v>
          </cell>
        </row>
        <row r="120">
          <cell r="A120">
            <v>105</v>
          </cell>
          <cell r="B120" t="str">
            <v>Distribution - Meters</v>
          </cell>
          <cell r="C120">
            <v>381</v>
          </cell>
          <cell r="E120">
            <v>12787623.594037356</v>
          </cell>
          <cell r="F120" t="str">
            <v>DISTPT</v>
          </cell>
          <cell r="P120">
            <v>0</v>
          </cell>
          <cell r="R120">
            <v>77</v>
          </cell>
        </row>
        <row r="121">
          <cell r="A121">
            <v>106</v>
          </cell>
          <cell r="B121" t="str">
            <v>Distribution - Meters Installations</v>
          </cell>
          <cell r="C121">
            <v>382</v>
          </cell>
          <cell r="E121">
            <v>10244836.287083333</v>
          </cell>
          <cell r="F121" t="str">
            <v>DISTPT</v>
          </cell>
          <cell r="P121">
            <v>0</v>
          </cell>
          <cell r="R121">
            <v>77</v>
          </cell>
        </row>
        <row r="122">
          <cell r="A122">
            <v>107</v>
          </cell>
          <cell r="B122" t="str">
            <v>House Regulator &amp; Install.</v>
          </cell>
          <cell r="C122" t="str">
            <v>383, 384</v>
          </cell>
          <cell r="E122">
            <v>2785488.26940525</v>
          </cell>
          <cell r="F122" t="str">
            <v>DISTPT</v>
          </cell>
          <cell r="P122">
            <v>0</v>
          </cell>
          <cell r="R122">
            <v>77</v>
          </cell>
        </row>
        <row r="123">
          <cell r="A123">
            <v>108</v>
          </cell>
          <cell r="B123" t="str">
            <v>Industrial M &amp; R Station Equipment - Other</v>
          </cell>
          <cell r="C123">
            <v>385</v>
          </cell>
          <cell r="E123">
            <v>3552565.8973903325</v>
          </cell>
          <cell r="F123" t="str">
            <v>DISTPT</v>
          </cell>
          <cell r="P123">
            <v>0</v>
          </cell>
          <cell r="R123">
            <v>77</v>
          </cell>
        </row>
        <row r="124">
          <cell r="A124">
            <v>109</v>
          </cell>
          <cell r="B124" t="str">
            <v>Other Property on Customers Premises</v>
          </cell>
          <cell r="C124">
            <v>386</v>
          </cell>
          <cell r="E124">
            <v>-305.76000000000005</v>
          </cell>
          <cell r="F124" t="str">
            <v>DISTPT</v>
          </cell>
          <cell r="P124">
            <v>0</v>
          </cell>
          <cell r="R124">
            <v>77</v>
          </cell>
        </row>
        <row r="125">
          <cell r="A125">
            <v>110</v>
          </cell>
          <cell r="B125" t="str">
            <v>Other Equipment</v>
          </cell>
          <cell r="C125">
            <v>387</v>
          </cell>
          <cell r="E125">
            <v>0</v>
          </cell>
          <cell r="F125" t="str">
            <v>DISTPT</v>
          </cell>
          <cell r="P125">
            <v>0</v>
          </cell>
          <cell r="R125">
            <v>77</v>
          </cell>
        </row>
        <row r="126">
          <cell r="A126">
            <v>111</v>
          </cell>
          <cell r="B126" t="str">
            <v>General Plant</v>
          </cell>
          <cell r="C126" t="str">
            <v>389-399</v>
          </cell>
          <cell r="E126">
            <v>20507992.664249986</v>
          </cell>
          <cell r="F126" t="str">
            <v>PSTDP</v>
          </cell>
          <cell r="P126">
            <v>0</v>
          </cell>
          <cell r="R126">
            <v>50</v>
          </cell>
        </row>
        <row r="127">
          <cell r="A127">
            <v>112</v>
          </cell>
          <cell r="B127" t="str">
            <v>Total-DEP. RESERVE (PLANT IN SERVI</v>
          </cell>
          <cell r="E127">
            <v>345668786.85490537</v>
          </cell>
          <cell r="P127">
            <v>0</v>
          </cell>
        </row>
        <row r="128">
          <cell r="A128">
            <v>113</v>
          </cell>
        </row>
        <row r="129">
          <cell r="A129">
            <v>114</v>
          </cell>
          <cell r="B129" t="str">
            <v>Retirement Obligation</v>
          </cell>
          <cell r="E129">
            <v>0</v>
          </cell>
          <cell r="F129" t="str">
            <v>PSTDP</v>
          </cell>
          <cell r="P129">
            <v>0</v>
          </cell>
          <cell r="R129">
            <v>50</v>
          </cell>
        </row>
        <row r="130">
          <cell r="A130">
            <v>115</v>
          </cell>
        </row>
        <row r="131">
          <cell r="A131">
            <v>116</v>
          </cell>
          <cell r="B131" t="str">
            <v>TOTAL  - DEPRECIATION RESERVE</v>
          </cell>
          <cell r="E131">
            <v>345668786.85490537</v>
          </cell>
          <cell r="P131">
            <v>0</v>
          </cell>
        </row>
        <row r="132">
          <cell r="A132">
            <v>117</v>
          </cell>
        </row>
        <row r="133">
          <cell r="A133">
            <v>118</v>
          </cell>
          <cell r="B133" t="str">
            <v>III. OTHER RATE BASE ITEMS</v>
          </cell>
        </row>
        <row r="134">
          <cell r="A134">
            <v>119</v>
          </cell>
          <cell r="B134" t="str">
            <v>CWIP</v>
          </cell>
          <cell r="E134">
            <v>0</v>
          </cell>
          <cell r="F134" t="str">
            <v>PSTDP</v>
          </cell>
          <cell r="P134">
            <v>0</v>
          </cell>
          <cell r="R134">
            <v>50</v>
          </cell>
        </row>
        <row r="135">
          <cell r="A135">
            <v>120</v>
          </cell>
          <cell r="B135" t="str">
            <v>Working Capital</v>
          </cell>
          <cell r="E135">
            <v>25610869.595646363</v>
          </cell>
          <cell r="F135" t="str">
            <v>PSTDP</v>
          </cell>
          <cell r="P135">
            <v>0</v>
          </cell>
          <cell r="R135">
            <v>50</v>
          </cell>
        </row>
        <row r="136">
          <cell r="A136">
            <v>121</v>
          </cell>
          <cell r="B136" t="str">
            <v xml:space="preserve">Deferred Income Taxes </v>
          </cell>
          <cell r="E136">
            <v>-73719929.417244926</v>
          </cell>
          <cell r="F136" t="str">
            <v>PSTDP</v>
          </cell>
          <cell r="P136">
            <v>0</v>
          </cell>
          <cell r="R136">
            <v>50</v>
          </cell>
        </row>
        <row r="137">
          <cell r="A137">
            <v>122</v>
          </cell>
          <cell r="B137" t="str">
            <v>Customer Advances</v>
          </cell>
          <cell r="E137">
            <v>-3771590.387083333</v>
          </cell>
          <cell r="F137" t="str">
            <v>DISTPT</v>
          </cell>
          <cell r="P137">
            <v>0</v>
          </cell>
          <cell r="R137">
            <v>77</v>
          </cell>
        </row>
        <row r="138">
          <cell r="A138">
            <v>123</v>
          </cell>
          <cell r="B138" t="str">
            <v>Total - OTHER RATE BASE ITEMS</v>
          </cell>
          <cell r="E138">
            <v>-51880650.208681896</v>
          </cell>
          <cell r="P138">
            <v>0</v>
          </cell>
        </row>
        <row r="139">
          <cell r="A139">
            <v>124</v>
          </cell>
        </row>
        <row r="140">
          <cell r="A140">
            <v>125</v>
          </cell>
          <cell r="B140" t="str">
            <v>IV. TOTAL RATE BASE (Excl. Working Capital)</v>
          </cell>
          <cell r="E140">
            <v>300860725.69764155</v>
          </cell>
          <cell r="P140">
            <v>0</v>
          </cell>
        </row>
        <row r="141">
          <cell r="A141">
            <v>126</v>
          </cell>
        </row>
        <row r="142">
          <cell r="A142">
            <v>127</v>
          </cell>
          <cell r="B142" t="str">
            <v>Gas Purchases Cash Working Capital</v>
          </cell>
          <cell r="E142">
            <v>0</v>
          </cell>
          <cell r="F142" t="str">
            <v>DIST</v>
          </cell>
          <cell r="P142">
            <v>0</v>
          </cell>
          <cell r="R142">
            <v>17</v>
          </cell>
        </row>
        <row r="143">
          <cell r="A143">
            <v>128</v>
          </cell>
        </row>
        <row r="144">
          <cell r="A144">
            <v>129</v>
          </cell>
          <cell r="B144" t="str">
            <v>V. TOTAL RATE BASE</v>
          </cell>
          <cell r="E144">
            <v>300860725.69764155</v>
          </cell>
          <cell r="P144">
            <v>0</v>
          </cell>
        </row>
        <row r="145">
          <cell r="A145">
            <v>130</v>
          </cell>
        </row>
        <row r="146">
          <cell r="A146">
            <v>131</v>
          </cell>
          <cell r="B146" t="str">
            <v>I. OPERATION &amp; MAINTENANCE EXPENSE</v>
          </cell>
        </row>
        <row r="147">
          <cell r="A147">
            <v>132</v>
          </cell>
        </row>
        <row r="148">
          <cell r="A148">
            <v>133</v>
          </cell>
          <cell r="B148" t="str">
            <v>A. PRODUCTION EXPENSES</v>
          </cell>
        </row>
        <row r="149">
          <cell r="A149">
            <v>134</v>
          </cell>
        </row>
        <row r="150">
          <cell r="A150">
            <v>135</v>
          </cell>
          <cell r="B150" t="str">
            <v>1. Manufactured Gas Production</v>
          </cell>
        </row>
        <row r="151">
          <cell r="A151">
            <v>136</v>
          </cell>
        </row>
        <row r="152">
          <cell r="A152">
            <v>137</v>
          </cell>
          <cell r="B152" t="str">
            <v>Production Maps</v>
          </cell>
          <cell r="C152">
            <v>751</v>
          </cell>
          <cell r="E152">
            <v>0</v>
          </cell>
          <cell r="F152" t="str">
            <v>SUPP</v>
          </cell>
          <cell r="P152">
            <v>0</v>
          </cell>
          <cell r="R152">
            <v>8</v>
          </cell>
        </row>
        <row r="153">
          <cell r="A153">
            <v>138</v>
          </cell>
          <cell r="B153" t="str">
            <v>Gas Wells Expense</v>
          </cell>
          <cell r="C153">
            <v>752</v>
          </cell>
          <cell r="E153">
            <v>0</v>
          </cell>
          <cell r="F153" t="str">
            <v>SUPP</v>
          </cell>
          <cell r="P153">
            <v>0</v>
          </cell>
          <cell r="R153">
            <v>8</v>
          </cell>
        </row>
        <row r="154">
          <cell r="A154">
            <v>139</v>
          </cell>
          <cell r="B154" t="str">
            <v>Field Lines Expense</v>
          </cell>
          <cell r="C154">
            <v>753</v>
          </cell>
          <cell r="E154">
            <v>0</v>
          </cell>
          <cell r="F154" t="str">
            <v>SUPP</v>
          </cell>
          <cell r="P154">
            <v>0</v>
          </cell>
          <cell r="R154">
            <v>8</v>
          </cell>
        </row>
        <row r="155">
          <cell r="A155">
            <v>140</v>
          </cell>
          <cell r="B155" t="str">
            <v>Field Compressor Station Expense</v>
          </cell>
          <cell r="C155">
            <v>754756</v>
          </cell>
          <cell r="E155">
            <v>0</v>
          </cell>
          <cell r="F155" t="str">
            <v>SUPP</v>
          </cell>
          <cell r="P155">
            <v>0</v>
          </cell>
          <cell r="R155">
            <v>8</v>
          </cell>
        </row>
        <row r="156">
          <cell r="A156">
            <v>141</v>
          </cell>
          <cell r="B156" t="str">
            <v>Other Expense</v>
          </cell>
          <cell r="C156">
            <v>759</v>
          </cell>
          <cell r="E156">
            <v>0</v>
          </cell>
          <cell r="F156" t="str">
            <v>SUPP</v>
          </cell>
          <cell r="P156">
            <v>0</v>
          </cell>
          <cell r="R156">
            <v>8</v>
          </cell>
        </row>
        <row r="157">
          <cell r="A157">
            <v>142</v>
          </cell>
          <cell r="B157" t="str">
            <v>Rents</v>
          </cell>
          <cell r="C157">
            <v>760</v>
          </cell>
          <cell r="E157">
            <v>0</v>
          </cell>
          <cell r="F157" t="str">
            <v>SUPP</v>
          </cell>
          <cell r="P157">
            <v>0</v>
          </cell>
          <cell r="R157">
            <v>8</v>
          </cell>
        </row>
        <row r="158">
          <cell r="A158">
            <v>143</v>
          </cell>
          <cell r="B158" t="str">
            <v xml:space="preserve">     Subtotal - Operation Accounts </v>
          </cell>
          <cell r="C158" t="str">
            <v>751-760</v>
          </cell>
          <cell r="E158">
            <v>0</v>
          </cell>
          <cell r="P158">
            <v>0</v>
          </cell>
          <cell r="R158">
            <v>4</v>
          </cell>
        </row>
        <row r="159">
          <cell r="A159">
            <v>144</v>
          </cell>
          <cell r="B159" t="str">
            <v>Maint Supervision &amp; Engineering</v>
          </cell>
          <cell r="C159">
            <v>762</v>
          </cell>
          <cell r="E159">
            <v>0</v>
          </cell>
          <cell r="F159" t="str">
            <v>SUPP</v>
          </cell>
          <cell r="P159">
            <v>0</v>
          </cell>
          <cell r="R159">
            <v>8</v>
          </cell>
        </row>
        <row r="160">
          <cell r="A160">
            <v>145</v>
          </cell>
          <cell r="B160" t="str">
            <v>Field Lines</v>
          </cell>
          <cell r="C160" t="str">
            <v>764, 787</v>
          </cell>
          <cell r="E160">
            <v>0</v>
          </cell>
          <cell r="F160" t="str">
            <v>SUPP</v>
          </cell>
          <cell r="P160">
            <v>0</v>
          </cell>
          <cell r="R160">
            <v>8</v>
          </cell>
        </row>
        <row r="161">
          <cell r="A161">
            <v>146</v>
          </cell>
          <cell r="B161" t="str">
            <v>Field Meas/Reg</v>
          </cell>
          <cell r="C161" t="str">
            <v>765, 766</v>
          </cell>
          <cell r="E161">
            <v>0</v>
          </cell>
          <cell r="F161" t="str">
            <v>SUPP</v>
          </cell>
          <cell r="P161">
            <v>0</v>
          </cell>
          <cell r="R161">
            <v>8</v>
          </cell>
        </row>
        <row r="162">
          <cell r="A162">
            <v>147</v>
          </cell>
          <cell r="B162" t="str">
            <v xml:space="preserve">     Subtotal - Maintenance Accounts</v>
          </cell>
          <cell r="C162" t="str">
            <v>762-787</v>
          </cell>
          <cell r="E162">
            <v>0</v>
          </cell>
          <cell r="P162">
            <v>0</v>
          </cell>
        </row>
        <row r="163">
          <cell r="A163">
            <v>148</v>
          </cell>
        </row>
        <row r="164">
          <cell r="A164">
            <v>149</v>
          </cell>
          <cell r="B164" t="str">
            <v>Subtotal - Manufactured Gas Production</v>
          </cell>
          <cell r="C164" t="str">
            <v>751-787</v>
          </cell>
          <cell r="E164">
            <v>0</v>
          </cell>
          <cell r="P164">
            <v>0</v>
          </cell>
        </row>
        <row r="165">
          <cell r="A165">
            <v>150</v>
          </cell>
        </row>
        <row r="166">
          <cell r="A166">
            <v>151</v>
          </cell>
          <cell r="B166" t="str">
            <v>2. Other Gas Supply  Expenses</v>
          </cell>
        </row>
        <row r="167">
          <cell r="A167">
            <v>152</v>
          </cell>
        </row>
        <row r="168">
          <cell r="A168">
            <v>153</v>
          </cell>
          <cell r="B168" t="str">
            <v>Oth Gas Supply Op - Natural gas well head Pur</v>
          </cell>
          <cell r="C168">
            <v>800</v>
          </cell>
          <cell r="E168">
            <v>0</v>
          </cell>
          <cell r="F168" t="str">
            <v>SUPP</v>
          </cell>
          <cell r="P168">
            <v>0</v>
          </cell>
          <cell r="R168">
            <v>8</v>
          </cell>
        </row>
        <row r="169">
          <cell r="A169">
            <v>154</v>
          </cell>
          <cell r="B169" t="str">
            <v>Nat Gas Field Lines</v>
          </cell>
          <cell r="C169">
            <v>801</v>
          </cell>
          <cell r="E169">
            <v>0</v>
          </cell>
          <cell r="F169" t="str">
            <v>SUPP</v>
          </cell>
          <cell r="P169">
            <v>0</v>
          </cell>
          <cell r="R169">
            <v>8</v>
          </cell>
        </row>
        <row r="170">
          <cell r="A170">
            <v>155</v>
          </cell>
          <cell r="B170" t="str">
            <v>Nat Gas Transmission Lines</v>
          </cell>
          <cell r="C170">
            <v>803</v>
          </cell>
          <cell r="E170">
            <v>0</v>
          </cell>
          <cell r="F170" t="str">
            <v>SUPP</v>
          </cell>
          <cell r="P170">
            <v>0</v>
          </cell>
          <cell r="R170">
            <v>8</v>
          </cell>
        </row>
        <row r="171">
          <cell r="A171">
            <v>156</v>
          </cell>
          <cell r="B171" t="str">
            <v>Natural Gas City Gate</v>
          </cell>
          <cell r="C171">
            <v>804</v>
          </cell>
          <cell r="E171">
            <v>107612402.79367998</v>
          </cell>
          <cell r="F171" t="str">
            <v>SUPP</v>
          </cell>
          <cell r="P171">
            <v>0</v>
          </cell>
          <cell r="R171">
            <v>8</v>
          </cell>
        </row>
        <row r="172">
          <cell r="A172">
            <v>157</v>
          </cell>
          <cell r="B172" t="str">
            <v>Natural Gas City Gate - TF1</v>
          </cell>
          <cell r="C172">
            <v>0</v>
          </cell>
          <cell r="E172">
            <v>0</v>
          </cell>
          <cell r="F172" t="str">
            <v>SUPP</v>
          </cell>
          <cell r="P172">
            <v>0</v>
          </cell>
          <cell r="R172">
            <v>8</v>
          </cell>
        </row>
        <row r="173">
          <cell r="A173">
            <v>158</v>
          </cell>
          <cell r="B173" t="str">
            <v>Natural Gas City Gate - JP + TF-2</v>
          </cell>
          <cell r="C173">
            <v>0</v>
          </cell>
          <cell r="E173">
            <v>0</v>
          </cell>
          <cell r="F173" t="str">
            <v>SUPP</v>
          </cell>
          <cell r="P173">
            <v>0</v>
          </cell>
          <cell r="R173">
            <v>8</v>
          </cell>
        </row>
        <row r="174">
          <cell r="A174">
            <v>159</v>
          </cell>
          <cell r="B174" t="str">
            <v>Natural Gas City Gate - Peaking</v>
          </cell>
          <cell r="C174">
            <v>0</v>
          </cell>
          <cell r="E174">
            <v>0</v>
          </cell>
          <cell r="F174" t="str">
            <v>SUPP</v>
          </cell>
          <cell r="P174">
            <v>0</v>
          </cell>
          <cell r="R174">
            <v>8</v>
          </cell>
        </row>
        <row r="175">
          <cell r="A175">
            <v>160</v>
          </cell>
          <cell r="B175" t="str">
            <v>Purchase Gas Cost Adjustment</v>
          </cell>
          <cell r="C175">
            <v>805</v>
          </cell>
          <cell r="E175">
            <v>0</v>
          </cell>
          <cell r="F175" t="str">
            <v>SUPP</v>
          </cell>
          <cell r="P175">
            <v>0</v>
          </cell>
          <cell r="R175">
            <v>8</v>
          </cell>
        </row>
        <row r="176">
          <cell r="A176">
            <v>161</v>
          </cell>
          <cell r="B176" t="str">
            <v>Exchange Gas</v>
          </cell>
          <cell r="C176">
            <v>806</v>
          </cell>
          <cell r="E176">
            <v>0</v>
          </cell>
          <cell r="F176" t="str">
            <v>SUPP</v>
          </cell>
          <cell r="P176">
            <v>0</v>
          </cell>
          <cell r="R176">
            <v>8</v>
          </cell>
        </row>
        <row r="177">
          <cell r="A177">
            <v>162</v>
          </cell>
          <cell r="B177" t="str">
            <v>Well Expense - Purchase Gas</v>
          </cell>
          <cell r="C177">
            <v>807</v>
          </cell>
          <cell r="E177">
            <v>0</v>
          </cell>
          <cell r="F177" t="str">
            <v>SUPP</v>
          </cell>
          <cell r="P177">
            <v>0</v>
          </cell>
          <cell r="R177">
            <v>8</v>
          </cell>
        </row>
        <row r="178">
          <cell r="A178">
            <v>163</v>
          </cell>
          <cell r="B178" t="str">
            <v>Gas Delivery/Withdraw from Storage</v>
          </cell>
          <cell r="C178">
            <v>808</v>
          </cell>
          <cell r="E178">
            <v>0</v>
          </cell>
          <cell r="F178" t="str">
            <v>SUPP</v>
          </cell>
          <cell r="P178">
            <v>0</v>
          </cell>
          <cell r="R178">
            <v>8</v>
          </cell>
        </row>
        <row r="179">
          <cell r="A179">
            <v>164</v>
          </cell>
          <cell r="B179" t="str">
            <v>Gas used Compressor Station</v>
          </cell>
          <cell r="C179">
            <v>810</v>
          </cell>
          <cell r="E179">
            <v>0</v>
          </cell>
          <cell r="F179" t="str">
            <v>SUPP</v>
          </cell>
          <cell r="P179">
            <v>0</v>
          </cell>
          <cell r="R179">
            <v>8</v>
          </cell>
        </row>
        <row r="180">
          <cell r="A180">
            <v>165</v>
          </cell>
          <cell r="B180" t="str">
            <v>Gas Used Other Util Ops-Credit</v>
          </cell>
          <cell r="C180">
            <v>812755</v>
          </cell>
          <cell r="E180">
            <v>0</v>
          </cell>
          <cell r="F180" t="str">
            <v>SUPP</v>
          </cell>
          <cell r="P180">
            <v>0</v>
          </cell>
          <cell r="R180">
            <v>8</v>
          </cell>
        </row>
        <row r="181">
          <cell r="A181">
            <v>166</v>
          </cell>
          <cell r="B181" t="str">
            <v>Other Gas Supply Expenses</v>
          </cell>
          <cell r="C181">
            <v>813</v>
          </cell>
          <cell r="E181">
            <v>535154.69966348482</v>
          </cell>
          <cell r="F181" t="str">
            <v>SUPP</v>
          </cell>
          <cell r="P181">
            <v>0</v>
          </cell>
          <cell r="R181">
            <v>8</v>
          </cell>
        </row>
        <row r="182">
          <cell r="A182">
            <v>167</v>
          </cell>
          <cell r="B182" t="str">
            <v>Subtotal - OTHER GAS SUPPLY EXPENSES</v>
          </cell>
          <cell r="C182" t="str">
            <v>801-813</v>
          </cell>
          <cell r="E182">
            <v>108147557.49334347</v>
          </cell>
          <cell r="P182">
            <v>0</v>
          </cell>
        </row>
        <row r="183">
          <cell r="A183">
            <v>168</v>
          </cell>
        </row>
        <row r="184">
          <cell r="A184">
            <v>169</v>
          </cell>
        </row>
        <row r="185">
          <cell r="A185">
            <v>170</v>
          </cell>
          <cell r="B185" t="str">
            <v>B. NATURAL GAS STORAGE, TERMINALING &amp; PROCESSING EXPENSES</v>
          </cell>
        </row>
        <row r="186">
          <cell r="A186">
            <v>171</v>
          </cell>
        </row>
        <row r="187">
          <cell r="A187">
            <v>172</v>
          </cell>
          <cell r="B187" t="str">
            <v>UG Storage Operation supervision and engineering</v>
          </cell>
          <cell r="C187">
            <v>814</v>
          </cell>
          <cell r="E187">
            <v>0</v>
          </cell>
          <cell r="F187" t="str">
            <v>STOR</v>
          </cell>
          <cell r="P187">
            <v>0</v>
          </cell>
          <cell r="R187">
            <v>11</v>
          </cell>
        </row>
        <row r="188">
          <cell r="A188">
            <v>173</v>
          </cell>
          <cell r="B188" t="str">
            <v>Wells Expense</v>
          </cell>
          <cell r="C188">
            <v>816</v>
          </cell>
          <cell r="E188">
            <v>0</v>
          </cell>
          <cell r="F188" t="str">
            <v>STOR</v>
          </cell>
          <cell r="P188">
            <v>0</v>
          </cell>
          <cell r="R188">
            <v>11</v>
          </cell>
        </row>
        <row r="189">
          <cell r="A189">
            <v>174</v>
          </cell>
          <cell r="B189" t="str">
            <v>Lines Expenses</v>
          </cell>
          <cell r="C189">
            <v>817</v>
          </cell>
          <cell r="E189">
            <v>0</v>
          </cell>
          <cell r="F189" t="str">
            <v>STOR</v>
          </cell>
          <cell r="P189">
            <v>0</v>
          </cell>
          <cell r="R189">
            <v>11</v>
          </cell>
        </row>
        <row r="190">
          <cell r="A190">
            <v>175</v>
          </cell>
          <cell r="B190" t="str">
            <v>Compressor Station Expenses</v>
          </cell>
          <cell r="C190">
            <v>818</v>
          </cell>
          <cell r="E190">
            <v>0</v>
          </cell>
          <cell r="F190" t="str">
            <v>STOR</v>
          </cell>
          <cell r="P190">
            <v>0</v>
          </cell>
          <cell r="R190">
            <v>11</v>
          </cell>
        </row>
        <row r="191">
          <cell r="A191">
            <v>176</v>
          </cell>
          <cell r="B191" t="str">
            <v>Compressor Station Fuel</v>
          </cell>
          <cell r="C191">
            <v>819</v>
          </cell>
          <cell r="E191">
            <v>0</v>
          </cell>
          <cell r="F191" t="str">
            <v>SUPP</v>
          </cell>
          <cell r="P191">
            <v>0</v>
          </cell>
          <cell r="R191">
            <v>8</v>
          </cell>
        </row>
        <row r="192">
          <cell r="A192">
            <v>177</v>
          </cell>
          <cell r="B192" t="str">
            <v>Meas/Reg Station Expenses</v>
          </cell>
          <cell r="C192">
            <v>820</v>
          </cell>
          <cell r="E192">
            <v>0</v>
          </cell>
          <cell r="F192" t="str">
            <v>STOR</v>
          </cell>
          <cell r="P192">
            <v>0</v>
          </cell>
          <cell r="R192">
            <v>11</v>
          </cell>
        </row>
        <row r="193">
          <cell r="A193">
            <v>178</v>
          </cell>
          <cell r="B193" t="str">
            <v>Gas Losses</v>
          </cell>
          <cell r="C193">
            <v>823</v>
          </cell>
          <cell r="E193">
            <v>0</v>
          </cell>
          <cell r="F193" t="str">
            <v>SUPP</v>
          </cell>
          <cell r="P193">
            <v>0</v>
          </cell>
          <cell r="R193">
            <v>8</v>
          </cell>
        </row>
        <row r="194">
          <cell r="A194">
            <v>179</v>
          </cell>
          <cell r="B194" t="str">
            <v>Other Expenses</v>
          </cell>
          <cell r="C194">
            <v>824</v>
          </cell>
          <cell r="E194">
            <v>0</v>
          </cell>
          <cell r="F194" t="str">
            <v>STOR</v>
          </cell>
          <cell r="P194">
            <v>0</v>
          </cell>
          <cell r="R194">
            <v>11</v>
          </cell>
        </row>
        <row r="195">
          <cell r="A195">
            <v>180</v>
          </cell>
          <cell r="B195" t="str">
            <v>Storage Well Royalties</v>
          </cell>
          <cell r="C195">
            <v>825</v>
          </cell>
          <cell r="E195">
            <v>0</v>
          </cell>
          <cell r="F195" t="str">
            <v>STOR</v>
          </cell>
          <cell r="P195">
            <v>0</v>
          </cell>
          <cell r="R195">
            <v>11</v>
          </cell>
        </row>
        <row r="196">
          <cell r="A196">
            <v>181</v>
          </cell>
          <cell r="B196" t="str">
            <v xml:space="preserve">     Subtotal - Operations Accounts</v>
          </cell>
          <cell r="C196" t="str">
            <v>816-825</v>
          </cell>
          <cell r="E196">
            <v>0</v>
          </cell>
          <cell r="P196">
            <v>0</v>
          </cell>
          <cell r="R196">
            <v>4</v>
          </cell>
        </row>
        <row r="197">
          <cell r="A197">
            <v>182</v>
          </cell>
          <cell r="B197" t="str">
            <v>UG Storage Maint - supervision and engineering</v>
          </cell>
          <cell r="C197">
            <v>830</v>
          </cell>
          <cell r="E197">
            <v>0</v>
          </cell>
          <cell r="F197" t="str">
            <v>STOR</v>
          </cell>
          <cell r="P197">
            <v>0</v>
          </cell>
          <cell r="R197">
            <v>11</v>
          </cell>
        </row>
        <row r="198">
          <cell r="A198">
            <v>183</v>
          </cell>
          <cell r="B198" t="str">
            <v>Maint. of Structures &amp; Improvements</v>
          </cell>
          <cell r="C198">
            <v>831</v>
          </cell>
          <cell r="E198">
            <v>0</v>
          </cell>
          <cell r="F198" t="str">
            <v>STOR</v>
          </cell>
          <cell r="P198">
            <v>0</v>
          </cell>
          <cell r="R198">
            <v>11</v>
          </cell>
        </row>
        <row r="199">
          <cell r="A199">
            <v>184</v>
          </cell>
          <cell r="B199" t="str">
            <v>Maint. of Reservoirs and Wells</v>
          </cell>
          <cell r="C199">
            <v>832</v>
          </cell>
          <cell r="E199">
            <v>0</v>
          </cell>
          <cell r="F199" t="str">
            <v>STOR</v>
          </cell>
          <cell r="P199">
            <v>0</v>
          </cell>
          <cell r="R199">
            <v>11</v>
          </cell>
        </row>
        <row r="200">
          <cell r="A200">
            <v>185</v>
          </cell>
          <cell r="B200" t="str">
            <v>Maint. of Lines</v>
          </cell>
          <cell r="C200">
            <v>833</v>
          </cell>
          <cell r="E200">
            <v>0</v>
          </cell>
          <cell r="F200" t="str">
            <v>STOR</v>
          </cell>
          <cell r="P200">
            <v>0</v>
          </cell>
          <cell r="R200">
            <v>11</v>
          </cell>
        </row>
        <row r="201">
          <cell r="A201">
            <v>186</v>
          </cell>
          <cell r="B201" t="str">
            <v>Maint. of Compressor Station Equipment</v>
          </cell>
          <cell r="C201">
            <v>834</v>
          </cell>
          <cell r="E201">
            <v>0</v>
          </cell>
          <cell r="F201" t="str">
            <v>STOR</v>
          </cell>
          <cell r="P201">
            <v>0</v>
          </cell>
          <cell r="R201">
            <v>11</v>
          </cell>
        </row>
        <row r="202">
          <cell r="A202">
            <v>187</v>
          </cell>
          <cell r="B202" t="str">
            <v>Maint. of Meas/Reg Statoin Equipment</v>
          </cell>
          <cell r="C202">
            <v>835</v>
          </cell>
          <cell r="E202">
            <v>0</v>
          </cell>
          <cell r="F202" t="str">
            <v>STOR</v>
          </cell>
          <cell r="P202">
            <v>0</v>
          </cell>
          <cell r="R202">
            <v>11</v>
          </cell>
        </row>
        <row r="203">
          <cell r="A203">
            <v>188</v>
          </cell>
          <cell r="B203" t="str">
            <v xml:space="preserve">     Subtotal - Maint.  Accounts</v>
          </cell>
          <cell r="C203" t="str">
            <v>831-835</v>
          </cell>
          <cell r="E203">
            <v>0</v>
          </cell>
          <cell r="P203">
            <v>0</v>
          </cell>
        </row>
        <row r="204">
          <cell r="A204">
            <v>189</v>
          </cell>
        </row>
        <row r="205">
          <cell r="A205">
            <v>190</v>
          </cell>
          <cell r="B205" t="str">
            <v>Subtotal - NATURAL GAS STORAGE</v>
          </cell>
          <cell r="C205" t="str">
            <v>816-835</v>
          </cell>
          <cell r="E205">
            <v>0</v>
          </cell>
          <cell r="P205">
            <v>0</v>
          </cell>
        </row>
        <row r="206">
          <cell r="A206">
            <v>191</v>
          </cell>
        </row>
        <row r="207">
          <cell r="A207">
            <v>192</v>
          </cell>
          <cell r="B207" t="str">
            <v>C. TRANSMISSION EXPENSES</v>
          </cell>
        </row>
        <row r="208">
          <cell r="A208">
            <v>193</v>
          </cell>
        </row>
        <row r="209">
          <cell r="A209">
            <v>194</v>
          </cell>
          <cell r="B209" t="str">
            <v>Supvervision/Engineering</v>
          </cell>
          <cell r="C209">
            <v>850</v>
          </cell>
          <cell r="E209">
            <v>0</v>
          </cell>
          <cell r="F209" t="str">
            <v>TRANS</v>
          </cell>
          <cell r="P209">
            <v>0</v>
          </cell>
          <cell r="R209">
            <v>14</v>
          </cell>
        </row>
        <row r="210">
          <cell r="A210">
            <v>195</v>
          </cell>
          <cell r="B210" t="str">
            <v>Compressor Station Labor &amp; Expenses</v>
          </cell>
          <cell r="C210">
            <v>853</v>
          </cell>
          <cell r="E210">
            <v>0</v>
          </cell>
          <cell r="F210" t="str">
            <v>TRANS</v>
          </cell>
          <cell r="P210">
            <v>0</v>
          </cell>
          <cell r="R210">
            <v>14</v>
          </cell>
        </row>
        <row r="211">
          <cell r="A211">
            <v>196</v>
          </cell>
          <cell r="B211" t="str">
            <v>Mains Expense</v>
          </cell>
          <cell r="C211">
            <v>856</v>
          </cell>
          <cell r="E211">
            <v>0</v>
          </cell>
          <cell r="F211" t="str">
            <v>TRANS</v>
          </cell>
          <cell r="P211">
            <v>0</v>
          </cell>
          <cell r="R211">
            <v>14</v>
          </cell>
        </row>
        <row r="212">
          <cell r="A212">
            <v>197</v>
          </cell>
          <cell r="B212" t="str">
            <v>Meas/Reg Station Expenses</v>
          </cell>
          <cell r="C212">
            <v>857</v>
          </cell>
          <cell r="E212">
            <v>0</v>
          </cell>
          <cell r="F212" t="str">
            <v>TRANS</v>
          </cell>
          <cell r="P212">
            <v>0</v>
          </cell>
          <cell r="R212">
            <v>14</v>
          </cell>
        </row>
        <row r="213">
          <cell r="A213">
            <v>198</v>
          </cell>
          <cell r="B213" t="str">
            <v>Transmission/Compressor Ga</v>
          </cell>
          <cell r="C213">
            <v>858</v>
          </cell>
          <cell r="E213">
            <v>0</v>
          </cell>
          <cell r="F213" t="str">
            <v>SUPP</v>
          </cell>
          <cell r="P213">
            <v>0</v>
          </cell>
          <cell r="R213">
            <v>8</v>
          </cell>
        </row>
        <row r="214">
          <cell r="A214">
            <v>199</v>
          </cell>
          <cell r="B214" t="str">
            <v>Other Expenses</v>
          </cell>
          <cell r="C214">
            <v>859</v>
          </cell>
          <cell r="E214">
            <v>0</v>
          </cell>
          <cell r="F214" t="str">
            <v>TRANS</v>
          </cell>
          <cell r="P214">
            <v>0</v>
          </cell>
          <cell r="R214">
            <v>14</v>
          </cell>
        </row>
        <row r="215">
          <cell r="A215">
            <v>200</v>
          </cell>
          <cell r="B215" t="str">
            <v>Rents</v>
          </cell>
          <cell r="C215" t="str">
            <v>860</v>
          </cell>
          <cell r="E215">
            <v>0</v>
          </cell>
          <cell r="F215" t="str">
            <v>TRANS</v>
          </cell>
          <cell r="P215">
            <v>0</v>
          </cell>
          <cell r="R215">
            <v>14</v>
          </cell>
        </row>
        <row r="216">
          <cell r="A216">
            <v>201</v>
          </cell>
          <cell r="B216" t="str">
            <v xml:space="preserve">     Subtotal - Operation Accounts</v>
          </cell>
          <cell r="C216" t="str">
            <v>850-860</v>
          </cell>
          <cell r="E216">
            <v>0</v>
          </cell>
          <cell r="P216">
            <v>0</v>
          </cell>
        </row>
        <row r="217">
          <cell r="A217">
            <v>202</v>
          </cell>
          <cell r="B217" t="str">
            <v>Gas Transmission Maint - structures and improvements</v>
          </cell>
          <cell r="C217">
            <v>862</v>
          </cell>
          <cell r="E217">
            <v>0</v>
          </cell>
          <cell r="F217" t="str">
            <v>TRANS</v>
          </cell>
          <cell r="P217">
            <v>0</v>
          </cell>
          <cell r="R217">
            <v>14</v>
          </cell>
        </row>
        <row r="218">
          <cell r="A218">
            <v>203</v>
          </cell>
          <cell r="B218" t="str">
            <v>Maint. of Mains</v>
          </cell>
          <cell r="C218">
            <v>863</v>
          </cell>
          <cell r="E218">
            <v>0</v>
          </cell>
          <cell r="F218" t="str">
            <v>TRANS</v>
          </cell>
          <cell r="P218">
            <v>0</v>
          </cell>
          <cell r="R218">
            <v>14</v>
          </cell>
        </row>
        <row r="219">
          <cell r="A219">
            <v>204</v>
          </cell>
          <cell r="B219" t="str">
            <v>Maint. Of Compressor Station</v>
          </cell>
          <cell r="C219">
            <v>864</v>
          </cell>
          <cell r="E219">
            <v>0</v>
          </cell>
          <cell r="F219" t="str">
            <v>TRANS</v>
          </cell>
          <cell r="P219">
            <v>0</v>
          </cell>
          <cell r="R219">
            <v>14</v>
          </cell>
        </row>
        <row r="220">
          <cell r="A220">
            <v>205</v>
          </cell>
          <cell r="B220" t="str">
            <v>Maint. Of Meas/Reg Station Equipment</v>
          </cell>
          <cell r="C220">
            <v>865</v>
          </cell>
          <cell r="E220">
            <v>0</v>
          </cell>
          <cell r="F220" t="str">
            <v>TRANS</v>
          </cell>
          <cell r="P220">
            <v>0</v>
          </cell>
          <cell r="R220">
            <v>14</v>
          </cell>
        </row>
        <row r="221">
          <cell r="A221">
            <v>206</v>
          </cell>
          <cell r="B221" t="str">
            <v xml:space="preserve">     Subtotal - Maintenance Accounts</v>
          </cell>
          <cell r="C221" t="str">
            <v>863-865</v>
          </cell>
          <cell r="E221">
            <v>0</v>
          </cell>
          <cell r="P221">
            <v>0</v>
          </cell>
          <cell r="R221">
            <v>4</v>
          </cell>
        </row>
        <row r="222">
          <cell r="A222">
            <v>207</v>
          </cell>
        </row>
        <row r="223">
          <cell r="A223">
            <v>208</v>
          </cell>
          <cell r="B223" t="str">
            <v>Subtotal - TRANSMISSION EXPENSES</v>
          </cell>
          <cell r="C223" t="str">
            <v>850-865</v>
          </cell>
          <cell r="E223">
            <v>0</v>
          </cell>
          <cell r="P223">
            <v>0</v>
          </cell>
        </row>
        <row r="224">
          <cell r="A224">
            <v>209</v>
          </cell>
        </row>
        <row r="225">
          <cell r="A225">
            <v>210</v>
          </cell>
          <cell r="B225" t="str">
            <v>D. DISTRIBUTION EXPENSES</v>
          </cell>
        </row>
        <row r="226">
          <cell r="A226">
            <v>211</v>
          </cell>
        </row>
        <row r="227">
          <cell r="A227">
            <v>212</v>
          </cell>
          <cell r="B227" t="str">
            <v>Operation Supervision &amp; Engineering</v>
          </cell>
          <cell r="C227" t="str">
            <v>870</v>
          </cell>
          <cell r="E227">
            <v>2692327.8328841524</v>
          </cell>
          <cell r="F227" t="str">
            <v>DIST</v>
          </cell>
          <cell r="P227">
            <v>0</v>
          </cell>
          <cell r="R227">
            <v>17</v>
          </cell>
        </row>
        <row r="228">
          <cell r="A228">
            <v>213</v>
          </cell>
          <cell r="B228" t="str">
            <v>Distribution Load Dispatching</v>
          </cell>
          <cell r="C228" t="str">
            <v>871</v>
          </cell>
          <cell r="E228">
            <v>518908.79036897403</v>
          </cell>
          <cell r="F228" t="str">
            <v>DIST</v>
          </cell>
          <cell r="P228">
            <v>0</v>
          </cell>
          <cell r="R228">
            <v>17</v>
          </cell>
        </row>
        <row r="229">
          <cell r="A229">
            <v>214</v>
          </cell>
          <cell r="B229" t="str">
            <v>Compressor Station</v>
          </cell>
          <cell r="C229">
            <v>872</v>
          </cell>
          <cell r="E229">
            <v>117168.15408762959</v>
          </cell>
          <cell r="F229" t="str">
            <v>DIST</v>
          </cell>
          <cell r="P229">
            <v>0</v>
          </cell>
          <cell r="R229">
            <v>17</v>
          </cell>
        </row>
        <row r="230">
          <cell r="A230">
            <v>215</v>
          </cell>
          <cell r="B230" t="str">
            <v>Mains and Services Expenses</v>
          </cell>
          <cell r="C230" t="str">
            <v>874</v>
          </cell>
          <cell r="E230">
            <v>3687791.2703530602</v>
          </cell>
          <cell r="F230" t="str">
            <v>MAIN-SERVICE</v>
          </cell>
          <cell r="P230">
            <v>0</v>
          </cell>
          <cell r="R230">
            <v>59</v>
          </cell>
        </row>
        <row r="231">
          <cell r="A231">
            <v>216</v>
          </cell>
          <cell r="B231" t="str">
            <v>Meas. &amp; Reg. Station Expenses</v>
          </cell>
          <cell r="C231" t="str">
            <v>875</v>
          </cell>
          <cell r="E231">
            <v>611560.37632012053</v>
          </cell>
          <cell r="F231" t="str">
            <v>DIST</v>
          </cell>
          <cell r="P231">
            <v>0</v>
          </cell>
          <cell r="R231">
            <v>17</v>
          </cell>
        </row>
        <row r="232">
          <cell r="A232">
            <v>217</v>
          </cell>
          <cell r="B232" t="str">
            <v>Meas. &amp; Reg. Station Expenses - Ind</v>
          </cell>
          <cell r="C232">
            <v>876</v>
          </cell>
          <cell r="E232">
            <v>157191.37296992328</v>
          </cell>
          <cell r="F232" t="str">
            <v>DIST</v>
          </cell>
          <cell r="P232">
            <v>0</v>
          </cell>
          <cell r="R232">
            <v>17</v>
          </cell>
        </row>
        <row r="233">
          <cell r="A233">
            <v>218</v>
          </cell>
          <cell r="B233" t="str">
            <v>Meter &amp; House Regulator Expenses</v>
          </cell>
          <cell r="C233" t="str">
            <v>878</v>
          </cell>
          <cell r="E233">
            <v>1403651.9251681019</v>
          </cell>
          <cell r="F233" t="str">
            <v>DIST</v>
          </cell>
          <cell r="P233">
            <v>0</v>
          </cell>
          <cell r="R233">
            <v>17</v>
          </cell>
        </row>
        <row r="234">
          <cell r="A234">
            <v>219</v>
          </cell>
          <cell r="B234" t="str">
            <v>Customer Installations Expenses</v>
          </cell>
          <cell r="C234" t="str">
            <v>879</v>
          </cell>
          <cell r="E234">
            <v>1117249.1980196733</v>
          </cell>
          <cell r="F234" t="str">
            <v>DIST</v>
          </cell>
          <cell r="P234">
            <v>0</v>
          </cell>
          <cell r="R234">
            <v>17</v>
          </cell>
        </row>
        <row r="235">
          <cell r="A235">
            <v>220</v>
          </cell>
          <cell r="B235" t="str">
            <v>Other Expenses</v>
          </cell>
          <cell r="C235">
            <v>880</v>
          </cell>
          <cell r="E235">
            <v>3396389.0393745224</v>
          </cell>
          <cell r="F235" t="str">
            <v>DIST</v>
          </cell>
          <cell r="P235">
            <v>0</v>
          </cell>
          <cell r="R235">
            <v>17</v>
          </cell>
        </row>
        <row r="236">
          <cell r="A236">
            <v>221</v>
          </cell>
          <cell r="B236" t="str">
            <v>Rents</v>
          </cell>
          <cell r="C236" t="str">
            <v>881</v>
          </cell>
          <cell r="E236">
            <v>149900.68</v>
          </cell>
          <cell r="F236" t="str">
            <v>DIST</v>
          </cell>
          <cell r="P236">
            <v>0</v>
          </cell>
          <cell r="R236">
            <v>17</v>
          </cell>
        </row>
        <row r="237">
          <cell r="A237">
            <v>222</v>
          </cell>
          <cell r="B237" t="str">
            <v>Maint. Supervision &amp; Engineering</v>
          </cell>
          <cell r="C237">
            <v>885</v>
          </cell>
          <cell r="E237">
            <v>143664.39464672163</v>
          </cell>
          <cell r="F237" t="str">
            <v>DIST</v>
          </cell>
          <cell r="P237">
            <v>0</v>
          </cell>
          <cell r="R237">
            <v>17</v>
          </cell>
        </row>
        <row r="238">
          <cell r="A238">
            <v>223</v>
          </cell>
          <cell r="B238" t="str">
            <v>Maint. of Structures &amp; Improvements</v>
          </cell>
          <cell r="C238" t="str">
            <v>886</v>
          </cell>
          <cell r="E238">
            <v>15839.48407712</v>
          </cell>
          <cell r="F238" t="str">
            <v>DIST</v>
          </cell>
          <cell r="P238">
            <v>0</v>
          </cell>
          <cell r="R238">
            <v>17</v>
          </cell>
        </row>
        <row r="239">
          <cell r="A239">
            <v>224</v>
          </cell>
          <cell r="B239" t="str">
            <v>Maint. of Mains</v>
          </cell>
          <cell r="C239" t="str">
            <v>887</v>
          </cell>
          <cell r="E239">
            <v>1297085.0157871176</v>
          </cell>
          <cell r="F239" t="str">
            <v>DIST-MAINS</v>
          </cell>
          <cell r="P239">
            <v>0</v>
          </cell>
          <cell r="R239">
            <v>62</v>
          </cell>
        </row>
        <row r="240">
          <cell r="A240">
            <v>225</v>
          </cell>
          <cell r="B240" t="str">
            <v>Maint. of Compressor Station Equip.</v>
          </cell>
          <cell r="C240" t="str">
            <v>888</v>
          </cell>
          <cell r="E240">
            <v>43235.8</v>
          </cell>
          <cell r="F240" t="str">
            <v>DIST</v>
          </cell>
          <cell r="P240">
            <v>0</v>
          </cell>
          <cell r="R240">
            <v>17</v>
          </cell>
        </row>
        <row r="241">
          <cell r="A241">
            <v>226</v>
          </cell>
          <cell r="B241" t="str">
            <v>Maint. of Meas. &amp; Reg. Station Expenses-General</v>
          </cell>
          <cell r="C241" t="str">
            <v>889</v>
          </cell>
          <cell r="E241">
            <v>348808.42392243946</v>
          </cell>
          <cell r="F241" t="str">
            <v>DIST</v>
          </cell>
          <cell r="P241">
            <v>0</v>
          </cell>
          <cell r="R241">
            <v>17</v>
          </cell>
        </row>
        <row r="242">
          <cell r="A242">
            <v>227</v>
          </cell>
          <cell r="B242" t="str">
            <v>Maint. of Meas. &amp; Reg. Station Expenses-Indust.</v>
          </cell>
          <cell r="C242" t="str">
            <v>890</v>
          </cell>
          <cell r="E242">
            <v>22017.708227379419</v>
          </cell>
          <cell r="F242" t="str">
            <v>DIST</v>
          </cell>
          <cell r="P242">
            <v>0</v>
          </cell>
          <cell r="R242">
            <v>17</v>
          </cell>
        </row>
        <row r="243">
          <cell r="A243">
            <v>228</v>
          </cell>
          <cell r="B243" t="str">
            <v>Maint. of Services</v>
          </cell>
          <cell r="C243" t="str">
            <v>892</v>
          </cell>
          <cell r="E243">
            <v>1236992.4879191988</v>
          </cell>
          <cell r="F243" t="str">
            <v>DIST</v>
          </cell>
          <cell r="P243">
            <v>0</v>
          </cell>
          <cell r="R243">
            <v>17</v>
          </cell>
        </row>
        <row r="244">
          <cell r="A244">
            <v>229</v>
          </cell>
          <cell r="B244" t="str">
            <v>Maint. of Meters &amp; House Regulators</v>
          </cell>
          <cell r="C244" t="str">
            <v>893</v>
          </cell>
          <cell r="E244">
            <v>1158015.9543685243</v>
          </cell>
          <cell r="F244" t="str">
            <v>DIST</v>
          </cell>
          <cell r="P244">
            <v>0</v>
          </cell>
          <cell r="R244">
            <v>17</v>
          </cell>
        </row>
        <row r="245">
          <cell r="A245">
            <v>230</v>
          </cell>
          <cell r="B245" t="str">
            <v>Maint. of Other Equipment</v>
          </cell>
          <cell r="C245" t="str">
            <v>894</v>
          </cell>
          <cell r="E245">
            <v>152352.80817273728</v>
          </cell>
          <cell r="F245" t="str">
            <v>DISTPT</v>
          </cell>
          <cell r="P245">
            <v>0</v>
          </cell>
          <cell r="R245">
            <v>77</v>
          </cell>
        </row>
        <row r="246">
          <cell r="A246">
            <v>231</v>
          </cell>
        </row>
        <row r="247">
          <cell r="A247">
            <v>232</v>
          </cell>
          <cell r="B247" t="str">
            <v>Subtotal - DISTRIBUTION EXPENSES</v>
          </cell>
          <cell r="C247" t="str">
            <v>870-894</v>
          </cell>
          <cell r="E247">
            <v>18270150.716667399</v>
          </cell>
          <cell r="P247">
            <v>0</v>
          </cell>
        </row>
        <row r="248">
          <cell r="A248">
            <v>233</v>
          </cell>
        </row>
        <row r="249">
          <cell r="A249">
            <v>234</v>
          </cell>
          <cell r="B249" t="str">
            <v>Total - OPERATION &amp; MAINTENANCE EXPENSES</v>
          </cell>
          <cell r="E249">
            <v>126417708.21001087</v>
          </cell>
          <cell r="P249">
            <v>0</v>
          </cell>
        </row>
        <row r="250">
          <cell r="A250">
            <v>235</v>
          </cell>
        </row>
        <row r="251">
          <cell r="A251">
            <v>236</v>
          </cell>
        </row>
        <row r="252">
          <cell r="A252">
            <v>237</v>
          </cell>
          <cell r="B252" t="str">
            <v>II. CUSTOMER ACCOUNTS EXPENSES</v>
          </cell>
        </row>
        <row r="253">
          <cell r="A253">
            <v>238</v>
          </cell>
          <cell r="B253" t="str">
            <v>Supervision</v>
          </cell>
          <cell r="C253">
            <v>901</v>
          </cell>
          <cell r="E253">
            <v>-2727.79</v>
          </cell>
          <cell r="F253" t="str">
            <v>DIST</v>
          </cell>
          <cell r="P253">
            <v>0</v>
          </cell>
          <cell r="R253">
            <v>17</v>
          </cell>
        </row>
        <row r="254">
          <cell r="A254">
            <v>239</v>
          </cell>
          <cell r="B254" t="str">
            <v>Meter Reading Expenses</v>
          </cell>
          <cell r="C254" t="str">
            <v>902</v>
          </cell>
          <cell r="E254">
            <v>548914.53047802974</v>
          </cell>
          <cell r="F254" t="str">
            <v>DIST</v>
          </cell>
          <cell r="P254">
            <v>0</v>
          </cell>
          <cell r="R254">
            <v>17</v>
          </cell>
        </row>
        <row r="255">
          <cell r="A255">
            <v>240</v>
          </cell>
          <cell r="B255" t="str">
            <v>Customer Records &amp; Collection Expense</v>
          </cell>
          <cell r="C255" t="str">
            <v>903</v>
          </cell>
          <cell r="E255">
            <v>5145122.597435995</v>
          </cell>
          <cell r="F255" t="str">
            <v>DIST</v>
          </cell>
          <cell r="P255">
            <v>0</v>
          </cell>
          <cell r="R255">
            <v>17</v>
          </cell>
        </row>
        <row r="256">
          <cell r="A256">
            <v>241</v>
          </cell>
          <cell r="B256" t="str">
            <v>Uncollectible Accounts</v>
          </cell>
          <cell r="C256" t="str">
            <v>904</v>
          </cell>
          <cell r="E256">
            <v>823816.4605104347</v>
          </cell>
          <cell r="F256" t="str">
            <v>DIST</v>
          </cell>
          <cell r="P256">
            <v>0</v>
          </cell>
          <cell r="R256">
            <v>17</v>
          </cell>
        </row>
        <row r="257">
          <cell r="A257">
            <v>242</v>
          </cell>
          <cell r="B257" t="str">
            <v>Misc. Exp.</v>
          </cell>
          <cell r="C257">
            <v>905</v>
          </cell>
          <cell r="E257">
            <v>795.98</v>
          </cell>
          <cell r="F257" t="str">
            <v>DIST</v>
          </cell>
          <cell r="P257">
            <v>0</v>
          </cell>
          <cell r="R257">
            <v>17</v>
          </cell>
        </row>
        <row r="258">
          <cell r="A258">
            <v>243</v>
          </cell>
        </row>
        <row r="259">
          <cell r="A259">
            <v>244</v>
          </cell>
          <cell r="B259" t="str">
            <v>Total - CUSTOMER ACCOUNTS EXPENSES</v>
          </cell>
          <cell r="C259" t="str">
            <v>901-904</v>
          </cell>
          <cell r="E259">
            <v>6515921.7784244595</v>
          </cell>
          <cell r="P259">
            <v>0</v>
          </cell>
        </row>
        <row r="260">
          <cell r="A260">
            <v>245</v>
          </cell>
        </row>
        <row r="261">
          <cell r="A261">
            <v>246</v>
          </cell>
          <cell r="B261" t="str">
            <v>III. CUSTOMER SERVICE &amp; INFORMATIONAL EXPENSES</v>
          </cell>
        </row>
        <row r="262">
          <cell r="A262">
            <v>247</v>
          </cell>
        </row>
        <row r="263">
          <cell r="A263">
            <v>248</v>
          </cell>
          <cell r="B263" t="str">
            <v>Supervision</v>
          </cell>
          <cell r="C263">
            <v>907</v>
          </cell>
          <cell r="E263">
            <v>0</v>
          </cell>
          <cell r="F263" t="str">
            <v>DIST</v>
          </cell>
          <cell r="P263">
            <v>0</v>
          </cell>
          <cell r="R263">
            <v>17</v>
          </cell>
        </row>
        <row r="264">
          <cell r="A264">
            <v>249</v>
          </cell>
          <cell r="B264" t="str">
            <v>Customer Assistance Expenses</v>
          </cell>
          <cell r="C264">
            <v>908</v>
          </cell>
          <cell r="E264">
            <v>250860.92000000004</v>
          </cell>
          <cell r="F264" t="str">
            <v>DIST</v>
          </cell>
          <cell r="P264">
            <v>0</v>
          </cell>
          <cell r="R264">
            <v>17</v>
          </cell>
        </row>
        <row r="265">
          <cell r="A265">
            <v>250</v>
          </cell>
          <cell r="B265" t="str">
            <v>Misc. Customer Serv. &amp; Inform. Expen.</v>
          </cell>
          <cell r="C265" t="str">
            <v>909, 910</v>
          </cell>
          <cell r="E265">
            <v>40201.360000000001</v>
          </cell>
          <cell r="F265" t="str">
            <v>DIST</v>
          </cell>
          <cell r="P265">
            <v>0</v>
          </cell>
          <cell r="R265">
            <v>17</v>
          </cell>
        </row>
        <row r="266">
          <cell r="A266">
            <v>251</v>
          </cell>
        </row>
        <row r="267">
          <cell r="A267">
            <v>252</v>
          </cell>
          <cell r="B267" t="str">
            <v>Subtotal - CUSTOMER SERVICE</v>
          </cell>
          <cell r="C267" t="str">
            <v>907-910</v>
          </cell>
          <cell r="E267">
            <v>291062.28000000003</v>
          </cell>
          <cell r="P267">
            <v>0</v>
          </cell>
        </row>
        <row r="268">
          <cell r="A268">
            <v>253</v>
          </cell>
        </row>
        <row r="269">
          <cell r="A269">
            <v>254</v>
          </cell>
          <cell r="B269" t="str">
            <v>IV. SALES EXPENSES (C-8)</v>
          </cell>
        </row>
        <row r="270">
          <cell r="A270">
            <v>255</v>
          </cell>
        </row>
        <row r="271">
          <cell r="A271">
            <v>256</v>
          </cell>
          <cell r="B271" t="str">
            <v>Supervision</v>
          </cell>
          <cell r="C271">
            <v>911</v>
          </cell>
          <cell r="E271">
            <v>0</v>
          </cell>
          <cell r="F271" t="str">
            <v>DIST</v>
          </cell>
          <cell r="P271">
            <v>0</v>
          </cell>
          <cell r="R271">
            <v>17</v>
          </cell>
        </row>
        <row r="272">
          <cell r="A272">
            <v>257</v>
          </cell>
          <cell r="B272" t="str">
            <v>Demonstrating &amp; Selling Expenses</v>
          </cell>
          <cell r="C272" t="str">
            <v>912, 913</v>
          </cell>
          <cell r="E272">
            <v>0</v>
          </cell>
          <cell r="F272" t="str">
            <v>DIST</v>
          </cell>
          <cell r="P272">
            <v>0</v>
          </cell>
          <cell r="R272">
            <v>17</v>
          </cell>
        </row>
        <row r="273">
          <cell r="A273">
            <v>258</v>
          </cell>
          <cell r="B273" t="str">
            <v>Miscellaneous Sales Expenses</v>
          </cell>
          <cell r="C273">
            <v>916</v>
          </cell>
          <cell r="E273">
            <v>-300</v>
          </cell>
          <cell r="F273" t="str">
            <v>DIST</v>
          </cell>
          <cell r="P273">
            <v>0</v>
          </cell>
          <cell r="R273">
            <v>17</v>
          </cell>
        </row>
        <row r="274">
          <cell r="A274">
            <v>259</v>
          </cell>
          <cell r="B274" t="str">
            <v xml:space="preserve">     Subtotal - O&amp;M Accounts </v>
          </cell>
          <cell r="C274" t="str">
            <v>911-916</v>
          </cell>
          <cell r="E274">
            <v>-300</v>
          </cell>
          <cell r="P274">
            <v>0</v>
          </cell>
        </row>
        <row r="275">
          <cell r="A275">
            <v>260</v>
          </cell>
        </row>
        <row r="276">
          <cell r="A276">
            <v>261</v>
          </cell>
          <cell r="B276" t="str">
            <v>Total - SALES EXPENSES</v>
          </cell>
          <cell r="C276" t="str">
            <v>911-916</v>
          </cell>
          <cell r="E276">
            <v>-300</v>
          </cell>
          <cell r="P276">
            <v>0</v>
          </cell>
        </row>
        <row r="277">
          <cell r="A277">
            <v>262</v>
          </cell>
        </row>
        <row r="278">
          <cell r="A278">
            <v>263</v>
          </cell>
          <cell r="B278" t="str">
            <v>Total - CUSTOMER ACCOUNTS, SERVICES &amp; SALES EXPENSES</v>
          </cell>
          <cell r="C278" t="str">
            <v>901-916</v>
          </cell>
          <cell r="E278">
            <v>6806684.0584244598</v>
          </cell>
          <cell r="P278">
            <v>0</v>
          </cell>
        </row>
        <row r="279">
          <cell r="A279">
            <v>264</v>
          </cell>
        </row>
        <row r="280">
          <cell r="A280">
            <v>265</v>
          </cell>
          <cell r="B280" t="str">
            <v>V. ADMINISTRATIVE &amp; GENERAL EXPENSES</v>
          </cell>
          <cell r="P280">
            <v>0</v>
          </cell>
        </row>
        <row r="281">
          <cell r="A281">
            <v>266</v>
          </cell>
        </row>
        <row r="282">
          <cell r="A282">
            <v>267</v>
          </cell>
          <cell r="B282" t="str">
            <v>A. Labor-Related:</v>
          </cell>
        </row>
        <row r="283">
          <cell r="A283">
            <v>268</v>
          </cell>
        </row>
        <row r="284">
          <cell r="A284">
            <v>269</v>
          </cell>
          <cell r="B284" t="str">
            <v>Administrative &amp; General Salaries</v>
          </cell>
          <cell r="C284" t="str">
            <v>920</v>
          </cell>
          <cell r="E284">
            <v>6031663.8440251816</v>
          </cell>
          <cell r="F284" t="str">
            <v>LABOR</v>
          </cell>
          <cell r="P284">
            <v>0</v>
          </cell>
          <cell r="R284">
            <v>38</v>
          </cell>
        </row>
        <row r="285">
          <cell r="A285">
            <v>270</v>
          </cell>
          <cell r="B285" t="str">
            <v>Office Supplies &amp; Expenses</v>
          </cell>
          <cell r="C285" t="str">
            <v>921</v>
          </cell>
          <cell r="E285">
            <v>2457887.234337891</v>
          </cell>
          <cell r="F285" t="str">
            <v>LABOR</v>
          </cell>
          <cell r="P285">
            <v>0</v>
          </cell>
          <cell r="R285">
            <v>38</v>
          </cell>
        </row>
        <row r="286">
          <cell r="A286">
            <v>271</v>
          </cell>
          <cell r="B286" t="str">
            <v>Admin. Expenses Transferred-Credit</v>
          </cell>
          <cell r="C286" t="str">
            <v>922</v>
          </cell>
          <cell r="E286">
            <v>-284965.68</v>
          </cell>
          <cell r="F286" t="str">
            <v>LABOR</v>
          </cell>
          <cell r="P286">
            <v>0</v>
          </cell>
          <cell r="R286">
            <v>38</v>
          </cell>
        </row>
        <row r="287">
          <cell r="A287">
            <v>272</v>
          </cell>
          <cell r="B287" t="str">
            <v>Outside Services Employed</v>
          </cell>
          <cell r="C287" t="str">
            <v>923</v>
          </cell>
          <cell r="E287">
            <v>1296216.6000000001</v>
          </cell>
          <cell r="F287" t="str">
            <v>LABOR</v>
          </cell>
          <cell r="P287">
            <v>0</v>
          </cell>
          <cell r="R287">
            <v>38</v>
          </cell>
        </row>
        <row r="288">
          <cell r="A288">
            <v>273</v>
          </cell>
          <cell r="B288" t="str">
            <v>Outside Services-Dem&amp;Selling Exp</v>
          </cell>
          <cell r="C288" t="str">
            <v>923</v>
          </cell>
          <cell r="E288">
            <v>0</v>
          </cell>
          <cell r="F288" t="str">
            <v>LABOR</v>
          </cell>
          <cell r="P288">
            <v>0</v>
          </cell>
          <cell r="R288">
            <v>38</v>
          </cell>
        </row>
        <row r="289">
          <cell r="A289">
            <v>274</v>
          </cell>
          <cell r="B289" t="str">
            <v>Employee Pensions and Benefits</v>
          </cell>
          <cell r="C289" t="str">
            <v>926</v>
          </cell>
          <cell r="E289">
            <v>4560394.5620801607</v>
          </cell>
          <cell r="F289" t="str">
            <v>LABOR</v>
          </cell>
          <cell r="P289">
            <v>0</v>
          </cell>
          <cell r="R289">
            <v>38</v>
          </cell>
        </row>
        <row r="290">
          <cell r="A290">
            <v>275</v>
          </cell>
        </row>
        <row r="291">
          <cell r="A291">
            <v>276</v>
          </cell>
          <cell r="B291" t="str">
            <v>Subtotal - O&amp;M Accounts</v>
          </cell>
          <cell r="C291" t="str">
            <v>920-932</v>
          </cell>
          <cell r="E291">
            <v>14061196.560443234</v>
          </cell>
          <cell r="P291">
            <v>0</v>
          </cell>
        </row>
        <row r="292">
          <cell r="A292">
            <v>277</v>
          </cell>
        </row>
        <row r="293">
          <cell r="A293">
            <v>278</v>
          </cell>
          <cell r="B293" t="str">
            <v>B. Plant-Related:</v>
          </cell>
        </row>
        <row r="294">
          <cell r="A294">
            <v>279</v>
          </cell>
        </row>
        <row r="295">
          <cell r="A295">
            <v>280</v>
          </cell>
          <cell r="B295" t="str">
            <v>Property Insurance</v>
          </cell>
          <cell r="C295" t="str">
            <v>924</v>
          </cell>
          <cell r="E295">
            <v>60387.9</v>
          </cell>
          <cell r="F295" t="str">
            <v>PSTDP</v>
          </cell>
          <cell r="P295">
            <v>0</v>
          </cell>
          <cell r="R295">
            <v>50</v>
          </cell>
        </row>
        <row r="296">
          <cell r="A296">
            <v>281</v>
          </cell>
          <cell r="B296" t="str">
            <v>Injuries and Damages</v>
          </cell>
          <cell r="C296" t="str">
            <v>925</v>
          </cell>
          <cell r="E296">
            <v>1073773.6000000001</v>
          </cell>
          <cell r="F296" t="str">
            <v>LABOR</v>
          </cell>
          <cell r="P296">
            <v>0</v>
          </cell>
          <cell r="R296">
            <v>38</v>
          </cell>
        </row>
        <row r="297">
          <cell r="A297">
            <v>282</v>
          </cell>
          <cell r="B297" t="str">
            <v>Maintenance of General Plant</v>
          </cell>
          <cell r="C297" t="str">
            <v>932</v>
          </cell>
          <cell r="E297">
            <v>33089.775699783007</v>
          </cell>
          <cell r="F297" t="str">
            <v>PSTDP</v>
          </cell>
          <cell r="P297">
            <v>0</v>
          </cell>
          <cell r="R297">
            <v>50</v>
          </cell>
        </row>
        <row r="298">
          <cell r="A298">
            <v>283</v>
          </cell>
        </row>
        <row r="299">
          <cell r="A299">
            <v>284</v>
          </cell>
          <cell r="B299" t="str">
            <v xml:space="preserve">Subtotal - O&amp;M Accounts </v>
          </cell>
          <cell r="E299">
            <v>1167251.2756997831</v>
          </cell>
          <cell r="P299">
            <v>0</v>
          </cell>
        </row>
        <row r="300">
          <cell r="A300">
            <v>285</v>
          </cell>
        </row>
        <row r="301">
          <cell r="A301">
            <v>286</v>
          </cell>
          <cell r="B301" t="str">
            <v>C. Other-Related:</v>
          </cell>
        </row>
        <row r="302">
          <cell r="A302">
            <v>287</v>
          </cell>
        </row>
        <row r="303">
          <cell r="A303">
            <v>288</v>
          </cell>
          <cell r="B303" t="str">
            <v>Franchise Requirements</v>
          </cell>
          <cell r="C303" t="str">
            <v>927</v>
          </cell>
          <cell r="E303">
            <v>0</v>
          </cell>
          <cell r="F303" t="str">
            <v>PSTD/LP</v>
          </cell>
          <cell r="P303">
            <v>0</v>
          </cell>
          <cell r="R303">
            <v>65</v>
          </cell>
        </row>
        <row r="304">
          <cell r="A304">
            <v>289</v>
          </cell>
          <cell r="B304" t="str">
            <v>Regulatory Commission Expenses</v>
          </cell>
          <cell r="C304" t="str">
            <v>928</v>
          </cell>
          <cell r="E304">
            <v>0</v>
          </cell>
          <cell r="F304" t="str">
            <v>PSTD/LP</v>
          </cell>
          <cell r="P304">
            <v>0</v>
          </cell>
          <cell r="R304">
            <v>65</v>
          </cell>
        </row>
        <row r="305">
          <cell r="A305">
            <v>290</v>
          </cell>
          <cell r="B305" t="str">
            <v>Duplicate Charges - Credit</v>
          </cell>
          <cell r="C305" t="str">
            <v>929</v>
          </cell>
          <cell r="E305">
            <v>0</v>
          </cell>
          <cell r="F305" t="str">
            <v>PSTD/LP</v>
          </cell>
          <cell r="P305">
            <v>0</v>
          </cell>
          <cell r="R305">
            <v>65</v>
          </cell>
        </row>
        <row r="306">
          <cell r="A306">
            <v>291</v>
          </cell>
          <cell r="B306" t="str">
            <v>Misc. Gen'l Expenses</v>
          </cell>
          <cell r="E306">
            <v>774898.59</v>
          </cell>
          <cell r="F306" t="str">
            <v>O&amp;MXGAS</v>
          </cell>
          <cell r="P306">
            <v>0</v>
          </cell>
          <cell r="R306">
            <v>119</v>
          </cell>
        </row>
        <row r="307">
          <cell r="A307">
            <v>292</v>
          </cell>
          <cell r="B307" t="str">
            <v>Rents</v>
          </cell>
          <cell r="C307" t="str">
            <v>931</v>
          </cell>
          <cell r="E307">
            <v>1238673.51</v>
          </cell>
          <cell r="F307" t="str">
            <v>PSTDP</v>
          </cell>
          <cell r="P307">
            <v>0</v>
          </cell>
          <cell r="R307">
            <v>50</v>
          </cell>
        </row>
        <row r="308">
          <cell r="A308">
            <v>293</v>
          </cell>
        </row>
        <row r="309">
          <cell r="A309">
            <v>294</v>
          </cell>
          <cell r="B309" t="str">
            <v>Total - ADMINISTRATIVE &amp; GENERAL EXPENSES</v>
          </cell>
          <cell r="C309" t="str">
            <v>920-931</v>
          </cell>
          <cell r="E309">
            <v>17242019.936143018</v>
          </cell>
          <cell r="P309">
            <v>0</v>
          </cell>
        </row>
        <row r="310">
          <cell r="A310">
            <v>295</v>
          </cell>
        </row>
        <row r="311">
          <cell r="A311">
            <v>296</v>
          </cell>
          <cell r="B311" t="str">
            <v>TOTAL - OPERATING EXPENSES (Excl. Depr.,</v>
          </cell>
          <cell r="E311">
            <v>42318854.711234868</v>
          </cell>
          <cell r="P311">
            <v>0</v>
          </cell>
        </row>
        <row r="312">
          <cell r="A312">
            <v>297</v>
          </cell>
          <cell r="B312" t="str">
            <v>Taxes, and Gas Supply Expense)</v>
          </cell>
        </row>
        <row r="313">
          <cell r="A313">
            <v>298</v>
          </cell>
        </row>
        <row r="314">
          <cell r="A314">
            <v>299</v>
          </cell>
          <cell r="B314" t="str">
            <v>VI. DEPRECIATION EXPENSE</v>
          </cell>
        </row>
        <row r="315">
          <cell r="A315">
            <v>300</v>
          </cell>
          <cell r="B315" t="str">
            <v>Intangible Plant</v>
          </cell>
          <cell r="C315" t="str">
            <v>403.1</v>
          </cell>
          <cell r="E315">
            <v>2195886.7982905838</v>
          </cell>
          <cell r="F315" t="str">
            <v>INTANGPT</v>
          </cell>
          <cell r="P315">
            <v>0</v>
          </cell>
          <cell r="R315">
            <v>116</v>
          </cell>
        </row>
        <row r="316">
          <cell r="A316">
            <v>301</v>
          </cell>
          <cell r="B316" t="str">
            <v>Production Plant</v>
          </cell>
          <cell r="C316" t="str">
            <v>403.2</v>
          </cell>
          <cell r="E316">
            <v>0</v>
          </cell>
          <cell r="F316" t="str">
            <v>SUPP</v>
          </cell>
          <cell r="P316">
            <v>0</v>
          </cell>
          <cell r="R316">
            <v>8</v>
          </cell>
        </row>
        <row r="317">
          <cell r="A317">
            <v>302</v>
          </cell>
          <cell r="B317" t="str">
            <v>Natural Gas Storage Plant</v>
          </cell>
          <cell r="C317" t="str">
            <v>403.3</v>
          </cell>
          <cell r="E317">
            <v>0</v>
          </cell>
          <cell r="F317" t="str">
            <v>STORPT</v>
          </cell>
          <cell r="P317">
            <v>0</v>
          </cell>
          <cell r="R317">
            <v>71</v>
          </cell>
        </row>
        <row r="318">
          <cell r="A318">
            <v>303</v>
          </cell>
          <cell r="B318" t="str">
            <v>Transmission</v>
          </cell>
          <cell r="C318" t="str">
            <v>403.4</v>
          </cell>
          <cell r="E318">
            <v>308678.84799199994</v>
          </cell>
          <cell r="F318" t="str">
            <v>TRANSPT</v>
          </cell>
          <cell r="P318">
            <v>0</v>
          </cell>
          <cell r="R318">
            <v>74</v>
          </cell>
        </row>
        <row r="319">
          <cell r="A319">
            <v>304</v>
          </cell>
          <cell r="B319" t="str">
            <v>Distribution Land &amp; Structures</v>
          </cell>
          <cell r="C319">
            <v>0</v>
          </cell>
          <cell r="E319">
            <v>44678.056517999998</v>
          </cell>
          <cell r="F319" t="str">
            <v>DISTPT</v>
          </cell>
          <cell r="P319">
            <v>0</v>
          </cell>
          <cell r="R319">
            <v>77</v>
          </cell>
        </row>
        <row r="320">
          <cell r="A320">
            <v>305</v>
          </cell>
          <cell r="B320" t="str">
            <v>Distribution Mains</v>
          </cell>
          <cell r="C320" t="str">
            <v>403.5</v>
          </cell>
          <cell r="E320">
            <v>8055208.5000497503</v>
          </cell>
          <cell r="F320" t="str">
            <v>DISTPT</v>
          </cell>
          <cell r="P320">
            <v>0</v>
          </cell>
          <cell r="R320">
            <v>77</v>
          </cell>
        </row>
        <row r="321">
          <cell r="A321">
            <v>306</v>
          </cell>
          <cell r="B321" t="str">
            <v>Compressor Station</v>
          </cell>
          <cell r="C321">
            <v>0</v>
          </cell>
          <cell r="E321">
            <v>404057.81702400005</v>
          </cell>
          <cell r="F321" t="str">
            <v>DISTPT</v>
          </cell>
          <cell r="P321">
            <v>0</v>
          </cell>
          <cell r="R321">
            <v>77</v>
          </cell>
        </row>
        <row r="322">
          <cell r="A322">
            <v>307</v>
          </cell>
          <cell r="B322" t="str">
            <v>Distribution Services</v>
          </cell>
          <cell r="C322" t="str">
            <v>403.6</v>
          </cell>
          <cell r="E322">
            <v>5970894.3806760004</v>
          </cell>
          <cell r="F322" t="str">
            <v>DISTPT</v>
          </cell>
          <cell r="P322">
            <v>0</v>
          </cell>
          <cell r="R322">
            <v>77</v>
          </cell>
        </row>
        <row r="323">
          <cell r="A323">
            <v>308</v>
          </cell>
          <cell r="B323" t="str">
            <v>Distr- Meters &amp; House Regulators</v>
          </cell>
          <cell r="C323" t="str">
            <v>403.7</v>
          </cell>
          <cell r="E323">
            <v>1573842.2037488776</v>
          </cell>
          <cell r="F323" t="str">
            <v>DISTPT</v>
          </cell>
          <cell r="P323">
            <v>0</v>
          </cell>
          <cell r="R323">
            <v>77</v>
          </cell>
        </row>
        <row r="324">
          <cell r="A324">
            <v>309</v>
          </cell>
          <cell r="B324" t="str">
            <v>Industrial M &amp; R Station Equipment</v>
          </cell>
          <cell r="C324">
            <v>0</v>
          </cell>
          <cell r="E324">
            <v>196845.42311399995</v>
          </cell>
          <cell r="F324" t="str">
            <v>DISTPT</v>
          </cell>
          <cell r="P324">
            <v>0</v>
          </cell>
          <cell r="R324">
            <v>77</v>
          </cell>
        </row>
        <row r="325">
          <cell r="A325">
            <v>310</v>
          </cell>
          <cell r="B325" t="str">
            <v xml:space="preserve">General Plant </v>
          </cell>
          <cell r="C325" t="str">
            <v>403.9</v>
          </cell>
          <cell r="E325">
            <v>957214.35916271806</v>
          </cell>
          <cell r="F325" t="str">
            <v>PSTDP</v>
          </cell>
          <cell r="P325">
            <v>0</v>
          </cell>
          <cell r="R325">
            <v>50</v>
          </cell>
        </row>
        <row r="326">
          <cell r="A326">
            <v>311</v>
          </cell>
          <cell r="B326" t="str">
            <v>Amort &amp; Depl of UG Storage Land &amp; Land</v>
          </cell>
          <cell r="C326">
            <v>404</v>
          </cell>
          <cell r="E326">
            <v>0</v>
          </cell>
          <cell r="F326" t="str">
            <v>STORPT</v>
          </cell>
          <cell r="P326">
            <v>0</v>
          </cell>
          <cell r="R326">
            <v>71</v>
          </cell>
        </row>
        <row r="327">
          <cell r="A327">
            <v>312</v>
          </cell>
        </row>
        <row r="328">
          <cell r="A328">
            <v>313</v>
          </cell>
          <cell r="B328" t="str">
            <v>Total - DEPRECIATION EXPENSE</v>
          </cell>
          <cell r="C328" t="str">
            <v>403</v>
          </cell>
          <cell r="E328">
            <v>19707306.386575934</v>
          </cell>
          <cell r="P328">
            <v>0</v>
          </cell>
        </row>
        <row r="329">
          <cell r="A329">
            <v>314</v>
          </cell>
        </row>
        <row r="330">
          <cell r="A330">
            <v>315</v>
          </cell>
          <cell r="B330" t="str">
            <v>VII. TAXES OTHER THAN INCOME TAXES</v>
          </cell>
          <cell r="P330">
            <v>0</v>
          </cell>
        </row>
        <row r="331">
          <cell r="A331">
            <v>316</v>
          </cell>
        </row>
        <row r="332">
          <cell r="A332">
            <v>317</v>
          </cell>
          <cell r="B332" t="str">
            <v>A. General Taxes</v>
          </cell>
        </row>
        <row r="333">
          <cell r="A333">
            <v>318</v>
          </cell>
        </row>
        <row r="334">
          <cell r="A334">
            <v>319</v>
          </cell>
          <cell r="B334" t="str">
            <v>Payroll Taxes</v>
          </cell>
          <cell r="C334" t="str">
            <v>408.15</v>
          </cell>
          <cell r="E334">
            <v>4402810.6573555116</v>
          </cell>
          <cell r="F334" t="str">
            <v>LABOR</v>
          </cell>
          <cell r="P334">
            <v>0</v>
          </cell>
          <cell r="R334">
            <v>38</v>
          </cell>
        </row>
        <row r="335">
          <cell r="A335">
            <v>320</v>
          </cell>
          <cell r="B335" t="str">
            <v>Plant Related Taxes</v>
          </cell>
          <cell r="C335" t="str">
            <v>408.17</v>
          </cell>
          <cell r="E335">
            <v>0</v>
          </cell>
          <cell r="F335" t="str">
            <v>PSTDP</v>
          </cell>
          <cell r="P335">
            <v>0</v>
          </cell>
          <cell r="R335">
            <v>50</v>
          </cell>
        </row>
        <row r="336">
          <cell r="A336">
            <v>321</v>
          </cell>
          <cell r="B336" t="str">
            <v>Gas Related</v>
          </cell>
          <cell r="C336" t="str">
            <v>408.18</v>
          </cell>
          <cell r="E336">
            <v>0</v>
          </cell>
          <cell r="F336" t="str">
            <v>SUPP</v>
          </cell>
          <cell r="P336">
            <v>0</v>
          </cell>
          <cell r="R336">
            <v>8</v>
          </cell>
        </row>
        <row r="337">
          <cell r="A337">
            <v>322</v>
          </cell>
          <cell r="B337" t="str">
            <v>Subtotal - Real Estate &amp; Other</v>
          </cell>
          <cell r="C337" t="str">
            <v>408.17,408.18</v>
          </cell>
          <cell r="E337">
            <v>0</v>
          </cell>
          <cell r="P337">
            <v>0</v>
          </cell>
        </row>
        <row r="338">
          <cell r="A338">
            <v>323</v>
          </cell>
          <cell r="B338" t="str">
            <v>Subtotal - General Taxes</v>
          </cell>
          <cell r="E338">
            <v>4402810.6573555116</v>
          </cell>
          <cell r="P338">
            <v>0</v>
          </cell>
        </row>
        <row r="339">
          <cell r="A339">
            <v>324</v>
          </cell>
        </row>
        <row r="340">
          <cell r="A340">
            <v>325</v>
          </cell>
          <cell r="B340" t="str">
            <v xml:space="preserve">TOTAL EXPENSES (excl. Gross Receipts </v>
          </cell>
          <cell r="C340" t="str">
            <v>408.1</v>
          </cell>
          <cell r="E340">
            <v>174576529.24850979</v>
          </cell>
          <cell r="P340">
            <v>0</v>
          </cell>
        </row>
        <row r="341">
          <cell r="A341">
            <v>326</v>
          </cell>
          <cell r="B341" t="str">
            <v>Taxes &amp; Gas Purchases)</v>
          </cell>
        </row>
        <row r="342">
          <cell r="A342">
            <v>327</v>
          </cell>
        </row>
        <row r="343">
          <cell r="A343">
            <v>328</v>
          </cell>
          <cell r="B343" t="str">
            <v>B. Revenue Taxes: (GRT)</v>
          </cell>
        </row>
        <row r="344">
          <cell r="A344">
            <v>329</v>
          </cell>
        </row>
        <row r="345">
          <cell r="A345">
            <v>330</v>
          </cell>
          <cell r="B345" t="str">
            <v>Gross Revenue Taxes</v>
          </cell>
          <cell r="C345" t="str">
            <v>408.11</v>
          </cell>
          <cell r="E345">
            <v>17435062.161555059</v>
          </cell>
          <cell r="F345" t="str">
            <v>REVREQ</v>
          </cell>
          <cell r="P345">
            <v>0</v>
          </cell>
          <cell r="R345">
            <v>107</v>
          </cell>
        </row>
        <row r="346">
          <cell r="A346">
            <v>331</v>
          </cell>
          <cell r="B346" t="str">
            <v>Municipal Tax</v>
          </cell>
          <cell r="C346">
            <v>408.12</v>
          </cell>
          <cell r="E346">
            <v>0</v>
          </cell>
          <cell r="F346" t="str">
            <v>REVREQ</v>
          </cell>
          <cell r="P346">
            <v>0</v>
          </cell>
          <cell r="R346">
            <v>107</v>
          </cell>
        </row>
        <row r="347">
          <cell r="A347">
            <v>332</v>
          </cell>
          <cell r="B347" t="str">
            <v>Subtotal - Revenue Taxes (GRT)</v>
          </cell>
          <cell r="E347">
            <v>17435062.161555059</v>
          </cell>
          <cell r="P347">
            <v>0</v>
          </cell>
        </row>
        <row r="348">
          <cell r="A348">
            <v>333</v>
          </cell>
        </row>
        <row r="349">
          <cell r="A349">
            <v>334</v>
          </cell>
          <cell r="B349" t="str">
            <v>C. INCOME TAXES</v>
          </cell>
        </row>
        <row r="350">
          <cell r="A350">
            <v>335</v>
          </cell>
        </row>
        <row r="351">
          <cell r="A351">
            <v>336</v>
          </cell>
          <cell r="B351" t="str">
            <v>Fed &amp; State Income Taxes Based on Net Income</v>
          </cell>
          <cell r="C351">
            <v>409.1</v>
          </cell>
          <cell r="E351">
            <v>4982116.9962927923</v>
          </cell>
          <cell r="F351" t="str">
            <v>REVREQ</v>
          </cell>
          <cell r="P351">
            <v>0</v>
          </cell>
          <cell r="R351">
            <v>107</v>
          </cell>
        </row>
        <row r="352">
          <cell r="A352">
            <v>337</v>
          </cell>
          <cell r="B352" t="str">
            <v>Provision for Deferred Taxes</v>
          </cell>
          <cell r="C352">
            <v>410.1</v>
          </cell>
          <cell r="E352">
            <v>1031914.19</v>
          </cell>
          <cell r="F352" t="str">
            <v>PSTDP</v>
          </cell>
          <cell r="P352">
            <v>0</v>
          </cell>
          <cell r="R352">
            <v>50</v>
          </cell>
        </row>
        <row r="353">
          <cell r="A353">
            <v>338</v>
          </cell>
          <cell r="B353" t="str">
            <v>Investment Tax Credit Adjustments</v>
          </cell>
          <cell r="C353">
            <v>411</v>
          </cell>
          <cell r="E353">
            <v>-37382.410000000003</v>
          </cell>
          <cell r="F353" t="str">
            <v>PSTDP</v>
          </cell>
          <cell r="P353">
            <v>0</v>
          </cell>
          <cell r="R353">
            <v>50</v>
          </cell>
        </row>
        <row r="354">
          <cell r="A354">
            <v>339</v>
          </cell>
          <cell r="B354" t="str">
            <v>Fed &amp; State Inc Taxes Based on Deferred Plant</v>
          </cell>
          <cell r="C354" t="str">
            <v>409.1Plant</v>
          </cell>
          <cell r="E354">
            <v>0</v>
          </cell>
          <cell r="F354" t="str">
            <v>REVREQ</v>
          </cell>
          <cell r="P354">
            <v>0</v>
          </cell>
          <cell r="R354">
            <v>107</v>
          </cell>
        </row>
        <row r="355">
          <cell r="A355">
            <v>340</v>
          </cell>
          <cell r="B355" t="str">
            <v>Other</v>
          </cell>
          <cell r="C355">
            <v>409.4</v>
          </cell>
          <cell r="E355">
            <v>0</v>
          </cell>
          <cell r="F355" t="str">
            <v>REVREQ</v>
          </cell>
          <cell r="P355">
            <v>0</v>
          </cell>
          <cell r="R355">
            <v>107</v>
          </cell>
        </row>
        <row r="356">
          <cell r="A356">
            <v>341</v>
          </cell>
          <cell r="B356" t="str">
            <v>Subtotal - Income Taxes</v>
          </cell>
          <cell r="E356">
            <v>5976648.7762927916</v>
          </cell>
          <cell r="P356">
            <v>0</v>
          </cell>
        </row>
        <row r="357">
          <cell r="A357">
            <v>342</v>
          </cell>
          <cell r="P357">
            <v>0</v>
          </cell>
        </row>
        <row r="358">
          <cell r="A358">
            <v>343</v>
          </cell>
          <cell r="B358" t="str">
            <v>TOTAL TAXES (Excl. General Taxes)</v>
          </cell>
          <cell r="E358">
            <v>23411710.937847853</v>
          </cell>
          <cell r="P358">
            <v>0</v>
          </cell>
        </row>
        <row r="359">
          <cell r="A359">
            <v>344</v>
          </cell>
        </row>
        <row r="360">
          <cell r="A360">
            <v>345</v>
          </cell>
          <cell r="B360" t="str">
            <v>TOTAL EXPENSES</v>
          </cell>
          <cell r="E360">
            <v>197988240.18635765</v>
          </cell>
          <cell r="P360">
            <v>0</v>
          </cell>
        </row>
        <row r="361">
          <cell r="A361">
            <v>346</v>
          </cell>
        </row>
        <row r="362">
          <cell r="A362">
            <v>347</v>
          </cell>
        </row>
        <row r="363">
          <cell r="A363">
            <v>348</v>
          </cell>
          <cell r="B363" t="str">
            <v>V. OPERATING REVENUES</v>
          </cell>
        </row>
        <row r="364">
          <cell r="A364">
            <v>349</v>
          </cell>
        </row>
        <row r="365">
          <cell r="A365">
            <v>350</v>
          </cell>
          <cell r="B365" t="str">
            <v>Sales &amp; Transportation Operating Revenues</v>
          </cell>
          <cell r="C365" t="str">
            <v>480-485</v>
          </cell>
          <cell r="E365">
            <v>92897542.45995459</v>
          </cell>
          <cell r="F365" t="str">
            <v>REVREQ</v>
          </cell>
          <cell r="P365">
            <v>0</v>
          </cell>
          <cell r="R365">
            <v>107</v>
          </cell>
        </row>
        <row r="366">
          <cell r="A366">
            <v>351</v>
          </cell>
          <cell r="B366" t="str">
            <v>Gas Revenues</v>
          </cell>
          <cell r="E366">
            <v>112289916.10277365</v>
          </cell>
          <cell r="F366" t="str">
            <v>SUPP</v>
          </cell>
          <cell r="P366">
            <v>0</v>
          </cell>
          <cell r="R366">
            <v>8</v>
          </cell>
        </row>
        <row r="367">
          <cell r="A367">
            <v>352</v>
          </cell>
          <cell r="B367" t="str">
            <v>Miscellaneous Service Revenues</v>
          </cell>
          <cell r="C367">
            <v>487</v>
          </cell>
          <cell r="E367">
            <v>810183.02</v>
          </cell>
          <cell r="F367" t="str">
            <v>DIST</v>
          </cell>
          <cell r="P367">
            <v>0</v>
          </cell>
          <cell r="R367">
            <v>17</v>
          </cell>
        </row>
        <row r="368">
          <cell r="A368">
            <v>353</v>
          </cell>
          <cell r="B368" t="str">
            <v>Miscellaneous Charge Changes</v>
          </cell>
          <cell r="E368">
            <v>-101645</v>
          </cell>
          <cell r="F368" t="str">
            <v>REVREQ</v>
          </cell>
          <cell r="P368">
            <v>0</v>
          </cell>
          <cell r="R368">
            <v>107</v>
          </cell>
        </row>
        <row r="369">
          <cell r="A369">
            <v>354</v>
          </cell>
          <cell r="B369" t="str">
            <v>Rent From Gas Property</v>
          </cell>
          <cell r="E369">
            <v>100</v>
          </cell>
          <cell r="F369" t="str">
            <v>PSTDP</v>
          </cell>
          <cell r="P369">
            <v>0</v>
          </cell>
          <cell r="R369">
            <v>50</v>
          </cell>
        </row>
        <row r="370">
          <cell r="A370">
            <v>355</v>
          </cell>
          <cell r="B370" t="str">
            <v>Interdepartmental Rents</v>
          </cell>
          <cell r="E370">
            <v>91471.079999999973</v>
          </cell>
          <cell r="F370" t="str">
            <v>PSTDP</v>
          </cell>
          <cell r="P370">
            <v>0</v>
          </cell>
          <cell r="R370">
            <v>50</v>
          </cell>
        </row>
        <row r="371">
          <cell r="A371">
            <v>356</v>
          </cell>
          <cell r="B371" t="str">
            <v>Other Gas Revenue</v>
          </cell>
          <cell r="E371">
            <v>109620.85000000002</v>
          </cell>
          <cell r="F371" t="str">
            <v>REVREQ</v>
          </cell>
          <cell r="P371">
            <v>0</v>
          </cell>
          <cell r="R371">
            <v>107</v>
          </cell>
        </row>
        <row r="372">
          <cell r="A372">
            <v>357</v>
          </cell>
          <cell r="B372" t="str">
            <v>Miscellaneous Charges and Taxes</v>
          </cell>
          <cell r="E372">
            <v>11094720.090000002</v>
          </cell>
          <cell r="F372" t="str">
            <v>REVREQ</v>
          </cell>
          <cell r="P372">
            <v>0</v>
          </cell>
          <cell r="R372">
            <v>107</v>
          </cell>
        </row>
        <row r="373">
          <cell r="A373">
            <v>358</v>
          </cell>
          <cell r="B373" t="str">
            <v>Service Co. IT Support Revenue</v>
          </cell>
          <cell r="E373">
            <v>0</v>
          </cell>
          <cell r="F373" t="str">
            <v>DIST</v>
          </cell>
          <cell r="P373">
            <v>0</v>
          </cell>
          <cell r="R373">
            <v>17</v>
          </cell>
        </row>
        <row r="374">
          <cell r="A374">
            <v>359</v>
          </cell>
          <cell r="B374" t="str">
            <v>Storage Revenues</v>
          </cell>
          <cell r="E374">
            <v>0</v>
          </cell>
          <cell r="F374" t="str">
            <v>STOR</v>
          </cell>
          <cell r="P374">
            <v>0</v>
          </cell>
          <cell r="R374">
            <v>11</v>
          </cell>
        </row>
        <row r="375">
          <cell r="A375">
            <v>360</v>
          </cell>
          <cell r="B375" t="str">
            <v>Total Operating Revenues</v>
          </cell>
          <cell r="E375">
            <v>217191908.60272825</v>
          </cell>
          <cell r="P375">
            <v>0</v>
          </cell>
        </row>
        <row r="376">
          <cell r="A376">
            <v>361</v>
          </cell>
        </row>
        <row r="377">
          <cell r="A377">
            <v>362</v>
          </cell>
          <cell r="B377" t="str">
            <v xml:space="preserve">Other Income </v>
          </cell>
          <cell r="C377">
            <v>412</v>
          </cell>
          <cell r="E377">
            <v>0</v>
          </cell>
          <cell r="F377" t="str">
            <v>PSTDP</v>
          </cell>
          <cell r="P377">
            <v>0</v>
          </cell>
          <cell r="R377">
            <v>50</v>
          </cell>
        </row>
        <row r="378">
          <cell r="A378">
            <v>363</v>
          </cell>
        </row>
        <row r="379">
          <cell r="A379">
            <v>364</v>
          </cell>
          <cell r="B379" t="str">
            <v>NET INCOME</v>
          </cell>
          <cell r="E379">
            <v>19203668.4163706</v>
          </cell>
          <cell r="P379">
            <v>0</v>
          </cell>
        </row>
        <row r="380">
          <cell r="A380">
            <v>365</v>
          </cell>
          <cell r="B380" t="str">
            <v>Return</v>
          </cell>
          <cell r="E380">
            <v>6.3829096908015401E-2</v>
          </cell>
        </row>
        <row r="381">
          <cell r="A381">
            <v>366</v>
          </cell>
        </row>
        <row r="382">
          <cell r="A382">
            <v>367</v>
          </cell>
          <cell r="B382" t="str">
            <v>Effective Tax Rate Historical</v>
          </cell>
          <cell r="E382">
            <v>0.23735399083988362</v>
          </cell>
        </row>
        <row r="383">
          <cell r="A383">
            <v>368</v>
          </cell>
        </row>
        <row r="384">
          <cell r="A384">
            <v>369</v>
          </cell>
        </row>
        <row r="385">
          <cell r="A385">
            <v>370</v>
          </cell>
        </row>
        <row r="386">
          <cell r="A386">
            <v>371</v>
          </cell>
        </row>
        <row r="387">
          <cell r="A387">
            <v>372</v>
          </cell>
        </row>
        <row r="388">
          <cell r="A388">
            <v>1</v>
          </cell>
          <cell r="B388" t="str">
            <v>SUMMARY</v>
          </cell>
        </row>
        <row r="389">
          <cell r="A389">
            <v>2</v>
          </cell>
          <cell r="B389" t="str">
            <v>OPERATING REVENUES</v>
          </cell>
        </row>
        <row r="390">
          <cell r="A390">
            <v>3</v>
          </cell>
          <cell r="B390" t="str">
            <v>Sales &amp; Transportation Operating Revenues</v>
          </cell>
          <cell r="E390">
            <v>92897542.45995459</v>
          </cell>
          <cell r="P390">
            <v>0</v>
          </cell>
        </row>
        <row r="391">
          <cell r="A391">
            <v>4</v>
          </cell>
          <cell r="B391" t="str">
            <v>Gas Revenues</v>
          </cell>
          <cell r="E391">
            <v>112289916.10277365</v>
          </cell>
          <cell r="P391">
            <v>0</v>
          </cell>
        </row>
        <row r="392">
          <cell r="A392">
            <v>5</v>
          </cell>
          <cell r="B392" t="str">
            <v>Miscellaneous Service Revenues</v>
          </cell>
          <cell r="E392">
            <v>810183.02</v>
          </cell>
          <cell r="P392">
            <v>0</v>
          </cell>
        </row>
        <row r="393">
          <cell r="A393">
            <v>6</v>
          </cell>
          <cell r="B393" t="str">
            <v>Rev. From Transp. of Gas of Others</v>
          </cell>
          <cell r="E393">
            <v>-101645</v>
          </cell>
          <cell r="P393">
            <v>0</v>
          </cell>
        </row>
        <row r="394">
          <cell r="A394">
            <v>7</v>
          </cell>
          <cell r="B394" t="str">
            <v>Rent From Gas Property</v>
          </cell>
          <cell r="E394">
            <v>100</v>
          </cell>
          <cell r="P394">
            <v>0</v>
          </cell>
        </row>
        <row r="395">
          <cell r="A395">
            <v>8</v>
          </cell>
          <cell r="B395" t="str">
            <v>Interdepartmental Rents</v>
          </cell>
          <cell r="E395">
            <v>91471.079999999973</v>
          </cell>
          <cell r="P395">
            <v>0</v>
          </cell>
        </row>
        <row r="396">
          <cell r="A396">
            <v>9</v>
          </cell>
          <cell r="B396" t="str">
            <v>Other Gas Revenue</v>
          </cell>
          <cell r="E396">
            <v>109620.85000000002</v>
          </cell>
          <cell r="P396">
            <v>0</v>
          </cell>
        </row>
        <row r="397">
          <cell r="A397">
            <v>10</v>
          </cell>
          <cell r="B397" t="str">
            <v>Overrun Penalty Income</v>
          </cell>
          <cell r="E397">
            <v>11094720.090000002</v>
          </cell>
          <cell r="P397">
            <v>0</v>
          </cell>
        </row>
        <row r="398">
          <cell r="A398">
            <v>11</v>
          </cell>
          <cell r="B398" t="str">
            <v>Service Co. IT Support Revenue</v>
          </cell>
          <cell r="E398">
            <v>0</v>
          </cell>
          <cell r="P398">
            <v>0</v>
          </cell>
        </row>
        <row r="399">
          <cell r="A399">
            <v>12</v>
          </cell>
          <cell r="B399" t="str">
            <v>Storage Revenues</v>
          </cell>
          <cell r="E399">
            <v>0</v>
          </cell>
          <cell r="P399">
            <v>0</v>
          </cell>
        </row>
        <row r="400">
          <cell r="A400">
            <v>13</v>
          </cell>
        </row>
        <row r="401">
          <cell r="A401">
            <v>14</v>
          </cell>
          <cell r="B401" t="str">
            <v>Proposed Revenue Increase</v>
          </cell>
        </row>
        <row r="402">
          <cell r="A402">
            <v>15</v>
          </cell>
        </row>
        <row r="403">
          <cell r="A403">
            <v>16</v>
          </cell>
          <cell r="B403" t="str">
            <v>Total Revenue</v>
          </cell>
          <cell r="E403">
            <v>217191908.60272825</v>
          </cell>
          <cell r="P403">
            <v>0</v>
          </cell>
        </row>
        <row r="404">
          <cell r="A404">
            <v>17</v>
          </cell>
        </row>
        <row r="405">
          <cell r="A405">
            <v>18</v>
          </cell>
        </row>
        <row r="406">
          <cell r="A406">
            <v>19</v>
          </cell>
          <cell r="B406" t="str">
            <v>Production Expenses</v>
          </cell>
          <cell r="E406">
            <v>108147557.49334347</v>
          </cell>
          <cell r="P406">
            <v>0</v>
          </cell>
        </row>
        <row r="407">
          <cell r="A407">
            <v>20</v>
          </cell>
          <cell r="B407" t="str">
            <v>Natural Gas Storage, Terminaling &amp; Proc. Exp.</v>
          </cell>
          <cell r="E407">
            <v>0</v>
          </cell>
          <cell r="P407">
            <v>0</v>
          </cell>
        </row>
        <row r="408">
          <cell r="A408">
            <v>21</v>
          </cell>
          <cell r="B408" t="str">
            <v>Transmission Expenses</v>
          </cell>
          <cell r="E408">
            <v>0</v>
          </cell>
          <cell r="P408">
            <v>0</v>
          </cell>
        </row>
        <row r="409">
          <cell r="A409">
            <v>22</v>
          </cell>
          <cell r="B409" t="str">
            <v>Distribution Expenses</v>
          </cell>
          <cell r="E409">
            <v>18270150.716667399</v>
          </cell>
          <cell r="P409">
            <v>0</v>
          </cell>
        </row>
        <row r="410">
          <cell r="A410">
            <v>23</v>
          </cell>
          <cell r="B410" t="str">
            <v>Total Operating Expenses</v>
          </cell>
          <cell r="E410">
            <v>126417708.21001087</v>
          </cell>
          <cell r="P410">
            <v>0</v>
          </cell>
        </row>
        <row r="411">
          <cell r="A411">
            <v>24</v>
          </cell>
        </row>
        <row r="412">
          <cell r="A412">
            <v>25</v>
          </cell>
          <cell r="B412" t="str">
            <v>CUSTOMER ACCOUNTS, SERVICES, &amp; SALES EXPENSES</v>
          </cell>
          <cell r="E412">
            <v>6806684.0584244598</v>
          </cell>
          <cell r="P412">
            <v>0</v>
          </cell>
        </row>
        <row r="413">
          <cell r="A413">
            <v>26</v>
          </cell>
        </row>
        <row r="414">
          <cell r="A414">
            <v>27</v>
          </cell>
          <cell r="B414" t="str">
            <v>ADMINISTRATIVE &amp; GENERAL EXPENSES</v>
          </cell>
          <cell r="E414">
            <v>17242019.936143018</v>
          </cell>
          <cell r="P414">
            <v>0</v>
          </cell>
        </row>
        <row r="415">
          <cell r="A415">
            <v>28</v>
          </cell>
        </row>
        <row r="416">
          <cell r="A416">
            <v>29</v>
          </cell>
          <cell r="B416" t="str">
            <v>DEPRECIATION EXPENSE</v>
          </cell>
          <cell r="E416">
            <v>19707306.386575934</v>
          </cell>
          <cell r="P416">
            <v>0</v>
          </cell>
        </row>
        <row r="417">
          <cell r="A417">
            <v>30</v>
          </cell>
        </row>
        <row r="418">
          <cell r="A418">
            <v>31</v>
          </cell>
          <cell r="B418" t="str">
            <v>TAXES OTHER THAN INCOME TAXES</v>
          </cell>
          <cell r="E418">
            <v>21837872.818910569</v>
          </cell>
          <cell r="P418">
            <v>0</v>
          </cell>
        </row>
        <row r="419">
          <cell r="A419">
            <v>32</v>
          </cell>
          <cell r="B419" t="str">
            <v xml:space="preserve">Other Income </v>
          </cell>
          <cell r="E419">
            <v>0</v>
          </cell>
          <cell r="P419">
            <v>0</v>
          </cell>
        </row>
        <row r="420">
          <cell r="A420">
            <v>33</v>
          </cell>
          <cell r="B420" t="str">
            <v>INCOME BEFORE INCOME TAXES</v>
          </cell>
          <cell r="E420">
            <v>25180317.192663401</v>
          </cell>
          <cell r="P420">
            <v>0</v>
          </cell>
        </row>
        <row r="421">
          <cell r="A421">
            <v>34</v>
          </cell>
        </row>
        <row r="422">
          <cell r="A422">
            <v>35</v>
          </cell>
          <cell r="B422" t="str">
            <v>FEDERAL INCOME TAXES</v>
          </cell>
        </row>
        <row r="423">
          <cell r="A423">
            <v>36</v>
          </cell>
          <cell r="B423" t="str">
            <v>Federal Income Taxes-Current</v>
          </cell>
          <cell r="E423">
            <v>4982116.9962927923</v>
          </cell>
          <cell r="P423">
            <v>0</v>
          </cell>
        </row>
        <row r="424">
          <cell r="A424">
            <v>37</v>
          </cell>
          <cell r="B424" t="str">
            <v>Provision for Deferred Taxes</v>
          </cell>
          <cell r="E424">
            <v>1031914.19</v>
          </cell>
          <cell r="P424">
            <v>0</v>
          </cell>
        </row>
        <row r="425">
          <cell r="A425">
            <v>38</v>
          </cell>
          <cell r="B425" t="str">
            <v>Investment Tax Credit Adjustments</v>
          </cell>
          <cell r="E425">
            <v>-37382.410000000003</v>
          </cell>
          <cell r="P425">
            <v>0</v>
          </cell>
        </row>
        <row r="426">
          <cell r="A426">
            <v>39</v>
          </cell>
          <cell r="B426" t="str">
            <v>State Net Income Tax</v>
          </cell>
          <cell r="E426">
            <v>0</v>
          </cell>
          <cell r="P426">
            <v>0</v>
          </cell>
        </row>
        <row r="427">
          <cell r="A427">
            <v>40</v>
          </cell>
          <cell r="B427" t="str">
            <v>Subtotal - Income Taxes</v>
          </cell>
          <cell r="E427">
            <v>5976648.7762927916</v>
          </cell>
          <cell r="P427">
            <v>0</v>
          </cell>
        </row>
        <row r="428">
          <cell r="A428">
            <v>41</v>
          </cell>
        </row>
        <row r="429">
          <cell r="A429">
            <v>42</v>
          </cell>
          <cell r="B429" t="str">
            <v>NET OPERATING INCOME</v>
          </cell>
          <cell r="E429">
            <v>19203668.4163706</v>
          </cell>
          <cell r="P429">
            <v>0</v>
          </cell>
        </row>
        <row r="430">
          <cell r="A430">
            <v>43</v>
          </cell>
        </row>
        <row r="431">
          <cell r="A431">
            <v>44</v>
          </cell>
          <cell r="B431" t="str">
            <v>RATE BASE</v>
          </cell>
          <cell r="E431">
            <v>300860725.69764155</v>
          </cell>
          <cell r="P431">
            <v>0</v>
          </cell>
        </row>
        <row r="432">
          <cell r="A432">
            <v>45</v>
          </cell>
        </row>
        <row r="433">
          <cell r="A433">
            <v>46</v>
          </cell>
          <cell r="B433" t="str">
            <v>RATE OF RETURN</v>
          </cell>
          <cell r="E433">
            <v>6.3829096908015401E-2</v>
          </cell>
        </row>
        <row r="434">
          <cell r="A434">
            <v>47</v>
          </cell>
          <cell r="B434" t="str">
            <v>Unitized RoR Compared to System Average</v>
          </cell>
          <cell r="E434">
            <v>1</v>
          </cell>
        </row>
        <row r="435">
          <cell r="A435">
            <v>48</v>
          </cell>
          <cell r="B435" t="str">
            <v>Unitized RoR Compared to Proposed</v>
          </cell>
          <cell r="E435">
            <v>0.84007761131897063</v>
          </cell>
        </row>
        <row r="436">
          <cell r="A436">
            <v>49</v>
          </cell>
        </row>
        <row r="437">
          <cell r="A437">
            <v>422</v>
          </cell>
        </row>
        <row r="438">
          <cell r="A438">
            <v>423</v>
          </cell>
        </row>
        <row r="439">
          <cell r="A439">
            <v>424</v>
          </cell>
        </row>
        <row r="440">
          <cell r="A440">
            <v>425</v>
          </cell>
        </row>
        <row r="442">
          <cell r="A442">
            <v>1</v>
          </cell>
          <cell r="B442" t="str">
            <v>REVENUE REQUIREMENTS ANALYSIS</v>
          </cell>
        </row>
        <row r="443">
          <cell r="A443">
            <v>2</v>
          </cell>
          <cell r="B443" t="str">
            <v>System Average Rate of Return Achieved</v>
          </cell>
          <cell r="E443">
            <v>7.598000000000002E-2</v>
          </cell>
        </row>
        <row r="444">
          <cell r="A444">
            <v>3</v>
          </cell>
        </row>
        <row r="445">
          <cell r="A445">
            <v>4</v>
          </cell>
        </row>
        <row r="446">
          <cell r="A446">
            <v>5</v>
          </cell>
          <cell r="B446" t="str">
            <v>RATE BASE</v>
          </cell>
          <cell r="E446">
            <v>300860725.69764155</v>
          </cell>
          <cell r="P446">
            <v>0</v>
          </cell>
        </row>
        <row r="447">
          <cell r="A447">
            <v>6</v>
          </cell>
        </row>
        <row r="448">
          <cell r="A448">
            <v>7</v>
          </cell>
          <cell r="B448" t="str">
            <v>OPERATING EXPENSES</v>
          </cell>
          <cell r="E448">
            <v>126417708.21001087</v>
          </cell>
          <cell r="P448">
            <v>0</v>
          </cell>
        </row>
        <row r="449">
          <cell r="A449">
            <v>8</v>
          </cell>
          <cell r="B449" t="str">
            <v>CUST. ACCTS., SERVICES, &amp; SALES EXP.</v>
          </cell>
          <cell r="E449">
            <v>6806684.0584244598</v>
          </cell>
          <cell r="P449">
            <v>0</v>
          </cell>
        </row>
        <row r="450">
          <cell r="A450">
            <v>9</v>
          </cell>
          <cell r="B450" t="str">
            <v>ADMINISTRATIVE &amp; GENERAL EXPENSES</v>
          </cell>
          <cell r="E450">
            <v>17242019.936143018</v>
          </cell>
          <cell r="P450">
            <v>0</v>
          </cell>
        </row>
        <row r="451">
          <cell r="A451">
            <v>10</v>
          </cell>
          <cell r="B451" t="str">
            <v>DEPRECIATION EXPENSE</v>
          </cell>
          <cell r="E451">
            <v>19707306.386575934</v>
          </cell>
          <cell r="P451">
            <v>0</v>
          </cell>
        </row>
        <row r="452">
          <cell r="A452">
            <v>11</v>
          </cell>
          <cell r="B452" t="str">
            <v>Taxes</v>
          </cell>
          <cell r="E452">
            <v>27814521.595203362</v>
          </cell>
          <cell r="P452">
            <v>0</v>
          </cell>
        </row>
        <row r="453">
          <cell r="A453">
            <v>12</v>
          </cell>
        </row>
        <row r="454">
          <cell r="A454">
            <v>13</v>
          </cell>
          <cell r="B454" t="str">
            <v>TOTAL Expenses</v>
          </cell>
          <cell r="E454">
            <v>197988240.18635765</v>
          </cell>
          <cell r="P454">
            <v>0</v>
          </cell>
          <cell r="R454">
            <v>23411710.937847853</v>
          </cell>
        </row>
        <row r="455">
          <cell r="A455">
            <v>14</v>
          </cell>
        </row>
        <row r="456">
          <cell r="A456">
            <v>15</v>
          </cell>
          <cell r="B456" t="str">
            <v>Return on Ratebase</v>
          </cell>
          <cell r="E456">
            <v>22859397.938506804</v>
          </cell>
        </row>
        <row r="457">
          <cell r="A457">
            <v>16</v>
          </cell>
        </row>
        <row r="458">
          <cell r="A458">
            <v>17</v>
          </cell>
          <cell r="B458" t="str">
            <v>FIT ON RETURN</v>
          </cell>
          <cell r="E458">
            <v>1968469.7426887252</v>
          </cell>
          <cell r="F458" t="str">
            <v>RevDeficiency</v>
          </cell>
          <cell r="P458">
            <v>0</v>
          </cell>
          <cell r="R458">
            <v>110</v>
          </cell>
        </row>
        <row r="459">
          <cell r="A459">
            <v>18</v>
          </cell>
          <cell r="B459" t="str">
            <v>GROSS RECEIPTS TAX</v>
          </cell>
          <cell r="E459">
            <v>238459.41454539585</v>
          </cell>
          <cell r="F459" t="str">
            <v>RevDeficiency</v>
          </cell>
          <cell r="P459">
            <v>0</v>
          </cell>
          <cell r="R459">
            <v>110</v>
          </cell>
        </row>
        <row r="460">
          <cell r="A460">
            <v>19</v>
          </cell>
          <cell r="B460" t="str">
            <v>Increase in Uncoll</v>
          </cell>
          <cell r="E460">
            <v>22321.93626135866</v>
          </cell>
          <cell r="F460" t="str">
            <v>RevDeficiency</v>
          </cell>
          <cell r="P460">
            <v>0</v>
          </cell>
          <cell r="R460">
            <v>110</v>
          </cell>
        </row>
        <row r="461">
          <cell r="A461">
            <v>20</v>
          </cell>
        </row>
        <row r="462">
          <cell r="A462">
            <v>21</v>
          </cell>
          <cell r="B462" t="str">
            <v>TOTAL REVENUE REQUIREMENT</v>
          </cell>
          <cell r="E462">
            <v>223076889.21835995</v>
          </cell>
          <cell r="P462">
            <v>0</v>
          </cell>
        </row>
        <row r="463">
          <cell r="A463">
            <v>448</v>
          </cell>
          <cell r="B463" t="str">
            <v>Effective Tax Rate on RevReq</v>
          </cell>
          <cell r="E463">
            <v>7.9284687995160849E-2</v>
          </cell>
        </row>
        <row r="464">
          <cell r="A464">
            <v>449</v>
          </cell>
          <cell r="B464" t="str">
            <v>Storage Capacity Rate ($/MCF Capacity)</v>
          </cell>
        </row>
        <row r="465">
          <cell r="A465">
            <v>450</v>
          </cell>
        </row>
        <row r="466">
          <cell r="A466">
            <v>451</v>
          </cell>
        </row>
        <row r="467">
          <cell r="A467">
            <v>452</v>
          </cell>
          <cell r="B467" t="str">
            <v>Cost of Gas Subreport</v>
          </cell>
        </row>
        <row r="468">
          <cell r="A468">
            <v>453</v>
          </cell>
        </row>
        <row r="469">
          <cell r="A469">
            <v>454</v>
          </cell>
          <cell r="B469" t="str">
            <v>DEMAND COSTS:</v>
          </cell>
        </row>
        <row r="470">
          <cell r="A470">
            <v>455</v>
          </cell>
        </row>
        <row r="471">
          <cell r="A471">
            <v>456</v>
          </cell>
          <cell r="B471" t="str">
            <v>Producer Demand Charges</v>
          </cell>
        </row>
        <row r="472">
          <cell r="A472">
            <v>457</v>
          </cell>
          <cell r="B472" t="str">
            <v>Producer Reservation Charges</v>
          </cell>
          <cell r="E472">
            <v>0</v>
          </cell>
          <cell r="F472" t="str">
            <v>SUPP</v>
          </cell>
          <cell r="P472">
            <v>0</v>
          </cell>
          <cell r="R472">
            <v>8</v>
          </cell>
        </row>
        <row r="473">
          <cell r="A473">
            <v>458</v>
          </cell>
          <cell r="B473" t="str">
            <v>GSR</v>
          </cell>
          <cell r="E473">
            <v>0</v>
          </cell>
          <cell r="F473" t="str">
            <v>SUPP</v>
          </cell>
          <cell r="P473">
            <v>0</v>
          </cell>
          <cell r="R473">
            <v>8</v>
          </cell>
        </row>
        <row r="474">
          <cell r="A474">
            <v>459</v>
          </cell>
          <cell r="B474" t="str">
            <v>Peak Shaving Reservation</v>
          </cell>
          <cell r="E474">
            <v>0</v>
          </cell>
          <cell r="F474" t="str">
            <v>SUPP</v>
          </cell>
          <cell r="P474">
            <v>0</v>
          </cell>
          <cell r="R474">
            <v>8</v>
          </cell>
        </row>
        <row r="475">
          <cell r="A475">
            <v>460</v>
          </cell>
          <cell r="B475" t="str">
            <v>Capacity Release Credits - 100% UBRC</v>
          </cell>
          <cell r="E475">
            <v>0</v>
          </cell>
          <cell r="F475" t="str">
            <v>SUPP</v>
          </cell>
          <cell r="P475">
            <v>0</v>
          </cell>
          <cell r="R475">
            <v>8</v>
          </cell>
        </row>
        <row r="476">
          <cell r="A476">
            <v>461</v>
          </cell>
          <cell r="B476" t="str">
            <v>Peaking Supplies</v>
          </cell>
          <cell r="E476">
            <v>0</v>
          </cell>
          <cell r="F476" t="str">
            <v>SUPP</v>
          </cell>
          <cell r="P476">
            <v>0</v>
          </cell>
          <cell r="R476">
            <v>8</v>
          </cell>
        </row>
        <row r="477">
          <cell r="A477">
            <v>462</v>
          </cell>
          <cell r="B477" t="str">
            <v>Subtotal- Gas Supply</v>
          </cell>
          <cell r="E477">
            <v>0</v>
          </cell>
          <cell r="P477">
            <v>0</v>
          </cell>
        </row>
        <row r="478">
          <cell r="A478">
            <v>463</v>
          </cell>
        </row>
        <row r="479">
          <cell r="A479">
            <v>464</v>
          </cell>
          <cell r="B479" t="str">
            <v>Storage Contract</v>
          </cell>
          <cell r="P479">
            <v>0</v>
          </cell>
        </row>
        <row r="480">
          <cell r="A480">
            <v>465</v>
          </cell>
          <cell r="B480" t="str">
            <v>Peak</v>
          </cell>
          <cell r="E480">
            <v>0</v>
          </cell>
          <cell r="F480" t="str">
            <v>SUPP</v>
          </cell>
          <cell r="P480">
            <v>0</v>
          </cell>
          <cell r="R480">
            <v>8</v>
          </cell>
        </row>
        <row r="481">
          <cell r="A481">
            <v>466</v>
          </cell>
          <cell r="B481" t="str">
            <v>Capacity</v>
          </cell>
          <cell r="E481">
            <v>0</v>
          </cell>
          <cell r="F481" t="str">
            <v>SUPP</v>
          </cell>
          <cell r="P481">
            <v>0</v>
          </cell>
          <cell r="R481">
            <v>8</v>
          </cell>
        </row>
        <row r="482">
          <cell r="A482">
            <v>467</v>
          </cell>
          <cell r="B482" t="str">
            <v>Subtotal- Storage</v>
          </cell>
          <cell r="E482">
            <v>0</v>
          </cell>
          <cell r="P482">
            <v>0</v>
          </cell>
        </row>
        <row r="483">
          <cell r="A483">
            <v>468</v>
          </cell>
        </row>
        <row r="484">
          <cell r="A484">
            <v>469</v>
          </cell>
          <cell r="B484" t="str">
            <v>Firm Transportation</v>
          </cell>
        </row>
        <row r="485">
          <cell r="A485">
            <v>470</v>
          </cell>
          <cell r="B485" t="str">
            <v>Demand Charges - TF Demand all Pipelines</v>
          </cell>
        </row>
        <row r="486">
          <cell r="A486">
            <v>471</v>
          </cell>
          <cell r="B486" t="str">
            <v xml:space="preserve">   Pipeline Supply</v>
          </cell>
          <cell r="E486">
            <v>0</v>
          </cell>
          <cell r="F486" t="str">
            <v>SUPP</v>
          </cell>
          <cell r="P486">
            <v>0</v>
          </cell>
          <cell r="R486">
            <v>8</v>
          </cell>
        </row>
        <row r="487">
          <cell r="A487">
            <v>472</v>
          </cell>
          <cell r="B487" t="str">
            <v xml:space="preserve">   Storage</v>
          </cell>
          <cell r="E487">
            <v>0</v>
          </cell>
          <cell r="F487" t="str">
            <v>SUPP</v>
          </cell>
          <cell r="P487">
            <v>0</v>
          </cell>
          <cell r="R487">
            <v>8</v>
          </cell>
        </row>
        <row r="488">
          <cell r="A488">
            <v>473</v>
          </cell>
          <cell r="B488" t="str">
            <v>Subtotal- Transportation</v>
          </cell>
          <cell r="E488">
            <v>0</v>
          </cell>
        </row>
        <row r="489">
          <cell r="A489">
            <v>474</v>
          </cell>
        </row>
        <row r="490">
          <cell r="A490">
            <v>475</v>
          </cell>
          <cell r="B490" t="str">
            <v>Contingency Reserve</v>
          </cell>
          <cell r="E490">
            <v>0</v>
          </cell>
          <cell r="F490" t="str">
            <v>SUPP</v>
          </cell>
          <cell r="P490">
            <v>0</v>
          </cell>
          <cell r="R490">
            <v>8</v>
          </cell>
        </row>
        <row r="491">
          <cell r="A491">
            <v>476</v>
          </cell>
        </row>
        <row r="492">
          <cell r="A492">
            <v>477</v>
          </cell>
          <cell r="B492" t="str">
            <v>Direct Assigned Demand Costs</v>
          </cell>
          <cell r="E492">
            <v>0</v>
          </cell>
          <cell r="F492" t="str">
            <v>SUPP</v>
          </cell>
          <cell r="P492">
            <v>0</v>
          </cell>
          <cell r="R492">
            <v>8</v>
          </cell>
        </row>
        <row r="493">
          <cell r="A493">
            <v>478</v>
          </cell>
        </row>
        <row r="494">
          <cell r="A494">
            <v>479</v>
          </cell>
          <cell r="B494" t="str">
            <v>TOTAL DEMAND COSTS</v>
          </cell>
          <cell r="E494">
            <v>0</v>
          </cell>
          <cell r="P494">
            <v>0</v>
          </cell>
        </row>
        <row r="495">
          <cell r="A495">
            <v>480</v>
          </cell>
        </row>
        <row r="496">
          <cell r="A496">
            <v>481</v>
          </cell>
          <cell r="B496" t="str">
            <v>Other Fixed Costs:</v>
          </cell>
        </row>
        <row r="497">
          <cell r="A497">
            <v>482</v>
          </cell>
          <cell r="B497" t="str">
            <v>Cove Point all classes</v>
          </cell>
          <cell r="E497">
            <v>0</v>
          </cell>
          <cell r="F497" t="str">
            <v>SUPP</v>
          </cell>
          <cell r="P497">
            <v>0</v>
          </cell>
          <cell r="R497">
            <v>8</v>
          </cell>
        </row>
        <row r="498">
          <cell r="A498">
            <v>483</v>
          </cell>
          <cell r="B498" t="str">
            <v>Take or Pay</v>
          </cell>
          <cell r="E498">
            <v>0</v>
          </cell>
          <cell r="F498" t="str">
            <v>SUPP</v>
          </cell>
          <cell r="P498">
            <v>0</v>
          </cell>
          <cell r="R498">
            <v>8</v>
          </cell>
        </row>
        <row r="499">
          <cell r="A499">
            <v>484</v>
          </cell>
          <cell r="B499" t="str">
            <v>Supplier Refunds</v>
          </cell>
          <cell r="E499">
            <v>0</v>
          </cell>
          <cell r="F499" t="str">
            <v>SUPP</v>
          </cell>
          <cell r="P499">
            <v>0</v>
          </cell>
          <cell r="R499">
            <v>8</v>
          </cell>
        </row>
        <row r="500">
          <cell r="A500">
            <v>485</v>
          </cell>
          <cell r="B500" t="str">
            <v>Deferrals/Amortizations</v>
          </cell>
          <cell r="E500">
            <v>0</v>
          </cell>
          <cell r="F500" t="str">
            <v>SUPP</v>
          </cell>
          <cell r="P500">
            <v>0</v>
          </cell>
          <cell r="R500">
            <v>8</v>
          </cell>
        </row>
        <row r="501">
          <cell r="A501">
            <v>486</v>
          </cell>
          <cell r="B501" t="str">
            <v>Subtotal</v>
          </cell>
          <cell r="E501">
            <v>0</v>
          </cell>
        </row>
        <row r="502">
          <cell r="A502">
            <v>487</v>
          </cell>
        </row>
        <row r="503">
          <cell r="A503">
            <v>488</v>
          </cell>
          <cell r="B503" t="str">
            <v>TOTAL DEMAND &amp; FIXED COSTS</v>
          </cell>
          <cell r="E503">
            <v>0</v>
          </cell>
        </row>
        <row r="504">
          <cell r="A504">
            <v>489</v>
          </cell>
        </row>
        <row r="505">
          <cell r="A505">
            <v>490</v>
          </cell>
          <cell r="B505" t="str">
            <v>VARIABLE COSTS:</v>
          </cell>
        </row>
        <row r="506">
          <cell r="A506">
            <v>491</v>
          </cell>
          <cell r="B506" t="str">
            <v>Commodity Cost including transport liability</v>
          </cell>
          <cell r="E506">
            <v>0</v>
          </cell>
          <cell r="F506" t="str">
            <v>SUPP</v>
          </cell>
          <cell r="P506">
            <v>0</v>
          </cell>
          <cell r="R506">
            <v>8</v>
          </cell>
        </row>
        <row r="507">
          <cell r="A507">
            <v>492</v>
          </cell>
          <cell r="B507" t="str">
            <v>Cash Out</v>
          </cell>
          <cell r="E507">
            <v>0</v>
          </cell>
          <cell r="F507" t="str">
            <v>SUPP</v>
          </cell>
          <cell r="P507">
            <v>0</v>
          </cell>
          <cell r="R507">
            <v>8</v>
          </cell>
        </row>
        <row r="508">
          <cell r="A508">
            <v>493</v>
          </cell>
          <cell r="B508" t="str">
            <v>TF Transportation Step 1 &amp; Step 2 (total other)</v>
          </cell>
          <cell r="E508">
            <v>0</v>
          </cell>
          <cell r="F508" t="str">
            <v>SUPP</v>
          </cell>
          <cell r="P508">
            <v>0</v>
          </cell>
          <cell r="R508">
            <v>8</v>
          </cell>
        </row>
        <row r="509">
          <cell r="A509">
            <v>494</v>
          </cell>
          <cell r="B509" t="str">
            <v>Withdrawal Transportation Charges</v>
          </cell>
          <cell r="E509">
            <v>0</v>
          </cell>
          <cell r="F509" t="str">
            <v>SUPP</v>
          </cell>
          <cell r="P509">
            <v>0</v>
          </cell>
          <cell r="R509">
            <v>8</v>
          </cell>
        </row>
        <row r="510">
          <cell r="A510">
            <v>495</v>
          </cell>
          <cell r="B510" t="str">
            <v>Injection Fees</v>
          </cell>
          <cell r="E510">
            <v>0</v>
          </cell>
          <cell r="F510" t="str">
            <v>SUPP</v>
          </cell>
          <cell r="P510">
            <v>0</v>
          </cell>
          <cell r="R510">
            <v>8</v>
          </cell>
        </row>
        <row r="511">
          <cell r="A511">
            <v>496</v>
          </cell>
          <cell r="B511" t="str">
            <v>Withdrawal Fees</v>
          </cell>
          <cell r="E511">
            <v>0</v>
          </cell>
          <cell r="F511" t="str">
            <v>SUPP</v>
          </cell>
          <cell r="P511">
            <v>0</v>
          </cell>
          <cell r="R511">
            <v>8</v>
          </cell>
        </row>
        <row r="512">
          <cell r="A512">
            <v>497</v>
          </cell>
          <cell r="B512" t="str">
            <v>Injection Gas Costs (Acct 808,809)</v>
          </cell>
          <cell r="E512">
            <v>0</v>
          </cell>
          <cell r="F512" t="str">
            <v>SUPP</v>
          </cell>
          <cell r="P512">
            <v>0</v>
          </cell>
          <cell r="R512">
            <v>8</v>
          </cell>
        </row>
        <row r="513">
          <cell r="A513">
            <v>498</v>
          </cell>
          <cell r="B513" t="str">
            <v>Withdrawal Gas Costs (Acct 808,809)</v>
          </cell>
          <cell r="E513">
            <v>0</v>
          </cell>
          <cell r="F513" t="str">
            <v>SUPP</v>
          </cell>
          <cell r="P513">
            <v>0</v>
          </cell>
          <cell r="R513">
            <v>8</v>
          </cell>
        </row>
        <row r="514">
          <cell r="A514">
            <v>499</v>
          </cell>
          <cell r="B514" t="str">
            <v>Directly Assigned commodity costs</v>
          </cell>
          <cell r="E514">
            <v>0</v>
          </cell>
          <cell r="F514" t="str">
            <v>SUPP</v>
          </cell>
          <cell r="P514">
            <v>0</v>
          </cell>
          <cell r="R514">
            <v>8</v>
          </cell>
        </row>
        <row r="515">
          <cell r="A515">
            <v>500</v>
          </cell>
          <cell r="B515" t="str">
            <v>Off System Sales</v>
          </cell>
          <cell r="E515">
            <v>0</v>
          </cell>
          <cell r="F515" t="str">
            <v>SUPP</v>
          </cell>
          <cell r="P515">
            <v>0</v>
          </cell>
          <cell r="R515">
            <v>8</v>
          </cell>
        </row>
        <row r="516">
          <cell r="A516">
            <v>501</v>
          </cell>
          <cell r="B516" t="str">
            <v>Gas Commodity Deferral</v>
          </cell>
          <cell r="E516">
            <v>0</v>
          </cell>
          <cell r="F516" t="str">
            <v>SUPP</v>
          </cell>
          <cell r="P516">
            <v>0</v>
          </cell>
          <cell r="R516">
            <v>8</v>
          </cell>
        </row>
        <row r="517">
          <cell r="A517">
            <v>502</v>
          </cell>
          <cell r="B517" t="str">
            <v>Hedging</v>
          </cell>
          <cell r="E517">
            <v>0</v>
          </cell>
          <cell r="F517" t="str">
            <v>SUPP</v>
          </cell>
          <cell r="P517">
            <v>0</v>
          </cell>
          <cell r="R517">
            <v>8</v>
          </cell>
        </row>
        <row r="518">
          <cell r="A518">
            <v>503</v>
          </cell>
          <cell r="B518" t="str">
            <v>Subtotal</v>
          </cell>
          <cell r="E518">
            <v>0</v>
          </cell>
        </row>
        <row r="519">
          <cell r="A519">
            <v>504</v>
          </cell>
        </row>
        <row r="520">
          <cell r="A520">
            <v>505</v>
          </cell>
          <cell r="B520" t="str">
            <v>TOTAL COST OF GAS</v>
          </cell>
          <cell r="E520">
            <v>0</v>
          </cell>
        </row>
        <row r="521">
          <cell r="A521">
            <v>506</v>
          </cell>
        </row>
        <row r="522">
          <cell r="A522">
            <v>507</v>
          </cell>
        </row>
        <row r="523">
          <cell r="A523">
            <v>508</v>
          </cell>
        </row>
        <row r="524">
          <cell r="A524">
            <v>509</v>
          </cell>
        </row>
        <row r="525">
          <cell r="A525">
            <v>510</v>
          </cell>
        </row>
        <row r="526">
          <cell r="A526">
            <v>511</v>
          </cell>
        </row>
        <row r="527">
          <cell r="A527">
            <v>512</v>
          </cell>
          <cell r="B527" t="str">
            <v>LABOR SUBREPORT: FUNCTIONALIZATION PHASE</v>
          </cell>
        </row>
        <row r="528">
          <cell r="A528">
            <v>513</v>
          </cell>
          <cell r="B528" t="str">
            <v>----------------------------------------</v>
          </cell>
        </row>
        <row r="529">
          <cell r="A529">
            <v>514</v>
          </cell>
          <cell r="B529" t="str">
            <v xml:space="preserve">  1. PRODUCTION:  </v>
          </cell>
          <cell r="E529" t="str">
            <v>Labor $</v>
          </cell>
          <cell r="F529" t="str">
            <v>Labor %</v>
          </cell>
        </row>
        <row r="530">
          <cell r="A530">
            <v>515</v>
          </cell>
          <cell r="C530" t="str">
            <v>751-766</v>
          </cell>
          <cell r="E530">
            <v>0</v>
          </cell>
          <cell r="F530">
            <v>0</v>
          </cell>
          <cell r="P530">
            <v>0</v>
          </cell>
        </row>
        <row r="531">
          <cell r="A531">
            <v>516</v>
          </cell>
          <cell r="C531">
            <v>807</v>
          </cell>
          <cell r="E531">
            <v>0</v>
          </cell>
          <cell r="F531">
            <v>0</v>
          </cell>
          <cell r="P531">
            <v>0</v>
          </cell>
        </row>
        <row r="532">
          <cell r="A532">
            <v>517</v>
          </cell>
          <cell r="B532" t="str">
            <v>Sub Production</v>
          </cell>
          <cell r="E532">
            <v>0</v>
          </cell>
          <cell r="F532">
            <v>0</v>
          </cell>
          <cell r="P532">
            <v>0</v>
          </cell>
        </row>
        <row r="533">
          <cell r="A533">
            <v>518</v>
          </cell>
          <cell r="P533">
            <v>0</v>
          </cell>
        </row>
        <row r="534">
          <cell r="A534">
            <v>519</v>
          </cell>
          <cell r="B534" t="str">
            <v xml:space="preserve">  2. STORAGE:     </v>
          </cell>
          <cell r="P534">
            <v>0</v>
          </cell>
        </row>
        <row r="535">
          <cell r="A535">
            <v>520</v>
          </cell>
          <cell r="C535" t="str">
            <v>816-825</v>
          </cell>
          <cell r="E535">
            <v>0</v>
          </cell>
          <cell r="F535">
            <v>0</v>
          </cell>
          <cell r="P535">
            <v>0</v>
          </cell>
        </row>
        <row r="536">
          <cell r="A536">
            <v>521</v>
          </cell>
          <cell r="C536" t="str">
            <v>831-835</v>
          </cell>
          <cell r="E536">
            <v>0</v>
          </cell>
          <cell r="F536">
            <v>0</v>
          </cell>
          <cell r="P536">
            <v>0</v>
          </cell>
        </row>
        <row r="537">
          <cell r="A537">
            <v>522</v>
          </cell>
          <cell r="B537" t="str">
            <v>Sub Storage</v>
          </cell>
          <cell r="E537">
            <v>0</v>
          </cell>
          <cell r="F537">
            <v>0</v>
          </cell>
          <cell r="P537">
            <v>0</v>
          </cell>
        </row>
        <row r="538">
          <cell r="A538">
            <v>523</v>
          </cell>
          <cell r="P538">
            <v>0</v>
          </cell>
        </row>
        <row r="539">
          <cell r="A539">
            <v>524</v>
          </cell>
          <cell r="B539" t="str">
            <v xml:space="preserve">  3. TRANSMISSION:</v>
          </cell>
          <cell r="P539">
            <v>0</v>
          </cell>
        </row>
        <row r="540">
          <cell r="A540">
            <v>525</v>
          </cell>
          <cell r="C540" t="str">
            <v>856-860</v>
          </cell>
          <cell r="E540">
            <v>0</v>
          </cell>
          <cell r="F540">
            <v>0</v>
          </cell>
          <cell r="P540">
            <v>0</v>
          </cell>
        </row>
        <row r="541">
          <cell r="A541">
            <v>526</v>
          </cell>
          <cell r="C541" t="str">
            <v>863-865</v>
          </cell>
          <cell r="E541">
            <v>0</v>
          </cell>
          <cell r="F541">
            <v>0</v>
          </cell>
          <cell r="P541">
            <v>0</v>
          </cell>
        </row>
        <row r="542">
          <cell r="A542">
            <v>527</v>
          </cell>
          <cell r="B542" t="str">
            <v>Sub Transmission</v>
          </cell>
          <cell r="E542">
            <v>0</v>
          </cell>
          <cell r="F542">
            <v>0</v>
          </cell>
          <cell r="P542">
            <v>0</v>
          </cell>
        </row>
        <row r="543">
          <cell r="A543">
            <v>528</v>
          </cell>
          <cell r="P543">
            <v>0</v>
          </cell>
        </row>
        <row r="544">
          <cell r="A544">
            <v>529</v>
          </cell>
          <cell r="B544" t="str">
            <v xml:space="preserve">  4. DISTRIBUTION, Customer Accounting &amp; Sales ETC</v>
          </cell>
          <cell r="P544">
            <v>0</v>
          </cell>
        </row>
        <row r="545">
          <cell r="A545">
            <v>530</v>
          </cell>
          <cell r="C545" t="str">
            <v>870</v>
          </cell>
          <cell r="E545">
            <v>1362913.4400000002</v>
          </cell>
          <cell r="F545">
            <v>0.50622120506772794</v>
          </cell>
          <cell r="P545">
            <v>0</v>
          </cell>
        </row>
        <row r="546">
          <cell r="A546">
            <v>531</v>
          </cell>
          <cell r="C546" t="str">
            <v>871</v>
          </cell>
          <cell r="E546">
            <v>452341.63</v>
          </cell>
          <cell r="F546">
            <v>0.87171703080681873</v>
          </cell>
          <cell r="P546">
            <v>0</v>
          </cell>
        </row>
        <row r="547">
          <cell r="A547">
            <v>532</v>
          </cell>
          <cell r="C547" t="str">
            <v>874</v>
          </cell>
          <cell r="E547">
            <v>2491637.96</v>
          </cell>
          <cell r="F547">
            <v>0.67564506159304849</v>
          </cell>
          <cell r="P547">
            <v>0</v>
          </cell>
        </row>
        <row r="548">
          <cell r="A548">
            <v>533</v>
          </cell>
          <cell r="C548" t="str">
            <v>875</v>
          </cell>
          <cell r="E548">
            <v>306707.33999999997</v>
          </cell>
          <cell r="F548">
            <v>0.50151604302018149</v>
          </cell>
          <cell r="P548">
            <v>0</v>
          </cell>
        </row>
        <row r="549">
          <cell r="A549">
            <v>534</v>
          </cell>
          <cell r="C549" t="str">
            <v>878</v>
          </cell>
          <cell r="E549">
            <v>1177550.3599999999</v>
          </cell>
          <cell r="F549">
            <v>0.83891906453872167</v>
          </cell>
          <cell r="P549">
            <v>0</v>
          </cell>
        </row>
        <row r="550">
          <cell r="A550">
            <v>535</v>
          </cell>
          <cell r="C550" t="str">
            <v>879</v>
          </cell>
          <cell r="E550">
            <v>958712.14000000013</v>
          </cell>
          <cell r="F550">
            <v>0.85810053987894508</v>
          </cell>
          <cell r="P550">
            <v>0</v>
          </cell>
        </row>
        <row r="551">
          <cell r="A551">
            <v>536</v>
          </cell>
          <cell r="C551" t="str">
            <v>880</v>
          </cell>
          <cell r="E551">
            <v>1661547.6</v>
          </cell>
          <cell r="F551">
            <v>0.48921003475679276</v>
          </cell>
          <cell r="P551">
            <v>0</v>
          </cell>
        </row>
        <row r="552">
          <cell r="A552">
            <v>537</v>
          </cell>
          <cell r="C552" t="str">
            <v>885</v>
          </cell>
          <cell r="E552">
            <v>0</v>
          </cell>
          <cell r="F552">
            <v>0</v>
          </cell>
          <cell r="P552">
            <v>0</v>
          </cell>
        </row>
        <row r="553">
          <cell r="A553">
            <v>538</v>
          </cell>
          <cell r="C553" t="str">
            <v>886</v>
          </cell>
          <cell r="E553">
            <v>73.92</v>
          </cell>
          <cell r="F553">
            <v>4.6668186690990024E-3</v>
          </cell>
          <cell r="P553">
            <v>0</v>
          </cell>
        </row>
        <row r="554">
          <cell r="A554">
            <v>539</v>
          </cell>
          <cell r="C554" t="str">
            <v>887</v>
          </cell>
          <cell r="E554">
            <v>625865.84</v>
          </cell>
          <cell r="F554">
            <v>0.4825172077253565</v>
          </cell>
          <cell r="P554">
            <v>0</v>
          </cell>
        </row>
        <row r="555">
          <cell r="A555">
            <v>540</v>
          </cell>
          <cell r="C555">
            <v>888</v>
          </cell>
          <cell r="E555">
            <v>18595.93</v>
          </cell>
          <cell r="F555">
            <v>0.43010491305816012</v>
          </cell>
          <cell r="P555">
            <v>0</v>
          </cell>
        </row>
        <row r="556">
          <cell r="A556">
            <v>541</v>
          </cell>
          <cell r="C556" t="str">
            <v>889</v>
          </cell>
          <cell r="E556">
            <v>219662.53</v>
          </cell>
          <cell r="F556">
            <v>0.62975121853376981</v>
          </cell>
          <cell r="P556">
            <v>0</v>
          </cell>
        </row>
        <row r="557">
          <cell r="A557">
            <v>542</v>
          </cell>
          <cell r="C557" t="str">
            <v>890</v>
          </cell>
          <cell r="E557">
            <v>9726.590000000002</v>
          </cell>
          <cell r="F557">
            <v>0.44176214434092698</v>
          </cell>
          <cell r="P557">
            <v>0</v>
          </cell>
        </row>
        <row r="558">
          <cell r="A558">
            <v>543</v>
          </cell>
          <cell r="C558" t="str">
            <v>892</v>
          </cell>
          <cell r="E558">
            <v>836672.96</v>
          </cell>
          <cell r="F558">
            <v>0.67637675100792694</v>
          </cell>
          <cell r="P558">
            <v>0</v>
          </cell>
        </row>
        <row r="559">
          <cell r="A559">
            <v>544</v>
          </cell>
          <cell r="C559" t="str">
            <v>893</v>
          </cell>
          <cell r="E559">
            <v>897759</v>
          </cell>
          <cell r="F559">
            <v>0.77525615827076877</v>
          </cell>
          <cell r="P559">
            <v>0</v>
          </cell>
        </row>
        <row r="560">
          <cell r="A560">
            <v>545</v>
          </cell>
          <cell r="C560" t="str">
            <v>894</v>
          </cell>
          <cell r="E560">
            <v>62225.46</v>
          </cell>
          <cell r="F560">
            <v>0.40843001679003454</v>
          </cell>
          <cell r="P560">
            <v>0</v>
          </cell>
        </row>
        <row r="561">
          <cell r="A561">
            <v>546</v>
          </cell>
          <cell r="C561">
            <v>901</v>
          </cell>
          <cell r="E561">
            <v>0</v>
          </cell>
          <cell r="F561">
            <v>0</v>
          </cell>
          <cell r="P561">
            <v>0</v>
          </cell>
        </row>
        <row r="562">
          <cell r="A562">
            <v>547</v>
          </cell>
          <cell r="C562" t="str">
            <v>902</v>
          </cell>
          <cell r="E562">
            <v>400637.62</v>
          </cell>
          <cell r="F562">
            <v>0.72987249882253846</v>
          </cell>
          <cell r="P562">
            <v>0</v>
          </cell>
        </row>
        <row r="563">
          <cell r="A563">
            <v>548</v>
          </cell>
          <cell r="C563" t="str">
            <v>903</v>
          </cell>
          <cell r="E563">
            <v>3239745.9099999992</v>
          </cell>
          <cell r="F563">
            <v>0.62967321937372001</v>
          </cell>
          <cell r="P563">
            <v>0</v>
          </cell>
        </row>
        <row r="564">
          <cell r="A564">
            <v>549</v>
          </cell>
          <cell r="C564">
            <v>907</v>
          </cell>
          <cell r="E564">
            <v>0</v>
          </cell>
          <cell r="F564">
            <v>0</v>
          </cell>
          <cell r="P564">
            <v>0</v>
          </cell>
        </row>
        <row r="565">
          <cell r="A565">
            <v>550</v>
          </cell>
          <cell r="C565">
            <v>908</v>
          </cell>
          <cell r="E565">
            <v>0</v>
          </cell>
          <cell r="F565">
            <v>0</v>
          </cell>
          <cell r="P565">
            <v>0</v>
          </cell>
        </row>
        <row r="566">
          <cell r="A566">
            <v>551</v>
          </cell>
          <cell r="C566">
            <v>910</v>
          </cell>
          <cell r="E566">
            <v>0</v>
          </cell>
          <cell r="F566">
            <v>0</v>
          </cell>
          <cell r="P566">
            <v>0</v>
          </cell>
        </row>
        <row r="567">
          <cell r="A567">
            <v>552</v>
          </cell>
          <cell r="C567">
            <v>912</v>
          </cell>
          <cell r="E567">
            <v>0</v>
          </cell>
          <cell r="F567">
            <v>0</v>
          </cell>
          <cell r="P567">
            <v>0</v>
          </cell>
        </row>
        <row r="568">
          <cell r="A568">
            <v>553</v>
          </cell>
          <cell r="C568">
            <v>916</v>
          </cell>
          <cell r="E568">
            <v>0</v>
          </cell>
          <cell r="F568">
            <v>0</v>
          </cell>
          <cell r="P568">
            <v>0</v>
          </cell>
        </row>
        <row r="569">
          <cell r="A569">
            <v>554</v>
          </cell>
          <cell r="B569" t="str">
            <v>Sub Distribution</v>
          </cell>
          <cell r="E569">
            <v>14722376.229999997</v>
          </cell>
          <cell r="F569">
            <v>0.61769965890884682</v>
          </cell>
          <cell r="P569">
            <v>0</v>
          </cell>
        </row>
        <row r="570">
          <cell r="A570">
            <v>555</v>
          </cell>
          <cell r="P570">
            <v>0</v>
          </cell>
        </row>
        <row r="571">
          <cell r="A571">
            <v>556</v>
          </cell>
          <cell r="B571" t="str">
            <v xml:space="preserve">  5. TOTAL:       LABOR allocator</v>
          </cell>
          <cell r="E571">
            <v>14722376.229999997</v>
          </cell>
          <cell r="F571">
            <v>0.61769965890884682</v>
          </cell>
          <cell r="P571">
            <v>0</v>
          </cell>
        </row>
        <row r="572">
          <cell r="P572">
            <v>0</v>
          </cell>
        </row>
        <row r="573">
          <cell r="E573">
            <v>14722376.229999997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>
        <row r="7">
          <cell r="F7" t="str">
            <v>Res</v>
          </cell>
          <cell r="G7" t="str">
            <v>GSC</v>
          </cell>
          <cell r="H7" t="str">
            <v>GSI</v>
          </cell>
          <cell r="I7" t="str">
            <v>GSLV</v>
          </cell>
          <cell r="J7" t="str">
            <v>Interruptible</v>
          </cell>
          <cell r="K7" t="str">
            <v>Transport</v>
          </cell>
          <cell r="L7" t="str">
            <v>Spl Contracts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F8" t="str">
            <v>502, 503</v>
          </cell>
          <cell r="G8" t="str">
            <v>504, 512</v>
          </cell>
          <cell r="H8" t="str">
            <v>505</v>
          </cell>
          <cell r="I8" t="str">
            <v>511</v>
          </cell>
          <cell r="J8" t="str">
            <v>570, 577</v>
          </cell>
          <cell r="K8" t="str">
            <v>663</v>
          </cell>
          <cell r="L8" t="str">
            <v>9xx</v>
          </cell>
        </row>
        <row r="9">
          <cell r="AB9" t="str">
            <v>check total</v>
          </cell>
        </row>
        <row r="10"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</row>
        <row r="16">
          <cell r="AB16">
            <v>0</v>
          </cell>
        </row>
        <row r="17">
          <cell r="AB17">
            <v>0</v>
          </cell>
        </row>
        <row r="18">
          <cell r="AB18">
            <v>0</v>
          </cell>
        </row>
        <row r="19">
          <cell r="AB19">
            <v>0</v>
          </cell>
        </row>
        <row r="20">
          <cell r="AB20">
            <v>0</v>
          </cell>
        </row>
        <row r="21">
          <cell r="AB21">
            <v>0</v>
          </cell>
        </row>
        <row r="25">
          <cell r="AB25">
            <v>0</v>
          </cell>
        </row>
        <row r="26">
          <cell r="AB26">
            <v>0</v>
          </cell>
        </row>
        <row r="27">
          <cell r="AB27">
            <v>0</v>
          </cell>
        </row>
        <row r="28">
          <cell r="AB28">
            <v>0</v>
          </cell>
        </row>
        <row r="29">
          <cell r="AB29">
            <v>0</v>
          </cell>
        </row>
        <row r="30">
          <cell r="AB30">
            <v>0</v>
          </cell>
        </row>
        <row r="31">
          <cell r="AB31">
            <v>0</v>
          </cell>
        </row>
        <row r="32">
          <cell r="AB32">
            <v>0</v>
          </cell>
        </row>
        <row r="33">
          <cell r="AB33">
            <v>0</v>
          </cell>
        </row>
        <row r="34">
          <cell r="AB34">
            <v>0</v>
          </cell>
        </row>
        <row r="35">
          <cell r="AB35">
            <v>0</v>
          </cell>
        </row>
        <row r="36">
          <cell r="AB36">
            <v>0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0</v>
          </cell>
        </row>
        <row r="47">
          <cell r="AB47">
            <v>0</v>
          </cell>
        </row>
        <row r="51">
          <cell r="AB51">
            <v>0</v>
          </cell>
        </row>
        <row r="52">
          <cell r="AB52">
            <v>0</v>
          </cell>
        </row>
        <row r="53">
          <cell r="AB53">
            <v>0</v>
          </cell>
        </row>
        <row r="54">
          <cell r="AB54">
            <v>0</v>
          </cell>
        </row>
        <row r="55">
          <cell r="AB55">
            <v>0</v>
          </cell>
        </row>
        <row r="56">
          <cell r="AB56">
            <v>0</v>
          </cell>
        </row>
        <row r="57">
          <cell r="AB57">
            <v>0</v>
          </cell>
        </row>
        <row r="58">
          <cell r="AB58">
            <v>0</v>
          </cell>
        </row>
        <row r="62">
          <cell r="AB62">
            <v>0</v>
          </cell>
        </row>
        <row r="63">
          <cell r="AB63">
            <v>0</v>
          </cell>
        </row>
        <row r="64">
          <cell r="AB64">
            <v>0</v>
          </cell>
        </row>
        <row r="65">
          <cell r="AB65">
            <v>0</v>
          </cell>
        </row>
        <row r="66">
          <cell r="AB66">
            <v>0</v>
          </cell>
        </row>
        <row r="67">
          <cell r="AB67">
            <v>0</v>
          </cell>
        </row>
        <row r="68">
          <cell r="AB68">
            <v>0</v>
          </cell>
        </row>
        <row r="69">
          <cell r="AB69">
            <v>0</v>
          </cell>
        </row>
        <row r="70">
          <cell r="AB70">
            <v>0</v>
          </cell>
        </row>
        <row r="71">
          <cell r="AB71">
            <v>0</v>
          </cell>
        </row>
        <row r="72">
          <cell r="AB72">
            <v>0</v>
          </cell>
        </row>
        <row r="73">
          <cell r="AB73">
            <v>0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0</v>
          </cell>
        </row>
        <row r="77">
          <cell r="AB77">
            <v>0</v>
          </cell>
        </row>
        <row r="78">
          <cell r="AB78">
            <v>0</v>
          </cell>
        </row>
        <row r="79">
          <cell r="AB79">
            <v>0</v>
          </cell>
        </row>
        <row r="80">
          <cell r="AB80">
            <v>0</v>
          </cell>
        </row>
        <row r="81">
          <cell r="AB81">
            <v>0</v>
          </cell>
        </row>
        <row r="82">
          <cell r="AB82">
            <v>0</v>
          </cell>
        </row>
        <row r="83">
          <cell r="AB83">
            <v>0</v>
          </cell>
        </row>
        <row r="84">
          <cell r="AB84">
            <v>0</v>
          </cell>
        </row>
        <row r="85">
          <cell r="AB85">
            <v>0</v>
          </cell>
        </row>
        <row r="86">
          <cell r="AB86">
            <v>0</v>
          </cell>
        </row>
        <row r="90">
          <cell r="AB90">
            <v>0</v>
          </cell>
        </row>
        <row r="91">
          <cell r="AB91">
            <v>0</v>
          </cell>
        </row>
        <row r="92">
          <cell r="AB92">
            <v>0</v>
          </cell>
        </row>
        <row r="93">
          <cell r="AB93">
            <v>0</v>
          </cell>
        </row>
        <row r="94">
          <cell r="AB94">
            <v>0</v>
          </cell>
        </row>
        <row r="95">
          <cell r="AB95">
            <v>0</v>
          </cell>
        </row>
        <row r="96">
          <cell r="AB96">
            <v>0</v>
          </cell>
        </row>
        <row r="97">
          <cell r="AB97">
            <v>0</v>
          </cell>
        </row>
        <row r="98">
          <cell r="AB98">
            <v>0</v>
          </cell>
        </row>
        <row r="99">
          <cell r="AB99">
            <v>0</v>
          </cell>
        </row>
        <row r="100">
          <cell r="AB100">
            <v>0</v>
          </cell>
        </row>
        <row r="101">
          <cell r="AB101">
            <v>0</v>
          </cell>
        </row>
        <row r="102">
          <cell r="AB102">
            <v>0</v>
          </cell>
        </row>
        <row r="104">
          <cell r="AB104">
            <v>0</v>
          </cell>
        </row>
        <row r="106">
          <cell r="AB106">
            <v>0</v>
          </cell>
        </row>
        <row r="108">
          <cell r="AB108">
            <v>0</v>
          </cell>
        </row>
        <row r="111">
          <cell r="AB111">
            <v>0</v>
          </cell>
        </row>
        <row r="112">
          <cell r="AB112">
            <v>0</v>
          </cell>
        </row>
        <row r="113">
          <cell r="AB113">
            <v>0</v>
          </cell>
        </row>
        <row r="114">
          <cell r="AB114">
            <v>0</v>
          </cell>
        </row>
        <row r="115">
          <cell r="AB115">
            <v>0</v>
          </cell>
        </row>
        <row r="116">
          <cell r="AB116">
            <v>0</v>
          </cell>
        </row>
        <row r="117">
          <cell r="AB117">
            <v>0</v>
          </cell>
        </row>
        <row r="118">
          <cell r="AB118">
            <v>0</v>
          </cell>
        </row>
        <row r="119">
          <cell r="AB119">
            <v>0</v>
          </cell>
        </row>
        <row r="120">
          <cell r="AB120">
            <v>0</v>
          </cell>
        </row>
        <row r="121">
          <cell r="AB121">
            <v>0</v>
          </cell>
        </row>
        <row r="122">
          <cell r="AB122">
            <v>0</v>
          </cell>
        </row>
        <row r="123">
          <cell r="AB123">
            <v>0</v>
          </cell>
        </row>
        <row r="124">
          <cell r="AB124">
            <v>0</v>
          </cell>
        </row>
        <row r="125">
          <cell r="AB125">
            <v>0</v>
          </cell>
        </row>
        <row r="126">
          <cell r="AB126">
            <v>0</v>
          </cell>
        </row>
        <row r="127">
          <cell r="AB127">
            <v>0</v>
          </cell>
        </row>
        <row r="129">
          <cell r="AB129">
            <v>0</v>
          </cell>
        </row>
        <row r="131">
          <cell r="AB131">
            <v>0</v>
          </cell>
        </row>
        <row r="134">
          <cell r="AB134">
            <v>0</v>
          </cell>
        </row>
        <row r="135">
          <cell r="AB135">
            <v>0</v>
          </cell>
        </row>
        <row r="136">
          <cell r="AB136">
            <v>0</v>
          </cell>
        </row>
        <row r="137">
          <cell r="AB137">
            <v>0</v>
          </cell>
        </row>
        <row r="140">
          <cell r="AB140">
            <v>0</v>
          </cell>
        </row>
        <row r="142">
          <cell r="AB142">
            <v>0</v>
          </cell>
        </row>
        <row r="144">
          <cell r="AB144">
            <v>0</v>
          </cell>
        </row>
        <row r="152">
          <cell r="AB152">
            <v>0</v>
          </cell>
        </row>
        <row r="153">
          <cell r="AB153">
            <v>0</v>
          </cell>
        </row>
        <row r="154">
          <cell r="AB154">
            <v>0</v>
          </cell>
        </row>
        <row r="155">
          <cell r="AB155">
            <v>0</v>
          </cell>
        </row>
        <row r="156">
          <cell r="AB156">
            <v>0</v>
          </cell>
        </row>
        <row r="157">
          <cell r="AB157">
            <v>0</v>
          </cell>
        </row>
        <row r="158">
          <cell r="AB158">
            <v>0</v>
          </cell>
        </row>
        <row r="159">
          <cell r="AB159">
            <v>0</v>
          </cell>
        </row>
        <row r="160">
          <cell r="AB160">
            <v>0</v>
          </cell>
        </row>
        <row r="161">
          <cell r="AB161">
            <v>0</v>
          </cell>
        </row>
        <row r="162">
          <cell r="AB162">
            <v>0</v>
          </cell>
        </row>
        <row r="164">
          <cell r="AB164">
            <v>0</v>
          </cell>
        </row>
        <row r="168">
          <cell r="AB168">
            <v>0</v>
          </cell>
        </row>
        <row r="169">
          <cell r="AB169">
            <v>0</v>
          </cell>
        </row>
        <row r="170">
          <cell r="AB170">
            <v>0</v>
          </cell>
        </row>
        <row r="171">
          <cell r="AB171">
            <v>0</v>
          </cell>
        </row>
        <row r="172">
          <cell r="AB172">
            <v>0</v>
          </cell>
        </row>
        <row r="173">
          <cell r="AB173">
            <v>0</v>
          </cell>
        </row>
        <row r="174">
          <cell r="AB174">
            <v>0</v>
          </cell>
        </row>
        <row r="175">
          <cell r="AB175">
            <v>0</v>
          </cell>
        </row>
        <row r="176">
          <cell r="AB176">
            <v>0</v>
          </cell>
        </row>
        <row r="177">
          <cell r="AB177">
            <v>0</v>
          </cell>
        </row>
        <row r="178">
          <cell r="AB178">
            <v>0</v>
          </cell>
        </row>
        <row r="179">
          <cell r="AB179">
            <v>0</v>
          </cell>
        </row>
        <row r="180">
          <cell r="AB180">
            <v>0</v>
          </cell>
        </row>
        <row r="181">
          <cell r="AB181">
            <v>0</v>
          </cell>
        </row>
        <row r="182">
          <cell r="AB182">
            <v>0</v>
          </cell>
        </row>
        <row r="187">
          <cell r="AB187">
            <v>0</v>
          </cell>
        </row>
        <row r="188">
          <cell r="AB188">
            <v>0</v>
          </cell>
        </row>
        <row r="189">
          <cell r="AB189">
            <v>0</v>
          </cell>
        </row>
        <row r="190">
          <cell r="AB190">
            <v>0</v>
          </cell>
        </row>
        <row r="191">
          <cell r="AB191">
            <v>0</v>
          </cell>
        </row>
        <row r="192">
          <cell r="AB192">
            <v>0</v>
          </cell>
        </row>
        <row r="193">
          <cell r="AB193">
            <v>0</v>
          </cell>
        </row>
        <row r="194">
          <cell r="AB194">
            <v>0</v>
          </cell>
        </row>
        <row r="195">
          <cell r="AB195">
            <v>0</v>
          </cell>
        </row>
        <row r="196">
          <cell r="AB196">
            <v>0</v>
          </cell>
        </row>
        <row r="197">
          <cell r="AB197">
            <v>0</v>
          </cell>
        </row>
        <row r="198">
          <cell r="AB198">
            <v>0</v>
          </cell>
        </row>
        <row r="199">
          <cell r="AB199">
            <v>0</v>
          </cell>
        </row>
        <row r="200">
          <cell r="AB200">
            <v>0</v>
          </cell>
        </row>
        <row r="201">
          <cell r="AB201">
            <v>0</v>
          </cell>
        </row>
        <row r="202">
          <cell r="AB202">
            <v>0</v>
          </cell>
        </row>
        <row r="203">
          <cell r="AB203">
            <v>0</v>
          </cell>
        </row>
        <row r="205">
          <cell r="AB205">
            <v>0</v>
          </cell>
        </row>
        <row r="209">
          <cell r="AB209">
            <v>0</v>
          </cell>
        </row>
        <row r="210">
          <cell r="AB210">
            <v>0</v>
          </cell>
        </row>
        <row r="211">
          <cell r="AB211">
            <v>0</v>
          </cell>
        </row>
        <row r="212">
          <cell r="AB212">
            <v>0</v>
          </cell>
        </row>
        <row r="213">
          <cell r="AB213">
            <v>0</v>
          </cell>
        </row>
        <row r="214">
          <cell r="AB214">
            <v>0</v>
          </cell>
        </row>
        <row r="215">
          <cell r="AB215">
            <v>0</v>
          </cell>
        </row>
        <row r="216">
          <cell r="AB216">
            <v>0</v>
          </cell>
        </row>
        <row r="217">
          <cell r="AB217">
            <v>0</v>
          </cell>
        </row>
        <row r="218">
          <cell r="AB218">
            <v>0</v>
          </cell>
        </row>
        <row r="219">
          <cell r="AB219">
            <v>0</v>
          </cell>
        </row>
        <row r="220">
          <cell r="AB220">
            <v>0</v>
          </cell>
        </row>
        <row r="221">
          <cell r="AB221">
            <v>0</v>
          </cell>
        </row>
        <row r="223">
          <cell r="AB223">
            <v>0</v>
          </cell>
        </row>
        <row r="227">
          <cell r="AB227">
            <v>0</v>
          </cell>
        </row>
        <row r="228">
          <cell r="AB228">
            <v>0</v>
          </cell>
        </row>
        <row r="229">
          <cell r="AB229">
            <v>0</v>
          </cell>
        </row>
        <row r="230">
          <cell r="AB230">
            <v>0</v>
          </cell>
        </row>
        <row r="231">
          <cell r="AB231">
            <v>0</v>
          </cell>
        </row>
        <row r="232">
          <cell r="AB232">
            <v>0</v>
          </cell>
        </row>
        <row r="233">
          <cell r="AB233">
            <v>0</v>
          </cell>
        </row>
        <row r="234">
          <cell r="AB234">
            <v>0</v>
          </cell>
        </row>
        <row r="235">
          <cell r="AB235">
            <v>0</v>
          </cell>
        </row>
        <row r="236">
          <cell r="AB236">
            <v>0</v>
          </cell>
        </row>
        <row r="237">
          <cell r="AB237">
            <v>0</v>
          </cell>
        </row>
        <row r="238">
          <cell r="AB238">
            <v>0</v>
          </cell>
        </row>
        <row r="239">
          <cell r="AB239">
            <v>0</v>
          </cell>
        </row>
        <row r="240">
          <cell r="AB240">
            <v>0</v>
          </cell>
        </row>
        <row r="241">
          <cell r="AB241">
            <v>0</v>
          </cell>
        </row>
        <row r="242">
          <cell r="AB242">
            <v>0</v>
          </cell>
        </row>
        <row r="243">
          <cell r="AB243">
            <v>0</v>
          </cell>
        </row>
        <row r="244">
          <cell r="AB244">
            <v>0</v>
          </cell>
        </row>
        <row r="245">
          <cell r="AB245">
            <v>0</v>
          </cell>
        </row>
        <row r="247">
          <cell r="AB247">
            <v>0</v>
          </cell>
        </row>
        <row r="249">
          <cell r="AB249">
            <v>0</v>
          </cell>
        </row>
        <row r="253">
          <cell r="AB253">
            <v>0</v>
          </cell>
        </row>
        <row r="254">
          <cell r="AB254">
            <v>0</v>
          </cell>
        </row>
        <row r="255">
          <cell r="AB255">
            <v>0</v>
          </cell>
        </row>
        <row r="256">
          <cell r="AB256">
            <v>0</v>
          </cell>
        </row>
        <row r="257">
          <cell r="AB257">
            <v>0</v>
          </cell>
        </row>
        <row r="259">
          <cell r="AB259">
            <v>0</v>
          </cell>
        </row>
        <row r="263">
          <cell r="AB263">
            <v>0</v>
          </cell>
        </row>
        <row r="264">
          <cell r="AB264">
            <v>0</v>
          </cell>
        </row>
        <row r="265">
          <cell r="AB265">
            <v>0</v>
          </cell>
        </row>
        <row r="267">
          <cell r="AB267">
            <v>0</v>
          </cell>
        </row>
        <row r="271">
          <cell r="AB271">
            <v>0</v>
          </cell>
        </row>
        <row r="272">
          <cell r="AB272">
            <v>0</v>
          </cell>
        </row>
        <row r="273">
          <cell r="AB273">
            <v>0</v>
          </cell>
        </row>
        <row r="274">
          <cell r="AB274">
            <v>0</v>
          </cell>
        </row>
        <row r="276">
          <cell r="AB276">
            <v>0</v>
          </cell>
        </row>
        <row r="278">
          <cell r="AB278">
            <v>0</v>
          </cell>
        </row>
        <row r="284">
          <cell r="AB284">
            <v>0</v>
          </cell>
        </row>
        <row r="285">
          <cell r="AB28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1">
          <cell r="AB291">
            <v>0</v>
          </cell>
        </row>
        <row r="295">
          <cell r="AB295">
            <v>0</v>
          </cell>
        </row>
        <row r="296">
          <cell r="AB296">
            <v>0</v>
          </cell>
        </row>
        <row r="297">
          <cell r="AB297">
            <v>0</v>
          </cell>
        </row>
        <row r="299">
          <cell r="AB299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5">
          <cell r="AB305">
            <v>0</v>
          </cell>
        </row>
        <row r="306">
          <cell r="AB306">
            <v>0</v>
          </cell>
        </row>
        <row r="307">
          <cell r="AB307">
            <v>0</v>
          </cell>
        </row>
        <row r="309">
          <cell r="AB309">
            <v>0</v>
          </cell>
        </row>
        <row r="311">
          <cell r="AB311">
            <v>0</v>
          </cell>
        </row>
        <row r="315">
          <cell r="AB315">
            <v>0</v>
          </cell>
        </row>
        <row r="316">
          <cell r="AB316">
            <v>0</v>
          </cell>
        </row>
        <row r="317">
          <cell r="AB317">
            <v>0</v>
          </cell>
        </row>
        <row r="318">
          <cell r="AB318">
            <v>0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0</v>
          </cell>
        </row>
        <row r="322">
          <cell r="AB322">
            <v>0</v>
          </cell>
        </row>
        <row r="323">
          <cell r="AB323">
            <v>0</v>
          </cell>
        </row>
        <row r="324">
          <cell r="AB324">
            <v>0</v>
          </cell>
        </row>
        <row r="325">
          <cell r="AB325">
            <v>0</v>
          </cell>
        </row>
        <row r="326">
          <cell r="AB326">
            <v>0</v>
          </cell>
        </row>
        <row r="328">
          <cell r="AB328">
            <v>0</v>
          </cell>
        </row>
        <row r="334">
          <cell r="AB334">
            <v>0</v>
          </cell>
        </row>
        <row r="335">
          <cell r="AB335">
            <v>0</v>
          </cell>
        </row>
        <row r="336">
          <cell r="AB336">
            <v>0</v>
          </cell>
        </row>
        <row r="337">
          <cell r="AB337">
            <v>0</v>
          </cell>
        </row>
        <row r="338">
          <cell r="AB338">
            <v>0</v>
          </cell>
        </row>
        <row r="340">
          <cell r="AB340">
            <v>0</v>
          </cell>
        </row>
        <row r="345">
          <cell r="AB345">
            <v>0</v>
          </cell>
        </row>
        <row r="346">
          <cell r="AB346">
            <v>0</v>
          </cell>
        </row>
        <row r="347">
          <cell r="AB347">
            <v>0</v>
          </cell>
        </row>
        <row r="351">
          <cell r="AB351">
            <v>0</v>
          </cell>
        </row>
        <row r="352">
          <cell r="AB352">
            <v>0</v>
          </cell>
        </row>
        <row r="353">
          <cell r="AB353">
            <v>0</v>
          </cell>
        </row>
        <row r="354">
          <cell r="AB354">
            <v>0</v>
          </cell>
        </row>
        <row r="355">
          <cell r="AB355">
            <v>0</v>
          </cell>
        </row>
        <row r="356">
          <cell r="AB356">
            <v>0</v>
          </cell>
        </row>
        <row r="358">
          <cell r="AB358">
            <v>0</v>
          </cell>
        </row>
        <row r="360">
          <cell r="AB360">
            <v>0</v>
          </cell>
        </row>
        <row r="365">
          <cell r="AB365">
            <v>0</v>
          </cell>
        </row>
        <row r="366">
          <cell r="AB366">
            <v>0</v>
          </cell>
        </row>
        <row r="367">
          <cell r="AB367">
            <v>0</v>
          </cell>
        </row>
        <row r="368">
          <cell r="AB368">
            <v>0</v>
          </cell>
        </row>
        <row r="369">
          <cell r="AB369">
            <v>0</v>
          </cell>
        </row>
        <row r="370">
          <cell r="AB370">
            <v>0</v>
          </cell>
        </row>
        <row r="371">
          <cell r="AB371">
            <v>0</v>
          </cell>
        </row>
        <row r="372">
          <cell r="AB372">
            <v>0</v>
          </cell>
        </row>
        <row r="373">
          <cell r="AB373">
            <v>0</v>
          </cell>
        </row>
        <row r="374">
          <cell r="AB374">
            <v>0</v>
          </cell>
        </row>
        <row r="375">
          <cell r="AB375">
            <v>0</v>
          </cell>
        </row>
        <row r="377">
          <cell r="AB377">
            <v>0</v>
          </cell>
        </row>
        <row r="379">
          <cell r="AB379">
            <v>0</v>
          </cell>
        </row>
        <row r="390">
          <cell r="AB390">
            <v>0</v>
          </cell>
        </row>
        <row r="391">
          <cell r="AB391">
            <v>0</v>
          </cell>
        </row>
        <row r="392">
          <cell r="AB392">
            <v>0</v>
          </cell>
        </row>
        <row r="393">
          <cell r="AB393">
            <v>0</v>
          </cell>
        </row>
        <row r="394">
          <cell r="AB394">
            <v>0</v>
          </cell>
        </row>
        <row r="395">
          <cell r="AB395">
            <v>0</v>
          </cell>
        </row>
        <row r="396">
          <cell r="AB396">
            <v>0</v>
          </cell>
        </row>
        <row r="397">
          <cell r="AB397">
            <v>0</v>
          </cell>
        </row>
        <row r="398">
          <cell r="AB398">
            <v>0</v>
          </cell>
        </row>
        <row r="399">
          <cell r="AB399">
            <v>0</v>
          </cell>
        </row>
        <row r="403">
          <cell r="AB403">
            <v>0</v>
          </cell>
        </row>
        <row r="406">
          <cell r="AB406">
            <v>0</v>
          </cell>
        </row>
        <row r="407">
          <cell r="AB407">
            <v>0</v>
          </cell>
        </row>
        <row r="408">
          <cell r="AB408">
            <v>0</v>
          </cell>
        </row>
        <row r="409">
          <cell r="AB409">
            <v>0</v>
          </cell>
        </row>
        <row r="410">
          <cell r="AB410">
            <v>0</v>
          </cell>
        </row>
        <row r="412">
          <cell r="AB412">
            <v>0</v>
          </cell>
        </row>
        <row r="414">
          <cell r="AB414">
            <v>0</v>
          </cell>
        </row>
        <row r="416">
          <cell r="AB416">
            <v>0</v>
          </cell>
        </row>
        <row r="418">
          <cell r="AB418">
            <v>0</v>
          </cell>
        </row>
        <row r="419">
          <cell r="AB419">
            <v>0</v>
          </cell>
        </row>
        <row r="420">
          <cell r="AB420">
            <v>0</v>
          </cell>
        </row>
        <row r="423">
          <cell r="AB423">
            <v>0</v>
          </cell>
        </row>
        <row r="424">
          <cell r="AB424">
            <v>0</v>
          </cell>
        </row>
        <row r="425">
          <cell r="AB425">
            <v>0</v>
          </cell>
        </row>
        <row r="426">
          <cell r="AB426">
            <v>0</v>
          </cell>
        </row>
        <row r="427">
          <cell r="AB427">
            <v>0</v>
          </cell>
        </row>
        <row r="429">
          <cell r="AB429">
            <v>0</v>
          </cell>
        </row>
        <row r="431">
          <cell r="AB431">
            <v>0</v>
          </cell>
        </row>
        <row r="446">
          <cell r="AB446">
            <v>0</v>
          </cell>
        </row>
        <row r="448">
          <cell r="AB448">
            <v>0</v>
          </cell>
        </row>
        <row r="449">
          <cell r="AB449">
            <v>0</v>
          </cell>
        </row>
        <row r="450">
          <cell r="AB450">
            <v>0</v>
          </cell>
        </row>
        <row r="451">
          <cell r="AB451">
            <v>0</v>
          </cell>
        </row>
        <row r="452">
          <cell r="AB452">
            <v>0</v>
          </cell>
        </row>
        <row r="454">
          <cell r="AB454">
            <v>0</v>
          </cell>
        </row>
        <row r="456">
          <cell r="AB456">
            <v>0</v>
          </cell>
        </row>
        <row r="458">
          <cell r="AB458">
            <v>0</v>
          </cell>
        </row>
        <row r="459">
          <cell r="AB459">
            <v>0</v>
          </cell>
        </row>
        <row r="460">
          <cell r="AB460">
            <v>0</v>
          </cell>
        </row>
        <row r="462">
          <cell r="AB462">
            <v>0</v>
          </cell>
        </row>
        <row r="472">
          <cell r="AB472">
            <v>0</v>
          </cell>
        </row>
        <row r="473">
          <cell r="AB473">
            <v>0</v>
          </cell>
        </row>
        <row r="474">
          <cell r="AB474">
            <v>0</v>
          </cell>
        </row>
        <row r="475">
          <cell r="AB475">
            <v>0</v>
          </cell>
        </row>
        <row r="476">
          <cell r="AB476">
            <v>0</v>
          </cell>
        </row>
        <row r="477">
          <cell r="AB477">
            <v>0</v>
          </cell>
        </row>
        <row r="480">
          <cell r="AB480">
            <v>0</v>
          </cell>
        </row>
        <row r="481">
          <cell r="AB481">
            <v>0</v>
          </cell>
        </row>
        <row r="482">
          <cell r="AB482">
            <v>0</v>
          </cell>
        </row>
        <row r="486">
          <cell r="AB486">
            <v>0</v>
          </cell>
        </row>
        <row r="487">
          <cell r="AB487">
            <v>0</v>
          </cell>
        </row>
        <row r="488">
          <cell r="AB488">
            <v>0</v>
          </cell>
        </row>
        <row r="490">
          <cell r="AB490">
            <v>0</v>
          </cell>
        </row>
        <row r="492">
          <cell r="AB492">
            <v>0</v>
          </cell>
        </row>
        <row r="494">
          <cell r="AB494">
            <v>0</v>
          </cell>
        </row>
        <row r="497">
          <cell r="AB497">
            <v>0</v>
          </cell>
        </row>
        <row r="498">
          <cell r="AB498">
            <v>0</v>
          </cell>
        </row>
        <row r="499">
          <cell r="AB499">
            <v>0</v>
          </cell>
        </row>
        <row r="500">
          <cell r="AB500">
            <v>0</v>
          </cell>
        </row>
        <row r="501">
          <cell r="AB501">
            <v>0</v>
          </cell>
        </row>
        <row r="503">
          <cell r="AB503">
            <v>0</v>
          </cell>
        </row>
        <row r="506">
          <cell r="AB506">
            <v>0</v>
          </cell>
        </row>
        <row r="507">
          <cell r="AB507">
            <v>0</v>
          </cell>
        </row>
        <row r="508">
          <cell r="AB508">
            <v>0</v>
          </cell>
        </row>
        <row r="509">
          <cell r="AB509">
            <v>0</v>
          </cell>
        </row>
        <row r="510">
          <cell r="AB510">
            <v>0</v>
          </cell>
        </row>
        <row r="511">
          <cell r="AB511">
            <v>0</v>
          </cell>
        </row>
        <row r="512">
          <cell r="AB512">
            <v>0</v>
          </cell>
        </row>
        <row r="513">
          <cell r="AB513">
            <v>0</v>
          </cell>
        </row>
        <row r="514">
          <cell r="AB514">
            <v>0</v>
          </cell>
        </row>
        <row r="515">
          <cell r="AB515">
            <v>0</v>
          </cell>
        </row>
        <row r="516">
          <cell r="AB516">
            <v>0</v>
          </cell>
        </row>
        <row r="517">
          <cell r="AB517">
            <v>0</v>
          </cell>
        </row>
        <row r="518">
          <cell r="AB518">
            <v>0</v>
          </cell>
        </row>
        <row r="520">
          <cell r="AB520">
            <v>0</v>
          </cell>
        </row>
        <row r="768">
          <cell r="F768">
            <v>9.5000000000000001E-2</v>
          </cell>
          <cell r="G768">
            <v>9.5000000000000001E-2</v>
          </cell>
          <cell r="H768">
            <v>9.5000000000000001E-2</v>
          </cell>
          <cell r="I768">
            <v>9.5000000000000001E-2</v>
          </cell>
          <cell r="J768">
            <v>9.5000000000000001E-2</v>
          </cell>
          <cell r="K768">
            <v>9.5000000000000001E-2</v>
          </cell>
          <cell r="L768">
            <v>9.5000000000000001E-2</v>
          </cell>
          <cell r="M768">
            <v>9.5000000000000001E-2</v>
          </cell>
          <cell r="N768">
            <v>9.5000000000000001E-2</v>
          </cell>
          <cell r="O768">
            <v>9.5000000000000001E-2</v>
          </cell>
          <cell r="P768">
            <v>9.5000000000000001E-2</v>
          </cell>
          <cell r="Q768">
            <v>9.5000000000000001E-2</v>
          </cell>
          <cell r="R768">
            <v>9.5000000000000001E-2</v>
          </cell>
          <cell r="S768">
            <v>9.5000000000000001E-2</v>
          </cell>
          <cell r="T768">
            <v>9.5000000000000001E-2</v>
          </cell>
          <cell r="U768">
            <v>9.5000000000000001E-2</v>
          </cell>
          <cell r="V768">
            <v>9.5000000000000001E-2</v>
          </cell>
          <cell r="W768">
            <v>9.5000000000000001E-2</v>
          </cell>
          <cell r="X768">
            <v>9.5000000000000001E-2</v>
          </cell>
          <cell r="Y768">
            <v>9.5000000000000001E-2</v>
          </cell>
          <cell r="Z768">
            <v>9.5000000000000001E-2</v>
          </cell>
        </row>
      </sheetData>
      <sheetData sheetId="82" refreshError="1"/>
      <sheetData sheetId="83">
        <row r="12">
          <cell r="D12" t="str">
            <v>None</v>
          </cell>
          <cell r="E12" t="str">
            <v>EXT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C12" t="str">
            <v>None</v>
          </cell>
          <cell r="AD12" t="str">
            <v>EXT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 t="str">
            <v>None</v>
          </cell>
          <cell r="AO12" t="str">
            <v>EXT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None%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C13" t="str">
            <v>None%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 t="str">
            <v>None%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5">
          <cell r="D15" t="str">
            <v>Temp</v>
          </cell>
          <cell r="E15" t="str">
            <v>EXT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C15" t="str">
            <v>TBD</v>
          </cell>
          <cell r="AD15" t="str">
            <v>EXT</v>
          </cell>
          <cell r="AE15">
            <v>1</v>
          </cell>
          <cell r="AF15">
            <v>1</v>
          </cell>
          <cell r="AG15">
            <v>0</v>
          </cell>
          <cell r="AH15">
            <v>1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 t="str">
            <v>TBD</v>
          </cell>
          <cell r="AO15" t="str">
            <v>EXT</v>
          </cell>
          <cell r="AP15">
            <v>1</v>
          </cell>
          <cell r="AQ15">
            <v>1</v>
          </cell>
          <cell r="AR15">
            <v>1</v>
          </cell>
        </row>
        <row r="16">
          <cell r="D16" t="str">
            <v>Temp%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C16" t="str">
            <v>TBD%</v>
          </cell>
          <cell r="AD16">
            <v>3</v>
          </cell>
          <cell r="AE16">
            <v>0.33333333333333331</v>
          </cell>
          <cell r="AF16">
            <v>0.33333333333333331</v>
          </cell>
          <cell r="AG16">
            <v>0</v>
          </cell>
          <cell r="AH16">
            <v>0.33333333333333331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 t="str">
            <v>TBD%</v>
          </cell>
          <cell r="AO16">
            <v>3</v>
          </cell>
          <cell r="AP16">
            <v>0.33333333333333331</v>
          </cell>
          <cell r="AQ16">
            <v>0.33333333333333331</v>
          </cell>
          <cell r="AR16">
            <v>0.33333333333333331</v>
          </cell>
        </row>
        <row r="18">
          <cell r="D18" t="str">
            <v>Sales_Rev</v>
          </cell>
          <cell r="E18" t="str">
            <v>EXT</v>
          </cell>
          <cell r="F18">
            <v>109247922.01915</v>
          </cell>
          <cell r="G18">
            <v>66969194.382099994</v>
          </cell>
          <cell r="H18">
            <v>7820969.71483</v>
          </cell>
          <cell r="I18">
            <v>7152646.4782490907</v>
          </cell>
          <cell r="J18">
            <v>2087539.2325518094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C18" t="str">
            <v>SUPP</v>
          </cell>
          <cell r="AD18" t="str">
            <v>EXT</v>
          </cell>
          <cell r="AE18">
            <v>1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 t="str">
            <v>DEMAND</v>
          </cell>
          <cell r="AO18" t="str">
            <v>EXT</v>
          </cell>
          <cell r="AP18">
            <v>1</v>
          </cell>
          <cell r="AQ18" t="str">
            <v xml:space="preserve"> </v>
          </cell>
          <cell r="AR18">
            <v>0</v>
          </cell>
        </row>
        <row r="19">
          <cell r="D19" t="str">
            <v>Sales_Rev%</v>
          </cell>
          <cell r="E19">
            <v>193278271.82688093</v>
          </cell>
          <cell r="F19">
            <v>0.56523643856358152</v>
          </cell>
          <cell r="G19">
            <v>0.3464910657007747</v>
          </cell>
          <cell r="H19">
            <v>4.0464816044274397E-2</v>
          </cell>
          <cell r="I19">
            <v>3.7006986924302106E-2</v>
          </cell>
          <cell r="J19">
            <v>1.0800692767067036E-2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C19" t="str">
            <v>SUPP%</v>
          </cell>
          <cell r="AD19">
            <v>1</v>
          </cell>
          <cell r="AE19">
            <v>1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 t="str">
            <v>DEMAND%</v>
          </cell>
          <cell r="AO19">
            <v>1</v>
          </cell>
          <cell r="AP19">
            <v>1</v>
          </cell>
          <cell r="AQ19">
            <v>0</v>
          </cell>
          <cell r="AR19">
            <v>0</v>
          </cell>
        </row>
        <row r="21">
          <cell r="D21" t="str">
            <v>Transport_Rev</v>
          </cell>
          <cell r="E21" t="str">
            <v>EXT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16899197.012163844</v>
          </cell>
          <cell r="L21">
            <v>6104709.8136834996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C21" t="str">
            <v>STOR</v>
          </cell>
          <cell r="AD21" t="str">
            <v>EXT</v>
          </cell>
          <cell r="AE21">
            <v>0</v>
          </cell>
          <cell r="AF21">
            <v>1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 t="str">
            <v>CUST</v>
          </cell>
          <cell r="AO21" t="str">
            <v>EXT</v>
          </cell>
          <cell r="AP21">
            <v>0</v>
          </cell>
          <cell r="AQ21">
            <v>0</v>
          </cell>
          <cell r="AR21">
            <v>1</v>
          </cell>
        </row>
        <row r="22">
          <cell r="D22" t="str">
            <v>Transport_Rev%</v>
          </cell>
          <cell r="E22">
            <v>23003906.825847343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0.73462291166889071</v>
          </cell>
          <cell r="L22">
            <v>0.26537708833110935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C22" t="str">
            <v>STOR%</v>
          </cell>
          <cell r="AD22">
            <v>1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 t="str">
            <v>CUST%</v>
          </cell>
          <cell r="AO22">
            <v>1</v>
          </cell>
          <cell r="AP22">
            <v>0</v>
          </cell>
          <cell r="AQ22">
            <v>0</v>
          </cell>
          <cell r="AR22">
            <v>1</v>
          </cell>
        </row>
        <row r="24">
          <cell r="D24" t="str">
            <v>GASDEMAND-DIRECT</v>
          </cell>
          <cell r="E24" t="str">
            <v>EXT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C24" t="str">
            <v>TRANS</v>
          </cell>
          <cell r="AD24" t="str">
            <v>EXT</v>
          </cell>
          <cell r="AE24">
            <v>0</v>
          </cell>
          <cell r="AF24">
            <v>0</v>
          </cell>
          <cell r="AG24">
            <v>1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 t="str">
            <v>COMMODITY</v>
          </cell>
          <cell r="AO24" t="str">
            <v>EXT</v>
          </cell>
          <cell r="AP24">
            <v>0</v>
          </cell>
          <cell r="AQ24">
            <v>1</v>
          </cell>
          <cell r="AR24">
            <v>0</v>
          </cell>
        </row>
        <row r="25">
          <cell r="D25" t="str">
            <v>GASDEMAND-DIRECT%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C25" t="str">
            <v>TRANS%</v>
          </cell>
          <cell r="AD25">
            <v>1</v>
          </cell>
          <cell r="AE25">
            <v>0</v>
          </cell>
          <cell r="AF25">
            <v>0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 t="str">
            <v>COMMODITY%</v>
          </cell>
          <cell r="AO25">
            <v>1</v>
          </cell>
          <cell r="AP25">
            <v>0</v>
          </cell>
          <cell r="AQ25">
            <v>1</v>
          </cell>
          <cell r="AR25">
            <v>0</v>
          </cell>
        </row>
        <row r="27">
          <cell r="D27" t="str">
            <v>GASCOMM-DIRECT</v>
          </cell>
          <cell r="E27" t="str">
            <v>EXT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C27" t="str">
            <v>DIST</v>
          </cell>
          <cell r="AD27" t="str">
            <v>EXT</v>
          </cell>
          <cell r="AE27">
            <v>0</v>
          </cell>
          <cell r="AF27">
            <v>0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 t="str">
            <v>ACCT-813</v>
          </cell>
          <cell r="AO27" t="str">
            <v>EXT</v>
          </cell>
          <cell r="AP27">
            <v>0.20823529807438873</v>
          </cell>
          <cell r="AQ27">
            <v>0.79176470192561132</v>
          </cell>
          <cell r="AR27">
            <v>0</v>
          </cell>
        </row>
        <row r="28">
          <cell r="D28" t="str">
            <v>GASCOMM-DIRECT%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C28" t="str">
            <v>DIST%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 t="str">
            <v>ACCT-813%</v>
          </cell>
          <cell r="AO28">
            <v>1</v>
          </cell>
          <cell r="AP28">
            <v>0.20823529807438873</v>
          </cell>
          <cell r="AQ28">
            <v>0.79176470192561132</v>
          </cell>
          <cell r="AR28">
            <v>0</v>
          </cell>
        </row>
        <row r="30">
          <cell r="D30" t="str">
            <v>DesignDay(Low Pressure)</v>
          </cell>
          <cell r="E30" t="str">
            <v>EXT</v>
          </cell>
          <cell r="F30">
            <v>1405191.9453319171</v>
          </cell>
          <cell r="G30">
            <v>915538.11314643966</v>
          </cell>
          <cell r="H30">
            <v>113558.11957853253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C30" t="str">
            <v>BB&amp;H</v>
          </cell>
          <cell r="AD30" t="str">
            <v>EXT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</v>
          </cell>
          <cell r="AJ30">
            <v>0</v>
          </cell>
          <cell r="AK30">
            <v>0</v>
          </cell>
          <cell r="AN30" t="str">
            <v>Peak_Avg</v>
          </cell>
          <cell r="AO30" t="str">
            <v>EXT</v>
          </cell>
          <cell r="AP30">
            <v>0.50081259974842618</v>
          </cell>
          <cell r="AQ30">
            <v>0.49918740025157382</v>
          </cell>
          <cell r="AR30">
            <v>0</v>
          </cell>
        </row>
        <row r="31">
          <cell r="D31" t="str">
            <v>DesignDay(Low Pressure)%</v>
          </cell>
          <cell r="E31">
            <v>2434288.1780568892</v>
          </cell>
          <cell r="F31">
            <v>0.57724962804263258</v>
          </cell>
          <cell r="G31">
            <v>0.37610095690365036</v>
          </cell>
          <cell r="H31">
            <v>4.6649415053717058E-2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C31" t="str">
            <v>BB&amp;H%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</v>
          </cell>
          <cell r="AJ31">
            <v>0</v>
          </cell>
          <cell r="AK31">
            <v>0</v>
          </cell>
          <cell r="AL31">
            <v>0</v>
          </cell>
          <cell r="AN31" t="str">
            <v>Peak_Avg%</v>
          </cell>
          <cell r="AO31">
            <v>1</v>
          </cell>
          <cell r="AP31">
            <v>0.50081259974842618</v>
          </cell>
          <cell r="AQ31">
            <v>0.49918740025157382</v>
          </cell>
          <cell r="AR31">
            <v>0</v>
          </cell>
        </row>
        <row r="33">
          <cell r="D33" t="str">
            <v>DesignDay</v>
          </cell>
          <cell r="E33" t="str">
            <v>EXT</v>
          </cell>
          <cell r="F33">
            <v>1405191.9453319171</v>
          </cell>
          <cell r="G33">
            <v>915538.11314643966</v>
          </cell>
          <cell r="H33">
            <v>113558.11957853253</v>
          </cell>
          <cell r="I33">
            <v>78708.639086339521</v>
          </cell>
          <cell r="J33">
            <v>20797.666666666668</v>
          </cell>
          <cell r="K33">
            <v>1493270</v>
          </cell>
          <cell r="L33">
            <v>1203970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C33" t="str">
            <v>Gathering</v>
          </cell>
          <cell r="AD33" t="str">
            <v>EXT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N33" t="str">
            <v>SUPPLABOR</v>
          </cell>
          <cell r="AO33" t="str">
            <v>INT</v>
          </cell>
          <cell r="AP33">
            <v>0</v>
          </cell>
          <cell r="AQ33">
            <v>0</v>
          </cell>
          <cell r="AR33">
            <v>0</v>
          </cell>
        </row>
        <row r="34">
          <cell r="D34" t="str">
            <v>DesignDay%</v>
          </cell>
          <cell r="E34">
            <v>5231034.4838098958</v>
          </cell>
          <cell r="F34">
            <v>0.26862601454473306</v>
          </cell>
          <cell r="G34">
            <v>0.17502046984779765</v>
          </cell>
          <cell r="H34">
            <v>2.1708539664572285E-2</v>
          </cell>
          <cell r="I34">
            <v>1.5046476816381835E-2</v>
          </cell>
          <cell r="J34">
            <v>3.9758228952677822E-3</v>
          </cell>
          <cell r="K34">
            <v>0.28546361233551137</v>
          </cell>
          <cell r="L34">
            <v>0.23015906389573595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 t="str">
            <v>Gathering%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</v>
          </cell>
          <cell r="AK34">
            <v>0</v>
          </cell>
          <cell r="AL34">
            <v>0</v>
          </cell>
          <cell r="AN34" t="str">
            <v>SUPPLABOR%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6">
          <cell r="D36" t="str">
            <v>DesignDayxSPL</v>
          </cell>
          <cell r="E36" t="str">
            <v>EXT</v>
          </cell>
          <cell r="F36">
            <v>1405191.9453319171</v>
          </cell>
          <cell r="G36">
            <v>915538.11314643966</v>
          </cell>
          <cell r="H36">
            <v>113558.11957853253</v>
          </cell>
          <cell r="I36">
            <v>78708.639086339521</v>
          </cell>
          <cell r="J36">
            <v>20797.666666666668</v>
          </cell>
          <cell r="K36">
            <v>1493270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C36" t="str">
            <v>STOR-TRANS</v>
          </cell>
          <cell r="AD36" t="str">
            <v>EXT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 t="str">
            <v>STORLABOR</v>
          </cell>
          <cell r="AO36" t="str">
            <v>INT</v>
          </cell>
          <cell r="AP36">
            <v>0</v>
          </cell>
          <cell r="AQ36">
            <v>0</v>
          </cell>
          <cell r="AR36">
            <v>0</v>
          </cell>
        </row>
        <row r="37">
          <cell r="D37" t="str">
            <v>DesignDayxSPL%</v>
          </cell>
          <cell r="E37">
            <v>4027064.4838098953</v>
          </cell>
          <cell r="F37">
            <v>0.34893703614164717</v>
          </cell>
          <cell r="G37">
            <v>0.22734627588587161</v>
          </cell>
          <cell r="H37">
            <v>2.8198733850692725E-2</v>
          </cell>
          <cell r="I37">
            <v>1.9544916502522811E-2</v>
          </cell>
          <cell r="J37">
            <v>5.1644732162298441E-3</v>
          </cell>
          <cell r="K37">
            <v>0.37080856440303589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C37" t="str">
            <v>STOR-TRANS%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 t="str">
            <v>STORLABOR%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9">
          <cell r="D39" t="str">
            <v>Dday/Peak_ST&gt;6"</v>
          </cell>
          <cell r="E39" t="str">
            <v>EXT</v>
          </cell>
          <cell r="F39">
            <v>1405191.9453319171</v>
          </cell>
          <cell r="G39">
            <v>915538.11314643966</v>
          </cell>
          <cell r="H39">
            <v>113558.11957853253</v>
          </cell>
          <cell r="I39">
            <v>78708.639086339521</v>
          </cell>
          <cell r="J39">
            <v>20797.666666666668</v>
          </cell>
          <cell r="K39">
            <v>1493270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C39" t="str">
            <v>CWIP</v>
          </cell>
          <cell r="AD39" t="str">
            <v>EXT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 t="str">
            <v>TRANLABOR</v>
          </cell>
          <cell r="AO39" t="str">
            <v>INT</v>
          </cell>
          <cell r="AP39">
            <v>0</v>
          </cell>
          <cell r="AQ39">
            <v>0</v>
          </cell>
          <cell r="AR39">
            <v>0</v>
          </cell>
        </row>
        <row r="40">
          <cell r="D40" t="str">
            <v>Dday/Peak_ST&gt;6"%</v>
          </cell>
          <cell r="E40">
            <v>4027064.4838098953</v>
          </cell>
          <cell r="F40">
            <v>0.34893703614164717</v>
          </cell>
          <cell r="G40">
            <v>0.22734627588587161</v>
          </cell>
          <cell r="H40">
            <v>2.8198733850692725E-2</v>
          </cell>
          <cell r="I40">
            <v>1.9544916502522811E-2</v>
          </cell>
          <cell r="J40">
            <v>5.1644732162298441E-3</v>
          </cell>
          <cell r="K40">
            <v>0.37080856440303589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C40" t="str">
            <v>CWIP%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 t="str">
            <v>TRANLABOR%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2">
          <cell r="D42" t="str">
            <v>Dday/Peak_ST&gt;4-6"</v>
          </cell>
          <cell r="E42" t="str">
            <v>EXT</v>
          </cell>
          <cell r="F42">
            <v>1405191.9453319171</v>
          </cell>
          <cell r="G42">
            <v>915538.11314643966</v>
          </cell>
          <cell r="H42">
            <v>113558.11957853253</v>
          </cell>
          <cell r="I42">
            <v>78708.639086339521</v>
          </cell>
          <cell r="J42">
            <v>20797.666666666668</v>
          </cell>
          <cell r="K42">
            <v>913025.66666666663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C42" t="str">
            <v>LABOR-DELXBILLCC</v>
          </cell>
          <cell r="AD42" t="str">
            <v>INT</v>
          </cell>
          <cell r="AE42">
            <v>0</v>
          </cell>
          <cell r="AF42">
            <v>0</v>
          </cell>
          <cell r="AG42">
            <v>0</v>
          </cell>
          <cell r="AH42">
            <v>14722376.229999997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 t="str">
            <v>DISTLABOR</v>
          </cell>
          <cell r="AO42" t="str">
            <v>INT</v>
          </cell>
          <cell r="AP42">
            <v>1707332.6490860668</v>
          </cell>
          <cell r="AQ42">
            <v>2200281.0225217952</v>
          </cell>
          <cell r="AR42">
            <v>10814762.558392137</v>
          </cell>
        </row>
        <row r="43">
          <cell r="D43" t="str">
            <v>Dday/Peak_ST&gt;4-6"%</v>
          </cell>
          <cell r="E43">
            <v>3446820.1504765619</v>
          </cell>
          <cell r="F43">
            <v>0.40767776790954219</v>
          </cell>
          <cell r="G43">
            <v>0.26561818521916675</v>
          </cell>
          <cell r="H43">
            <v>3.2945762941194313E-2</v>
          </cell>
          <cell r="I43">
            <v>2.2835145336915001E-2</v>
          </cell>
          <cell r="J43">
            <v>6.0338705701807951E-3</v>
          </cell>
          <cell r="K43">
            <v>0.264889268023001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C43" t="str">
            <v>LABOR-DELXBILLCC%</v>
          </cell>
          <cell r="AD43">
            <v>14722376.229999997</v>
          </cell>
          <cell r="AE43">
            <v>0</v>
          </cell>
          <cell r="AF43">
            <v>0</v>
          </cell>
          <cell r="AG43">
            <v>0</v>
          </cell>
          <cell r="AH43">
            <v>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 t="str">
            <v>DISTLABOR%</v>
          </cell>
          <cell r="AO43">
            <v>14722376.23</v>
          </cell>
          <cell r="AP43">
            <v>0.11596855170750291</v>
          </cell>
          <cell r="AQ43">
            <v>0.14945148718847781</v>
          </cell>
          <cell r="AR43">
            <v>0.73457996110401924</v>
          </cell>
        </row>
        <row r="45">
          <cell r="D45" t="str">
            <v>Dday/Peak_ST&gt;4"x663</v>
          </cell>
          <cell r="E45" t="str">
            <v>EXT</v>
          </cell>
          <cell r="F45">
            <v>1405191.9453319171</v>
          </cell>
          <cell r="G45">
            <v>915538.11314643966</v>
          </cell>
          <cell r="H45">
            <v>113558.11957853253</v>
          </cell>
          <cell r="I45">
            <v>78708.639086339521</v>
          </cell>
          <cell r="J45">
            <v>20797.666666666668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C45" t="str">
            <v>LABOR-DELIVERY</v>
          </cell>
          <cell r="AD45" t="str">
            <v>INT</v>
          </cell>
          <cell r="AE45">
            <v>0</v>
          </cell>
          <cell r="AF45">
            <v>0</v>
          </cell>
          <cell r="AG45">
            <v>0</v>
          </cell>
          <cell r="AH45">
            <v>14722376.229999997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 t="str">
            <v>BBA_PPLABOR</v>
          </cell>
          <cell r="AO45" t="str">
            <v>INT</v>
          </cell>
          <cell r="AP45">
            <v>0</v>
          </cell>
          <cell r="AQ45">
            <v>0</v>
          </cell>
          <cell r="AR45">
            <v>0</v>
          </cell>
        </row>
        <row r="46">
          <cell r="D46" t="str">
            <v>Dday/Peak_ST&gt;4"x663%</v>
          </cell>
          <cell r="E46">
            <v>2533794.4838098953</v>
          </cell>
          <cell r="F46">
            <v>0.55458007913057927</v>
          </cell>
          <cell r="G46">
            <v>0.36133084944198274</v>
          </cell>
          <cell r="H46">
            <v>4.4817415265575471E-2</v>
          </cell>
          <cell r="I46">
            <v>3.1063545046475381E-2</v>
          </cell>
          <cell r="J46">
            <v>8.208111115387157E-3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C46" t="str">
            <v>LABOR-DELIVERY%</v>
          </cell>
          <cell r="AD46">
            <v>14722376.229999997</v>
          </cell>
          <cell r="AE46">
            <v>0</v>
          </cell>
          <cell r="AF46">
            <v>0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 t="str">
            <v>BBA_PPLABOR%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8">
          <cell r="D48" t="str">
            <v>Dday/Peak_ST2-4"</v>
          </cell>
          <cell r="E48" t="str">
            <v>EXT</v>
          </cell>
          <cell r="F48">
            <v>1405191.9453319171</v>
          </cell>
          <cell r="G48">
            <v>915538.11314643966</v>
          </cell>
          <cell r="H48">
            <v>113558.11957853253</v>
          </cell>
          <cell r="I48">
            <v>78708.639086339521</v>
          </cell>
          <cell r="J48">
            <v>10961</v>
          </cell>
          <cell r="K48">
            <v>813566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C48" t="str">
            <v>LABOR</v>
          </cell>
          <cell r="AD48" t="str">
            <v>INT</v>
          </cell>
          <cell r="AE48">
            <v>0</v>
          </cell>
          <cell r="AF48">
            <v>0</v>
          </cell>
          <cell r="AG48">
            <v>0</v>
          </cell>
          <cell r="AH48">
            <v>14722376.229999997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 t="str">
            <v>C_COLLPLABOR</v>
          </cell>
          <cell r="AO48" t="str">
            <v>INT</v>
          </cell>
          <cell r="AP48">
            <v>0</v>
          </cell>
          <cell r="AQ48">
            <v>0</v>
          </cell>
          <cell r="AR48">
            <v>0</v>
          </cell>
        </row>
        <row r="49">
          <cell r="D49" t="str">
            <v>Dday/Peak_ST2-4"%</v>
          </cell>
          <cell r="E49">
            <v>3337523.8171432288</v>
          </cell>
          <cell r="F49">
            <v>0.42102828992983743</v>
          </cell>
          <cell r="G49">
            <v>0.27431657819002453</v>
          </cell>
          <cell r="H49">
            <v>3.4024661935066938E-2</v>
          </cell>
          <cell r="I49">
            <v>2.3582944541714342E-2</v>
          </cell>
          <cell r="J49">
            <v>3.2841713199764145E-3</v>
          </cell>
          <cell r="K49">
            <v>0.24376335408338032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C49" t="str">
            <v>LABOR%</v>
          </cell>
          <cell r="AD49">
            <v>14722376.229999997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 t="str">
            <v>C_COLLPLABOR%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1">
          <cell r="D51" t="str">
            <v>Dday/Peak_ST&lt;=2"</v>
          </cell>
          <cell r="E51" t="str">
            <v>EXT</v>
          </cell>
          <cell r="F51">
            <v>1405191.9453319171</v>
          </cell>
          <cell r="G51">
            <v>915538.11314643966</v>
          </cell>
          <cell r="H51">
            <v>113558.11957853253</v>
          </cell>
          <cell r="I51">
            <v>78708.639086339521</v>
          </cell>
          <cell r="J51">
            <v>4722.666666666667</v>
          </cell>
          <cell r="K51">
            <v>325396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C51" t="str">
            <v>REVENUE</v>
          </cell>
          <cell r="AD51" t="str">
            <v>INT</v>
          </cell>
          <cell r="AE51">
            <v>112888065.77502857</v>
          </cell>
          <cell r="AF51">
            <v>0</v>
          </cell>
          <cell r="AG51">
            <v>1457236.523448522</v>
          </cell>
          <cell r="AH51">
            <v>102846606.30425115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 t="str">
            <v>MAIN&amp;SERVICE</v>
          </cell>
          <cell r="AO51" t="str">
            <v>INT</v>
          </cell>
          <cell r="AP51">
            <v>47011501.905487344</v>
          </cell>
          <cell r="AQ51">
            <v>46858943.704512671</v>
          </cell>
          <cell r="AR51">
            <v>163002131.05500001</v>
          </cell>
        </row>
        <row r="52">
          <cell r="D52" t="str">
            <v>Dday/Peak_ST&lt;=2"%</v>
          </cell>
          <cell r="E52">
            <v>2843115.4838098953</v>
          </cell>
          <cell r="F52">
            <v>0.49424371023047586</v>
          </cell>
          <cell r="G52">
            <v>0.32201931942615986</v>
          </cell>
          <cell r="H52">
            <v>3.9941437562135119E-2</v>
          </cell>
          <cell r="I52">
            <v>2.7683940217886123E-2</v>
          </cell>
          <cell r="J52">
            <v>1.6610885817195484E-3</v>
          </cell>
          <cell r="K52">
            <v>0.11445050398162356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C52" t="str">
            <v>REVENUE%</v>
          </cell>
          <cell r="AD52">
            <v>217191908.60272825</v>
          </cell>
          <cell r="AE52">
            <v>0.51976183874103365</v>
          </cell>
          <cell r="AF52">
            <v>0</v>
          </cell>
          <cell r="AG52">
            <v>6.7094420451638175E-3</v>
          </cell>
          <cell r="AH52">
            <v>0.47352871921380246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 t="str">
            <v>MAIN&amp;SERVICE%</v>
          </cell>
          <cell r="AO52">
            <v>256872576.66500002</v>
          </cell>
          <cell r="AP52">
            <v>0.18301487264947447</v>
          </cell>
          <cell r="AQ52">
            <v>0.18242096650754466</v>
          </cell>
          <cell r="AR52">
            <v>0.63456416084298084</v>
          </cell>
        </row>
        <row r="54">
          <cell r="D54" t="str">
            <v>Dday/Peak_PL6"</v>
          </cell>
          <cell r="E54" t="str">
            <v>EXT</v>
          </cell>
          <cell r="F54">
            <v>1405191.9453319171</v>
          </cell>
          <cell r="G54">
            <v>915538.11314643966</v>
          </cell>
          <cell r="H54">
            <v>113558.11957853253</v>
          </cell>
          <cell r="I54">
            <v>78708.639086339521</v>
          </cell>
          <cell r="J54">
            <v>1094</v>
          </cell>
          <cell r="K54">
            <v>220809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 t="str">
            <v>PSTDGP</v>
          </cell>
          <cell r="AD54" t="str">
            <v>INT</v>
          </cell>
          <cell r="AE54">
            <v>0</v>
          </cell>
          <cell r="AF54">
            <v>0</v>
          </cell>
          <cell r="AG54">
            <v>22122688.880637836</v>
          </cell>
          <cell r="AH54">
            <v>676287473.88059092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 t="str">
            <v>SUPPL/P</v>
          </cell>
          <cell r="AO54" t="str">
            <v>INT</v>
          </cell>
          <cell r="AP54">
            <v>0</v>
          </cell>
          <cell r="AQ54">
            <v>0</v>
          </cell>
          <cell r="AR54">
            <v>0</v>
          </cell>
        </row>
        <row r="55">
          <cell r="D55" t="str">
            <v>Dday/Peak_PL6"%</v>
          </cell>
          <cell r="E55">
            <v>2734899.8171432288</v>
          </cell>
          <cell r="F55">
            <v>0.51380015330862339</v>
          </cell>
          <cell r="G55">
            <v>0.33476111534600034</v>
          </cell>
          <cell r="H55">
            <v>4.1521857168849048E-2</v>
          </cell>
          <cell r="I55">
            <v>2.8779350012372862E-2</v>
          </cell>
          <cell r="J55">
            <v>4.0001465250846021E-4</v>
          </cell>
          <cell r="K55">
            <v>8.0737509511645877E-2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 t="str">
            <v>PSTDGP%</v>
          </cell>
          <cell r="AD55">
            <v>698410162.7612288</v>
          </cell>
          <cell r="AE55">
            <v>0</v>
          </cell>
          <cell r="AF55">
            <v>0</v>
          </cell>
          <cell r="AG55">
            <v>3.1675783171845252E-2</v>
          </cell>
          <cell r="AH55">
            <v>0.96832421682815473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 t="str">
            <v>SUPPL/P%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7">
          <cell r="D57" t="str">
            <v>Dday/Peak_PL4"</v>
          </cell>
          <cell r="E57" t="str">
            <v>EXT</v>
          </cell>
          <cell r="F57">
            <v>1405191.9453319171</v>
          </cell>
          <cell r="G57">
            <v>915538.11314643966</v>
          </cell>
          <cell r="H57">
            <v>113558.11957853253</v>
          </cell>
          <cell r="I57">
            <v>78708.639086339521</v>
          </cell>
          <cell r="J57">
            <v>1094</v>
          </cell>
          <cell r="K57">
            <v>206907.33333333334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C57" t="str">
            <v>PRETAX</v>
          </cell>
          <cell r="AD57" t="str">
            <v>INT</v>
          </cell>
          <cell r="AE57">
            <v>-103507325.68100233</v>
          </cell>
          <cell r="AF57">
            <v>0</v>
          </cell>
          <cell r="AG57">
            <v>562885.59990626213</v>
          </cell>
          <cell r="AH57">
            <v>19977199.780415997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 t="str">
            <v>STORL/P</v>
          </cell>
          <cell r="AO57" t="str">
            <v>INT</v>
          </cell>
          <cell r="AP57">
            <v>0</v>
          </cell>
          <cell r="AQ57">
            <v>0</v>
          </cell>
          <cell r="AR57">
            <v>0</v>
          </cell>
        </row>
        <row r="58">
          <cell r="D58" t="str">
            <v>Dday/Peak_PL4"%</v>
          </cell>
          <cell r="E58">
            <v>2720998.1504765623</v>
          </cell>
          <cell r="F58">
            <v>0.5164251747417794</v>
          </cell>
          <cell r="G58">
            <v>0.33647142060206475</v>
          </cell>
          <cell r="H58">
            <v>4.1733993666494655E-2</v>
          </cell>
          <cell r="I58">
            <v>2.8926384632990028E-2</v>
          </cell>
          <cell r="J58">
            <v>4.0205834017505458E-4</v>
          </cell>
          <cell r="K58">
            <v>7.604096801649611E-2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C58" t="str">
            <v>PRETAX%</v>
          </cell>
          <cell r="AD58">
            <v>-82967240.300680071</v>
          </cell>
          <cell r="AE58">
            <v>1.2475686223367599</v>
          </cell>
          <cell r="AF58">
            <v>0</v>
          </cell>
          <cell r="AG58">
            <v>-6.7844319982961789E-3</v>
          </cell>
          <cell r="AH58">
            <v>-0.24078419033846357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 t="str">
            <v>STORL/P%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60">
          <cell r="D60" t="str">
            <v>Dday/Peak_PL&lt;=2"</v>
          </cell>
          <cell r="E60" t="str">
            <v>EXT</v>
          </cell>
          <cell r="F60">
            <v>1405191.9453319171</v>
          </cell>
          <cell r="G60">
            <v>915538.11314643966</v>
          </cell>
          <cell r="H60">
            <v>113558.11957853253</v>
          </cell>
          <cell r="I60">
            <v>78708.639086339521</v>
          </cell>
          <cell r="J60">
            <v>1094</v>
          </cell>
          <cell r="K60">
            <v>163673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C60" t="str">
            <v>PSTDP</v>
          </cell>
          <cell r="AD60" t="str">
            <v>INT</v>
          </cell>
          <cell r="AE60">
            <v>0</v>
          </cell>
          <cell r="AF60">
            <v>0</v>
          </cell>
          <cell r="AG60">
            <v>17427054.769166667</v>
          </cell>
          <cell r="AH60">
            <v>607131300.09913862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 t="str">
            <v>TRANL/P</v>
          </cell>
          <cell r="AO60" t="str">
            <v>INT</v>
          </cell>
          <cell r="AP60">
            <v>1105.1823260042438</v>
          </cell>
          <cell r="AQ60">
            <v>1503.1257070505999</v>
          </cell>
          <cell r="AR60">
            <v>0</v>
          </cell>
        </row>
        <row r="61">
          <cell r="D61" t="str">
            <v>Dday/Peak_PL&lt;=2"%</v>
          </cell>
          <cell r="E61">
            <v>2677763.8171432288</v>
          </cell>
          <cell r="F61">
            <v>0.52476321337071674</v>
          </cell>
          <cell r="G61">
            <v>0.34190398245173881</v>
          </cell>
          <cell r="H61">
            <v>4.2407817616895709E-2</v>
          </cell>
          <cell r="I61">
            <v>2.9393420951631874E-2</v>
          </cell>
          <cell r="J61">
            <v>4.0854984782307403E-4</v>
          </cell>
          <cell r="K61">
            <v>6.1123015761193784E-2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C61" t="str">
            <v>PSTDP%</v>
          </cell>
          <cell r="AD61">
            <v>624558354.86830533</v>
          </cell>
          <cell r="AE61">
            <v>0</v>
          </cell>
          <cell r="AF61">
            <v>0</v>
          </cell>
          <cell r="AG61">
            <v>2.7903004792628777E-2</v>
          </cell>
          <cell r="AH61">
            <v>0.97209699520737114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 t="str">
            <v>TRANL/P%</v>
          </cell>
          <cell r="AO61">
            <v>2608.3080330548437</v>
          </cell>
          <cell r="AP61">
            <v>0.42371618382429205</v>
          </cell>
          <cell r="AQ61">
            <v>0.5762838161757079</v>
          </cell>
          <cell r="AR61">
            <v>0</v>
          </cell>
        </row>
        <row r="63">
          <cell r="D63" t="str">
            <v>Dday-Non-Ind</v>
          </cell>
          <cell r="E63" t="str">
            <v>EXT</v>
          </cell>
          <cell r="F63">
            <v>1405191.9453319171</v>
          </cell>
          <cell r="G63">
            <v>915538.11314643966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C63" t="str">
            <v>TPISXL</v>
          </cell>
          <cell r="AD63" t="str">
            <v>INT</v>
          </cell>
          <cell r="AE63">
            <v>0</v>
          </cell>
          <cell r="AF63">
            <v>0</v>
          </cell>
          <cell r="AG63">
            <v>19583606.425541334</v>
          </cell>
          <cell r="AH63">
            <v>628325517.14145172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 t="str">
            <v>DISTL/P</v>
          </cell>
          <cell r="AO63" t="str">
            <v>INT</v>
          </cell>
          <cell r="AP63">
            <v>1781644.2634545038</v>
          </cell>
          <cell r="AQ63">
            <v>2288321.614848244</v>
          </cell>
          <cell r="AR63">
            <v>11155873.649807213</v>
          </cell>
        </row>
        <row r="64">
          <cell r="D64" t="str">
            <v>Dday-Non-Ind%</v>
          </cell>
          <cell r="E64">
            <v>2320730.0584783568</v>
          </cell>
          <cell r="F64">
            <v>0.60549564573368153</v>
          </cell>
          <cell r="G64">
            <v>0.39450435426631847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C64" t="str">
            <v>TPISXL%</v>
          </cell>
          <cell r="AD64">
            <v>647909123.566993</v>
          </cell>
          <cell r="AE64">
            <v>0</v>
          </cell>
          <cell r="AF64">
            <v>0</v>
          </cell>
          <cell r="AG64">
            <v>3.0225853770550298E-2</v>
          </cell>
          <cell r="AH64">
            <v>0.9697741462294498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 t="str">
            <v>DISTL/P%</v>
          </cell>
          <cell r="AO64">
            <v>15225839.52810996</v>
          </cell>
          <cell r="AP64">
            <v>0.11701451733845154</v>
          </cell>
          <cell r="AQ64">
            <v>0.15029198295591795</v>
          </cell>
          <cell r="AR64">
            <v>0.73269349970563058</v>
          </cell>
        </row>
        <row r="66">
          <cell r="D66" t="str">
            <v>Dday-Ind</v>
          </cell>
          <cell r="E66" t="str">
            <v>EXT</v>
          </cell>
          <cell r="F66">
            <v>0</v>
          </cell>
          <cell r="G66">
            <v>0</v>
          </cell>
          <cell r="H66">
            <v>113558.11957853253</v>
          </cell>
          <cell r="I66">
            <v>78708.639086339521</v>
          </cell>
          <cell r="J66">
            <v>20797.666666666668</v>
          </cell>
          <cell r="K66">
            <v>1493270</v>
          </cell>
          <cell r="L66">
            <v>1203970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C66" t="str">
            <v>DISTXOTHER</v>
          </cell>
          <cell r="AD66" t="str">
            <v>INT</v>
          </cell>
          <cell r="AE66">
            <v>0</v>
          </cell>
          <cell r="AF66">
            <v>0</v>
          </cell>
          <cell r="AG66">
            <v>0</v>
          </cell>
          <cell r="AH66">
            <v>14873761.677292876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 t="str">
            <v>Comm_PassL/P</v>
          </cell>
          <cell r="AO66" t="str">
            <v>INT</v>
          </cell>
          <cell r="AP66">
            <v>0</v>
          </cell>
          <cell r="AQ66">
            <v>0</v>
          </cell>
          <cell r="AR66">
            <v>0</v>
          </cell>
        </row>
        <row r="67">
          <cell r="D67" t="str">
            <v>Dday-Ind%</v>
          </cell>
          <cell r="E67">
            <v>2910304.4253315385</v>
          </cell>
          <cell r="F67">
            <v>0</v>
          </cell>
          <cell r="G67">
            <v>0</v>
          </cell>
          <cell r="H67">
            <v>3.9019326840901231E-2</v>
          </cell>
          <cell r="I67">
            <v>2.7044813044729204E-2</v>
          </cell>
          <cell r="J67">
            <v>7.1462168993875691E-3</v>
          </cell>
          <cell r="K67">
            <v>0.51309752581291845</v>
          </cell>
          <cell r="L67">
            <v>0.41369211740206357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C67" t="str">
            <v>DISTXOTHER%</v>
          </cell>
          <cell r="AD67">
            <v>14873761.677292876</v>
          </cell>
          <cell r="AE67">
            <v>0</v>
          </cell>
          <cell r="AF67">
            <v>0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 t="str">
            <v>Comm_PassL/P%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9">
          <cell r="D69" t="str">
            <v xml:space="preserve">Sale for Resale-Gas </v>
          </cell>
          <cell r="E69" t="str">
            <v>EXT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C69" t="str">
            <v>MAIN-SERVICE</v>
          </cell>
          <cell r="AD69" t="str">
            <v>INT</v>
          </cell>
          <cell r="AE69">
            <v>0</v>
          </cell>
          <cell r="AF69">
            <v>0</v>
          </cell>
          <cell r="AG69">
            <v>0</v>
          </cell>
          <cell r="AH69">
            <v>256872576.66500002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 t="str">
            <v>TRANPXL</v>
          </cell>
          <cell r="AO69" t="str">
            <v>INT</v>
          </cell>
          <cell r="AP69">
            <v>8111788.4083362818</v>
          </cell>
          <cell r="AQ69">
            <v>8085464.6408303855</v>
          </cell>
          <cell r="AR69">
            <v>0</v>
          </cell>
        </row>
        <row r="70">
          <cell r="D70" t="str">
            <v>Sale for Resale-Gas %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C70" t="str">
            <v>MAIN-SERVICE%</v>
          </cell>
          <cell r="AD70">
            <v>256872576.66500002</v>
          </cell>
          <cell r="AE70">
            <v>0</v>
          </cell>
          <cell r="AF70">
            <v>0</v>
          </cell>
          <cell r="AG70">
            <v>0</v>
          </cell>
          <cell r="AH70">
            <v>1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 t="str">
            <v>TRANPXL%</v>
          </cell>
          <cell r="AO70">
            <v>16197253.049166668</v>
          </cell>
          <cell r="AP70">
            <v>0.50081259974842618</v>
          </cell>
          <cell r="AQ70">
            <v>0.49918740025157377</v>
          </cell>
          <cell r="AR70">
            <v>0</v>
          </cell>
        </row>
        <row r="72">
          <cell r="D72" t="str">
            <v>GSR</v>
          </cell>
          <cell r="E72" t="str">
            <v>EXT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C72" t="str">
            <v>DIST-MAINS</v>
          </cell>
          <cell r="AD72" t="str">
            <v>INT</v>
          </cell>
          <cell r="AE72">
            <v>0</v>
          </cell>
          <cell r="AF72">
            <v>0</v>
          </cell>
          <cell r="AG72">
            <v>0</v>
          </cell>
          <cell r="AH72">
            <v>93870445.610000014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 t="str">
            <v>DISTPXL</v>
          </cell>
          <cell r="AO72" t="str">
            <v>INT</v>
          </cell>
          <cell r="AP72">
            <v>180799981.82213497</v>
          </cell>
          <cell r="AQ72">
            <v>180213263.27784142</v>
          </cell>
          <cell r="AR72">
            <v>243875888.94068959</v>
          </cell>
        </row>
        <row r="73">
          <cell r="D73" t="str">
            <v>GSR%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C73" t="str">
            <v>DIST-MAINS%</v>
          </cell>
          <cell r="AD73">
            <v>93870445.610000014</v>
          </cell>
          <cell r="AE73">
            <v>0</v>
          </cell>
          <cell r="AF73">
            <v>0</v>
          </cell>
          <cell r="AG73">
            <v>0</v>
          </cell>
          <cell r="AH73">
            <v>1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 t="str">
            <v>DISTPXL%</v>
          </cell>
          <cell r="AO73">
            <v>604889134.04066598</v>
          </cell>
          <cell r="AP73">
            <v>0.29889771802377924</v>
          </cell>
          <cell r="AQ73">
            <v>0.29792775756114986</v>
          </cell>
          <cell r="AR73">
            <v>0.4031745244150709</v>
          </cell>
        </row>
        <row r="75">
          <cell r="D75" t="str">
            <v>Sales</v>
          </cell>
          <cell r="E75" t="str">
            <v>EXT</v>
          </cell>
          <cell r="F75">
            <v>106836539</v>
          </cell>
          <cell r="G75">
            <v>75664947</v>
          </cell>
          <cell r="H75">
            <v>10823803</v>
          </cell>
          <cell r="I75">
            <v>10315598</v>
          </cell>
          <cell r="J75">
            <v>3848935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C75" t="str">
            <v>PSTD/LP</v>
          </cell>
          <cell r="AD75" t="str">
            <v>INT</v>
          </cell>
          <cell r="AE75">
            <v>0</v>
          </cell>
          <cell r="AF75">
            <v>0</v>
          </cell>
          <cell r="AG75">
            <v>2608.3080330548437</v>
          </cell>
          <cell r="AH75">
            <v>15225839.528109962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 t="str">
            <v>DISTPT_xMSM</v>
          </cell>
          <cell r="AO75" t="str">
            <v>INT</v>
          </cell>
          <cell r="AP75">
            <v>6761098.0606799852</v>
          </cell>
          <cell r="AQ75">
            <v>6739157.4522130527</v>
          </cell>
          <cell r="AR75">
            <v>416670.78850446432</v>
          </cell>
        </row>
        <row r="76">
          <cell r="D76" t="str">
            <v>Sales%</v>
          </cell>
          <cell r="E76">
            <v>207489822</v>
          </cell>
          <cell r="F76">
            <v>0.5149001429091784</v>
          </cell>
          <cell r="G76">
            <v>0.36466823418451821</v>
          </cell>
          <cell r="H76">
            <v>5.2165464771568408E-2</v>
          </cell>
          <cell r="I76">
            <v>4.9716163908994054E-2</v>
          </cell>
          <cell r="J76">
            <v>1.8549994225740867E-2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C76" t="str">
            <v>PSTD/LP%</v>
          </cell>
          <cell r="AD76">
            <v>15228447.836143017</v>
          </cell>
          <cell r="AE76">
            <v>0</v>
          </cell>
          <cell r="AF76">
            <v>0</v>
          </cell>
          <cell r="AG76">
            <v>1.7127865302623399E-4</v>
          </cell>
          <cell r="AH76">
            <v>0.99982872134697376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 t="str">
            <v>DISTPT_xMSM%</v>
          </cell>
          <cell r="AO76">
            <v>13916926.301397502</v>
          </cell>
          <cell r="AP76">
            <v>0.48581834194243401</v>
          </cell>
          <cell r="AQ76">
            <v>0.48424180068671657</v>
          </cell>
          <cell r="AR76">
            <v>2.9939857370849431E-2</v>
          </cell>
        </row>
        <row r="78">
          <cell r="D78" t="str">
            <v>Sales_Firm</v>
          </cell>
          <cell r="E78" t="str">
            <v>EXT</v>
          </cell>
          <cell r="F78">
            <v>106836539</v>
          </cell>
          <cell r="G78">
            <v>75664947</v>
          </cell>
          <cell r="H78">
            <v>10823803</v>
          </cell>
          <cell r="I78">
            <v>10315598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C78" t="str">
            <v>SUPPPT</v>
          </cell>
          <cell r="AD78" t="str">
            <v>INT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N78" t="str">
            <v>SUPP_PreTax</v>
          </cell>
          <cell r="AO78" t="str">
            <v>INT</v>
          </cell>
          <cell r="AP78">
            <v>-222363.17510824633</v>
          </cell>
          <cell r="AQ78">
            <v>-103284962.50589409</v>
          </cell>
          <cell r="AR78">
            <v>0</v>
          </cell>
        </row>
        <row r="79">
          <cell r="D79" t="str">
            <v>Sales_Firm%</v>
          </cell>
          <cell r="E79">
            <v>203640887</v>
          </cell>
          <cell r="F79">
            <v>0.52463206467962398</v>
          </cell>
          <cell r="G79">
            <v>0.37156068270317444</v>
          </cell>
          <cell r="H79">
            <v>5.3151423368137267E-2</v>
          </cell>
          <cell r="I79">
            <v>5.065582924906431E-2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C79" t="str">
            <v>SUPPPT%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N79" t="str">
            <v>SUPP_PreTax%</v>
          </cell>
          <cell r="AO79">
            <v>-103507325.68100233</v>
          </cell>
          <cell r="AP79">
            <v>2.1482844199215818E-3</v>
          </cell>
          <cell r="AQ79">
            <v>0.99785171558007846</v>
          </cell>
          <cell r="AR79">
            <v>0</v>
          </cell>
        </row>
        <row r="81">
          <cell r="D81" t="str">
            <v>Winter5</v>
          </cell>
          <cell r="E81" t="str">
            <v>EXT</v>
          </cell>
          <cell r="F81">
            <v>52728281.857142858</v>
          </cell>
          <cell r="G81">
            <v>32040716.142857142</v>
          </cell>
          <cell r="H81">
            <v>2794243</v>
          </cell>
          <cell r="I81">
            <v>3237761.4285714282</v>
          </cell>
          <cell r="J81">
            <v>826791.57142857136</v>
          </cell>
          <cell r="K81">
            <v>16212179</v>
          </cell>
          <cell r="L81">
            <v>1917844.5714285672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C81" t="str">
            <v>STORPT</v>
          </cell>
          <cell r="AD81" t="str">
            <v>INT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N81" t="str">
            <v>STOR_PreTax</v>
          </cell>
          <cell r="AO81" t="str">
            <v>INT</v>
          </cell>
          <cell r="AP81">
            <v>0</v>
          </cell>
          <cell r="AQ81">
            <v>0</v>
          </cell>
          <cell r="AR81">
            <v>0</v>
          </cell>
        </row>
        <row r="82">
          <cell r="D82" t="str">
            <v>Winter5%</v>
          </cell>
          <cell r="E82">
            <v>109757817.57142857</v>
          </cell>
          <cell r="F82">
            <v>0.48040570616146011</v>
          </cell>
          <cell r="G82">
            <v>0.29192195008802518</v>
          </cell>
          <cell r="H82">
            <v>2.5458259482806798E-2</v>
          </cell>
          <cell r="I82">
            <v>2.9499141839845228E-2</v>
          </cell>
          <cell r="J82">
            <v>7.5328718238271194E-3</v>
          </cell>
          <cell r="K82">
            <v>0.14770864944949713</v>
          </cell>
          <cell r="L82">
            <v>1.7473421154538406E-2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C82" t="str">
            <v>STORPT%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N82" t="str">
            <v>STOR_PreTax%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4">
          <cell r="D84" t="str">
            <v>WinterSales</v>
          </cell>
          <cell r="E84" t="str">
            <v>EXT</v>
          </cell>
          <cell r="F84">
            <v>75273389</v>
          </cell>
          <cell r="G84">
            <v>50217479</v>
          </cell>
          <cell r="H84">
            <v>6139893</v>
          </cell>
          <cell r="I84">
            <v>6186860</v>
          </cell>
          <cell r="J84">
            <v>2086018</v>
          </cell>
          <cell r="K84">
            <v>192208744</v>
          </cell>
          <cell r="L84">
            <v>120535821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C84" t="str">
            <v>TRANSPT</v>
          </cell>
          <cell r="AD84" t="str">
            <v>INT</v>
          </cell>
          <cell r="AE84">
            <v>0</v>
          </cell>
          <cell r="AF84">
            <v>0</v>
          </cell>
          <cell r="AG84">
            <v>17427054.769166667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 t="str">
            <v>TRAN_PreTax</v>
          </cell>
          <cell r="AO84" t="str">
            <v>INT</v>
          </cell>
          <cell r="AP84">
            <v>270064.17653198412</v>
          </cell>
          <cell r="AQ84">
            <v>292821.42337427812</v>
          </cell>
          <cell r="AR84">
            <v>0</v>
          </cell>
        </row>
        <row r="85">
          <cell r="D85" t="str">
            <v>WinterSales%</v>
          </cell>
          <cell r="E85">
            <v>452648204</v>
          </cell>
          <cell r="F85">
            <v>0.16629556537465021</v>
          </cell>
          <cell r="G85">
            <v>0.11094151828336869</v>
          </cell>
          <cell r="H85">
            <v>1.3564381667136804E-2</v>
          </cell>
          <cell r="I85">
            <v>1.3668142158363672E-2</v>
          </cell>
          <cell r="J85">
            <v>4.6084751503841156E-3</v>
          </cell>
          <cell r="K85">
            <v>0.42463162849531599</v>
          </cell>
          <cell r="L85">
            <v>0.26629028887078054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C85" t="str">
            <v>TRANSPT%</v>
          </cell>
          <cell r="AD85">
            <v>17427054.769166667</v>
          </cell>
          <cell r="AE85">
            <v>0</v>
          </cell>
          <cell r="AF85">
            <v>0</v>
          </cell>
          <cell r="AG85">
            <v>1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 t="str">
            <v>TRAN_PreTax%</v>
          </cell>
          <cell r="AO85">
            <v>562885.59990626224</v>
          </cell>
          <cell r="AP85">
            <v>0.47978519361120292</v>
          </cell>
          <cell r="AQ85">
            <v>0.52021480638879714</v>
          </cell>
          <cell r="AR85">
            <v>0</v>
          </cell>
        </row>
        <row r="87">
          <cell r="D87" t="str">
            <v>Meter_Install</v>
          </cell>
          <cell r="E87" t="str">
            <v>EXT</v>
          </cell>
          <cell r="F87">
            <v>38178556.40973182</v>
          </cell>
          <cell r="G87">
            <v>3320718.2594306623</v>
          </cell>
          <cell r="H87">
            <v>8496.5027807839706</v>
          </cell>
          <cell r="I87">
            <v>1145.9206820964841</v>
          </cell>
          <cell r="J87">
            <v>22.829509198910046</v>
          </cell>
          <cell r="K87">
            <v>7784.177450333651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C87" t="str">
            <v>DISTPT</v>
          </cell>
          <cell r="AD87" t="str">
            <v>INT</v>
          </cell>
          <cell r="AE87">
            <v>0</v>
          </cell>
          <cell r="AF87">
            <v>0</v>
          </cell>
          <cell r="AG87">
            <v>0</v>
          </cell>
          <cell r="AH87">
            <v>607131300.09913862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N87" t="str">
            <v>DIST_PreTax</v>
          </cell>
          <cell r="AO87" t="str">
            <v>INT</v>
          </cell>
          <cell r="AP87">
            <v>7047447.7756485082</v>
          </cell>
          <cell r="AQ87">
            <v>7371421.1961781718</v>
          </cell>
          <cell r="AR87">
            <v>5558330.8085893244</v>
          </cell>
        </row>
        <row r="88">
          <cell r="D88" t="str">
            <v>Meter_Install%</v>
          </cell>
          <cell r="E88">
            <v>41516724.0995849</v>
          </cell>
          <cell r="F88">
            <v>0.91959462693044092</v>
          </cell>
          <cell r="G88">
            <v>7.9985074242981138E-2</v>
          </cell>
          <cell r="H88">
            <v>2.046525337693713E-4</v>
          </cell>
          <cell r="I88">
            <v>2.7601423449205654E-5</v>
          </cell>
          <cell r="J88">
            <v>5.4988705621738357E-7</v>
          </cell>
          <cell r="K88">
            <v>1.8749498230308302E-4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C88" t="str">
            <v>DISTPT%</v>
          </cell>
          <cell r="AD88">
            <v>607131300.09913862</v>
          </cell>
          <cell r="AE88">
            <v>0</v>
          </cell>
          <cell r="AF88">
            <v>0</v>
          </cell>
          <cell r="AG88">
            <v>0</v>
          </cell>
          <cell r="AH88">
            <v>1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N88" t="str">
            <v>DIST_PreTax%</v>
          </cell>
          <cell r="AO88">
            <v>19977199.780416004</v>
          </cell>
          <cell r="AP88">
            <v>0.35277455564904764</v>
          </cell>
          <cell r="AQ88">
            <v>0.36899171441457496</v>
          </cell>
          <cell r="AR88">
            <v>0.27823372993637741</v>
          </cell>
        </row>
        <row r="90">
          <cell r="D90" t="str">
            <v>Meter_Invest</v>
          </cell>
          <cell r="E90" t="str">
            <v>EXT</v>
          </cell>
          <cell r="F90">
            <v>30606861.529999994</v>
          </cell>
          <cell r="G90">
            <v>10164612.055714285</v>
          </cell>
          <cell r="H90">
            <v>706226.74357142858</v>
          </cell>
          <cell r="I90">
            <v>380988.96499999997</v>
          </cell>
          <cell r="J90">
            <v>53807.228571428568</v>
          </cell>
          <cell r="K90">
            <v>996881.83</v>
          </cell>
          <cell r="L90">
            <v>18675.085714285713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C90" t="str">
            <v>GENPT</v>
          </cell>
          <cell r="AD90" t="str">
            <v>INT</v>
          </cell>
          <cell r="AE90">
            <v>0</v>
          </cell>
          <cell r="AF90">
            <v>0</v>
          </cell>
          <cell r="AG90">
            <v>1309280.7350965044</v>
          </cell>
          <cell r="AH90">
            <v>45719790.680666618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 t="str">
            <v>BBA_PP_PreTax</v>
          </cell>
          <cell r="AO90" t="str">
            <v>INT</v>
          </cell>
          <cell r="AP90">
            <v>0</v>
          </cell>
          <cell r="AQ90">
            <v>0</v>
          </cell>
          <cell r="AR90">
            <v>0</v>
          </cell>
        </row>
        <row r="91">
          <cell r="D91" t="str">
            <v>Meter_Invest%</v>
          </cell>
          <cell r="E91">
            <v>42928053.438571431</v>
          </cell>
          <cell r="F91">
            <v>0.71298041905853848</v>
          </cell>
          <cell r="G91">
            <v>0.23678250564655803</v>
          </cell>
          <cell r="H91">
            <v>1.6451403849047447E-2</v>
          </cell>
          <cell r="I91">
            <v>8.8750580210952747E-3</v>
          </cell>
          <cell r="J91">
            <v>1.2534281026374714E-3</v>
          </cell>
          <cell r="K91">
            <v>2.3222153117809164E-2</v>
          </cell>
          <cell r="L91">
            <v>4.3503220431387877E-4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C91" t="str">
            <v>GENPT%</v>
          </cell>
          <cell r="AD91">
            <v>47029071.415763125</v>
          </cell>
          <cell r="AE91">
            <v>0</v>
          </cell>
          <cell r="AF91">
            <v>0</v>
          </cell>
          <cell r="AG91">
            <v>2.7839816855445329E-2</v>
          </cell>
          <cell r="AH91">
            <v>0.97216018314455466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 t="str">
            <v>BBA_PP_PreTax%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3">
          <cell r="D93" t="str">
            <v>Service_Invest</v>
          </cell>
          <cell r="E93" t="str">
            <v>EXT</v>
          </cell>
          <cell r="F93">
            <v>340088745.63415772</v>
          </cell>
          <cell r="G93">
            <v>75406712.623927683</v>
          </cell>
          <cell r="H93">
            <v>2158521.354789272</v>
          </cell>
          <cell r="I93">
            <v>17044.366853466167</v>
          </cell>
          <cell r="J93">
            <v>753576.85000000009</v>
          </cell>
          <cell r="K93">
            <v>7540764.2400000002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C93" t="str">
            <v>TRANSPXL</v>
          </cell>
          <cell r="AD93" t="str">
            <v>INT</v>
          </cell>
          <cell r="AE93">
            <v>0</v>
          </cell>
          <cell r="AF93">
            <v>0</v>
          </cell>
          <cell r="AG93">
            <v>16197253.049166666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 t="str">
            <v>Comm_Pass_PreTax</v>
          </cell>
          <cell r="AO93" t="str">
            <v>INT</v>
          </cell>
          <cell r="AP93">
            <v>0</v>
          </cell>
          <cell r="AQ93">
            <v>0</v>
          </cell>
          <cell r="AR93">
            <v>0</v>
          </cell>
        </row>
        <row r="94">
          <cell r="D94" t="str">
            <v>Service_Invest%</v>
          </cell>
          <cell r="E94">
            <v>425965365.06972814</v>
          </cell>
          <cell r="F94">
            <v>0.79839530046882357</v>
          </cell>
          <cell r="G94">
            <v>0.17702545513667298</v>
          </cell>
          <cell r="H94">
            <v>5.0673635271636088E-3</v>
          </cell>
          <cell r="I94">
            <v>4.0013504033775374E-5</v>
          </cell>
          <cell r="J94">
            <v>1.7691035745984742E-3</v>
          </cell>
          <cell r="K94">
            <v>1.7702763788707609E-2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C94" t="str">
            <v>TRANSPXL%</v>
          </cell>
          <cell r="AD94">
            <v>16197253.049166666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 t="str">
            <v>Comm_Pass_PreTax%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6">
          <cell r="D96" t="str">
            <v>Cust_Avg(Low Pressure)</v>
          </cell>
          <cell r="E96" t="str">
            <v>EXT</v>
          </cell>
          <cell r="F96">
            <v>181657.33333333334</v>
          </cell>
          <cell r="G96">
            <v>25460.583333333332</v>
          </cell>
          <cell r="H96">
            <v>450.66666666666669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C96" t="str">
            <v>DISTPXL</v>
          </cell>
          <cell r="AD96" t="str">
            <v>INT</v>
          </cell>
          <cell r="AE96">
            <v>0</v>
          </cell>
          <cell r="AF96">
            <v>0</v>
          </cell>
          <cell r="AG96">
            <v>0</v>
          </cell>
          <cell r="AH96">
            <v>604889134.04066598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N96" t="str">
            <v>SUPPTOTPT</v>
          </cell>
          <cell r="AO96" t="str">
            <v>INT</v>
          </cell>
          <cell r="AP96">
            <v>0</v>
          </cell>
          <cell r="AQ96">
            <v>0</v>
          </cell>
          <cell r="AR96">
            <v>0</v>
          </cell>
        </row>
        <row r="97">
          <cell r="D97" t="str">
            <v>Cust_Avg(Low Pressure)%</v>
          </cell>
          <cell r="E97">
            <v>207568.58333333334</v>
          </cell>
          <cell r="F97">
            <v>0.87516776583482647</v>
          </cell>
          <cell r="G97">
            <v>0.12266106423459233</v>
          </cell>
          <cell r="H97">
            <v>2.1711699305811774E-3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C97" t="str">
            <v>DISTPXL%</v>
          </cell>
          <cell r="AD97">
            <v>604889134.04066598</v>
          </cell>
          <cell r="AE97">
            <v>0</v>
          </cell>
          <cell r="AF97">
            <v>0</v>
          </cell>
          <cell r="AG97">
            <v>0</v>
          </cell>
          <cell r="AH97">
            <v>1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 t="str">
            <v>SUPPTOTPT%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9">
          <cell r="D99" t="str">
            <v>Res</v>
          </cell>
          <cell r="E99" t="str">
            <v>EXT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C99" t="str">
            <v>GENPTXL</v>
          </cell>
          <cell r="AD99" t="str">
            <v>INT</v>
          </cell>
          <cell r="AE99">
            <v>0</v>
          </cell>
          <cell r="AF99">
            <v>0</v>
          </cell>
          <cell r="AG99">
            <v>1232858.1840247675</v>
          </cell>
          <cell r="AH99">
            <v>43057348.667161942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 t="str">
            <v>STORTOTPT</v>
          </cell>
          <cell r="AO99" t="str">
            <v>INT</v>
          </cell>
          <cell r="AP99">
            <v>0</v>
          </cell>
          <cell r="AQ99">
            <v>0</v>
          </cell>
          <cell r="AR99">
            <v>0</v>
          </cell>
        </row>
        <row r="100">
          <cell r="D100" t="str">
            <v>Res%</v>
          </cell>
          <cell r="E100">
            <v>1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C100" t="str">
            <v>GENPTXL%</v>
          </cell>
          <cell r="AD100">
            <v>44290206.851186708</v>
          </cell>
          <cell r="AE100">
            <v>0</v>
          </cell>
          <cell r="AF100">
            <v>0</v>
          </cell>
          <cell r="AG100">
            <v>2.7835909373083778E-2</v>
          </cell>
          <cell r="AH100">
            <v>0.97216409062691622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 t="str">
            <v>STORTOTPT%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2">
          <cell r="D102" t="str">
            <v>Cust_Avg</v>
          </cell>
          <cell r="E102" t="str">
            <v>EXT</v>
          </cell>
          <cell r="F102">
            <v>181657.33333333334</v>
          </cell>
          <cell r="G102">
            <v>25460.583333333332</v>
          </cell>
          <cell r="H102">
            <v>450.66666666666669</v>
          </cell>
          <cell r="I102">
            <v>86.833333333333329</v>
          </cell>
          <cell r="J102">
            <v>10</v>
          </cell>
          <cell r="K102">
            <v>191.83333333333334</v>
          </cell>
          <cell r="L102">
            <v>11.166666666666666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C102" t="str">
            <v>GASDEMCOST</v>
          </cell>
          <cell r="AD102" t="str">
            <v>INT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 t="str">
            <v>SUPPPT</v>
          </cell>
          <cell r="AO102" t="str">
            <v>INT</v>
          </cell>
          <cell r="AP102">
            <v>0</v>
          </cell>
          <cell r="AQ102">
            <v>0</v>
          </cell>
          <cell r="AR102">
            <v>0</v>
          </cell>
        </row>
        <row r="103">
          <cell r="D103" t="str">
            <v>Cust_Avg%</v>
          </cell>
          <cell r="E103">
            <v>207868.41666666669</v>
          </cell>
          <cell r="F103">
            <v>0.8739054073069461</v>
          </cell>
          <cell r="G103">
            <v>0.12248413559699825</v>
          </cell>
          <cell r="H103">
            <v>2.1680381940338057E-3</v>
          </cell>
          <cell r="I103">
            <v>4.1773221120251948E-4</v>
          </cell>
          <cell r="J103">
            <v>4.8107356376489773E-5</v>
          </cell>
          <cell r="K103">
            <v>9.2285945315566213E-4</v>
          </cell>
          <cell r="L103">
            <v>5.3719881287080244E-5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C103" t="str">
            <v>GASDEMCOST%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 t="str">
            <v>SUPPPT%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5">
          <cell r="D105" t="str">
            <v>SmCust_Avg</v>
          </cell>
          <cell r="E105" t="str">
            <v>EXT</v>
          </cell>
          <cell r="F105">
            <v>181657.33333333334</v>
          </cell>
          <cell r="G105">
            <v>25460.583333333332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C105" t="str">
            <v>RATEBASE</v>
          </cell>
          <cell r="AD105" t="str">
            <v>INT</v>
          </cell>
          <cell r="AE105">
            <v>0</v>
          </cell>
          <cell r="AF105">
            <v>0</v>
          </cell>
          <cell r="AG105">
            <v>7761705.0692334939</v>
          </cell>
          <cell r="AH105">
            <v>293099020.62840801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 t="str">
            <v>STORPT</v>
          </cell>
          <cell r="AO105" t="str">
            <v>INT</v>
          </cell>
          <cell r="AP105">
            <v>0</v>
          </cell>
          <cell r="AQ105">
            <v>0</v>
          </cell>
          <cell r="AR105">
            <v>0</v>
          </cell>
        </row>
        <row r="106">
          <cell r="D106" t="str">
            <v>SmCust_Avg%</v>
          </cell>
          <cell r="E106">
            <v>207117.91666666669</v>
          </cell>
          <cell r="F106">
            <v>0.87707203827127456</v>
          </cell>
          <cell r="G106">
            <v>0.12292796172872536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C106" t="str">
            <v>RATEBASE%</v>
          </cell>
          <cell r="AD106">
            <v>300860725.69764149</v>
          </cell>
          <cell r="AE106">
            <v>0</v>
          </cell>
          <cell r="AF106">
            <v>0</v>
          </cell>
          <cell r="AG106">
            <v>2.5798332604681142E-2</v>
          </cell>
          <cell r="AH106">
            <v>0.97420166739531888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N106" t="str">
            <v>STORPT%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8">
          <cell r="D108" t="str">
            <v>LGCust</v>
          </cell>
          <cell r="E108" t="str">
            <v>EXT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10</v>
          </cell>
          <cell r="K108">
            <v>191.83333333333334</v>
          </cell>
          <cell r="L108">
            <v>11.166666666666666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C108" t="str">
            <v>DIR-CustDeposits</v>
          </cell>
          <cell r="AD108" t="str">
            <v>INT</v>
          </cell>
          <cell r="AE108">
            <v>0</v>
          </cell>
          <cell r="AF108">
            <v>0</v>
          </cell>
          <cell r="AG108">
            <v>0</v>
          </cell>
          <cell r="AH108">
            <v>-160300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 t="str">
            <v>TRANPT</v>
          </cell>
          <cell r="AO108" t="str">
            <v>INT</v>
          </cell>
          <cell r="AP108">
            <v>8818977.871806208</v>
          </cell>
          <cell r="AQ108">
            <v>11994430.273735123</v>
          </cell>
          <cell r="AR108">
            <v>0</v>
          </cell>
        </row>
        <row r="109">
          <cell r="D109" t="str">
            <v>LGCust%</v>
          </cell>
          <cell r="E109">
            <v>213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4.6948356807511735E-2</v>
          </cell>
          <cell r="K109">
            <v>0.90062597809076683</v>
          </cell>
          <cell r="L109">
            <v>5.242566510172144E-2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C109" t="str">
            <v>DIR-CustDeposits%</v>
          </cell>
          <cell r="AD109">
            <v>-160300</v>
          </cell>
          <cell r="AE109">
            <v>0</v>
          </cell>
          <cell r="AF109">
            <v>0</v>
          </cell>
          <cell r="AG109">
            <v>0</v>
          </cell>
          <cell r="AH109">
            <v>1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 t="str">
            <v>TRANPT%</v>
          </cell>
          <cell r="AO109">
            <v>20813408.145541333</v>
          </cell>
          <cell r="AP109">
            <v>0.42371618382429199</v>
          </cell>
          <cell r="AQ109">
            <v>0.5762838161757079</v>
          </cell>
          <cell r="AR109">
            <v>0</v>
          </cell>
        </row>
        <row r="111">
          <cell r="D111" t="str">
            <v>CUST-903</v>
          </cell>
          <cell r="E111" t="str">
            <v>EXT</v>
          </cell>
          <cell r="F111">
            <v>0.79925742494121499</v>
          </cell>
          <cell r="G111">
            <v>0.13742109775921327</v>
          </cell>
          <cell r="H111">
            <v>6.7342591202841978E-3</v>
          </cell>
          <cell r="I111">
            <v>4.8435770102307476E-3</v>
          </cell>
          <cell r="J111">
            <v>1.3831903567500924E-3</v>
          </cell>
          <cell r="K111">
            <v>3.2355921798070661E-2</v>
          </cell>
          <cell r="L111">
            <v>1.8004529014235895E-2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C111" t="str">
            <v>TRAN-DIST-Mains</v>
          </cell>
          <cell r="AD111" t="str">
            <v>INT</v>
          </cell>
          <cell r="AE111">
            <v>0</v>
          </cell>
          <cell r="AF111">
            <v>0</v>
          </cell>
          <cell r="AG111">
            <v>15382525.939166667</v>
          </cell>
          <cell r="AH111">
            <v>106791717.33000001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 t="str">
            <v>DISTPT</v>
          </cell>
          <cell r="AO111" t="str">
            <v>INT</v>
          </cell>
          <cell r="AP111">
            <v>183638893.10766301</v>
          </cell>
          <cell r="AQ111">
            <v>183042961.94133246</v>
          </cell>
          <cell r="AR111">
            <v>263885828.15092891</v>
          </cell>
        </row>
        <row r="112">
          <cell r="D112" t="str">
            <v>CUST-903%</v>
          </cell>
          <cell r="E112">
            <v>0.99999999999999989</v>
          </cell>
          <cell r="F112">
            <v>0.7992574249412151</v>
          </cell>
          <cell r="G112">
            <v>0.1374210977592133</v>
          </cell>
          <cell r="H112">
            <v>6.7342591202841987E-3</v>
          </cell>
          <cell r="I112">
            <v>4.8435770102307485E-3</v>
          </cell>
          <cell r="J112">
            <v>1.3831903567500926E-3</v>
          </cell>
          <cell r="K112">
            <v>3.2355921798070668E-2</v>
          </cell>
          <cell r="L112">
            <v>1.8004529014235899E-2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C112" t="str">
            <v>TRAN-DIST-Mains%</v>
          </cell>
          <cell r="AD112">
            <v>122174243.26916668</v>
          </cell>
          <cell r="AE112">
            <v>0</v>
          </cell>
          <cell r="AF112">
            <v>0</v>
          </cell>
          <cell r="AG112">
            <v>0.12590645562892372</v>
          </cell>
          <cell r="AH112">
            <v>0.87409354437107634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N112" t="str">
            <v>DISTPT%</v>
          </cell>
          <cell r="AO112">
            <v>630567683.19992447</v>
          </cell>
          <cell r="AP112">
            <v>0.29122788560262997</v>
          </cell>
          <cell r="AQ112">
            <v>0.29028281470507555</v>
          </cell>
          <cell r="AR112">
            <v>0.41848929969229437</v>
          </cell>
        </row>
        <row r="114">
          <cell r="D114" t="str">
            <v>Cust_Deposit</v>
          </cell>
          <cell r="E114" t="str">
            <v>EXT</v>
          </cell>
          <cell r="F114">
            <v>5228577.8600000003</v>
          </cell>
          <cell r="G114">
            <v>2873106.6500000004</v>
          </cell>
          <cell r="H114">
            <v>1029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C114" t="str">
            <v>Income_before_tax</v>
          </cell>
          <cell r="AD114" t="str">
            <v>INT</v>
          </cell>
          <cell r="AE114">
            <v>4640231.8123411313</v>
          </cell>
          <cell r="AF114">
            <v>0</v>
          </cell>
          <cell r="AG114">
            <v>562885.59990626224</v>
          </cell>
          <cell r="AH114">
            <v>19977199.780415997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 t="str">
            <v>BBA_PPPT</v>
          </cell>
          <cell r="AO114" t="str">
            <v>INT</v>
          </cell>
          <cell r="AP114">
            <v>0</v>
          </cell>
          <cell r="AQ114">
            <v>0</v>
          </cell>
          <cell r="AR114">
            <v>0</v>
          </cell>
        </row>
        <row r="115">
          <cell r="D115" t="str">
            <v>Cust_Deposit%</v>
          </cell>
          <cell r="E115">
            <v>8102713.5100000007</v>
          </cell>
          <cell r="F115">
            <v>0.64528726747491783</v>
          </cell>
          <cell r="G115">
            <v>0.35458573803135734</v>
          </cell>
          <cell r="H115">
            <v>1.2699449372485588E-4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C115" t="str">
            <v>Income_before_tax%</v>
          </cell>
          <cell r="AD115">
            <v>25180317.19266339</v>
          </cell>
          <cell r="AE115">
            <v>0.18428011755519597</v>
          </cell>
          <cell r="AF115">
            <v>0</v>
          </cell>
          <cell r="AG115">
            <v>2.2354190203381006E-2</v>
          </cell>
          <cell r="AH115">
            <v>0.79336569224142306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 t="str">
            <v>BBA_PPPT%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7">
          <cell r="D117" t="str">
            <v>BILLDMND-Supply</v>
          </cell>
          <cell r="E117" t="str">
            <v>EXT</v>
          </cell>
          <cell r="F117">
            <v>106836539</v>
          </cell>
          <cell r="G117">
            <v>75664947</v>
          </cell>
          <cell r="H117">
            <v>10823803</v>
          </cell>
          <cell r="I117">
            <v>10315598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C117" t="str">
            <v>REVREQ</v>
          </cell>
          <cell r="AD117" t="str">
            <v>INT</v>
          </cell>
          <cell r="AE117">
            <v>664085.44609677792</v>
          </cell>
          <cell r="AF117">
            <v>0</v>
          </cell>
          <cell r="AG117">
            <v>1615035.1681651459</v>
          </cell>
          <cell r="AH117">
            <v>113185365.81041802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 t="str">
            <v>SUPPO&amp;M</v>
          </cell>
          <cell r="AO117" t="str">
            <v>INT</v>
          </cell>
          <cell r="AP117">
            <v>0</v>
          </cell>
          <cell r="AQ117">
            <v>0</v>
          </cell>
          <cell r="AR117">
            <v>0</v>
          </cell>
        </row>
        <row r="118">
          <cell r="D118" t="str">
            <v>BILLDMND-Supply%</v>
          </cell>
          <cell r="E118">
            <v>203640887</v>
          </cell>
          <cell r="F118">
            <v>0.52463206467962398</v>
          </cell>
          <cell r="G118">
            <v>0.37156068270317444</v>
          </cell>
          <cell r="H118">
            <v>5.3151423368137267E-2</v>
          </cell>
          <cell r="I118">
            <v>5.065582924906431E-2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C118" t="str">
            <v>REVREQ%</v>
          </cell>
          <cell r="AD118">
            <v>115464486.42467995</v>
          </cell>
          <cell r="AE118">
            <v>5.7514259722618311E-3</v>
          </cell>
          <cell r="AF118">
            <v>0</v>
          </cell>
          <cell r="AG118">
            <v>1.3987289236493242E-2</v>
          </cell>
          <cell r="AH118">
            <v>0.98026128479124497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N118" t="str">
            <v>SUPPO&amp;M%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20">
          <cell r="D120" t="str">
            <v>BILLDMND-DELIVER</v>
          </cell>
          <cell r="E120" t="str">
            <v>EXT</v>
          </cell>
          <cell r="F120">
            <v>16862303.343983006</v>
          </cell>
          <cell r="G120">
            <v>10986457.357757276</v>
          </cell>
          <cell r="H120">
            <v>1362697.4349423903</v>
          </cell>
          <cell r="I120">
            <v>944503.66903607431</v>
          </cell>
          <cell r="J120">
            <v>249572</v>
          </cell>
          <cell r="K120">
            <v>17919240</v>
          </cell>
          <cell r="L120">
            <v>14447640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C120" t="str">
            <v>RevDeficiency</v>
          </cell>
          <cell r="AD120" t="str">
            <v>INT</v>
          </cell>
          <cell r="AE120">
            <v>0</v>
          </cell>
          <cell r="AF120">
            <v>0</v>
          </cell>
          <cell r="AG120">
            <v>157798.64471662394</v>
          </cell>
          <cell r="AH120">
            <v>10338759.506166875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N120" t="str">
            <v>STORO&amp;M</v>
          </cell>
          <cell r="AO120" t="str">
            <v>INT</v>
          </cell>
          <cell r="AP120">
            <v>0</v>
          </cell>
          <cell r="AQ120">
            <v>0</v>
          </cell>
          <cell r="AR120">
            <v>0</v>
          </cell>
        </row>
        <row r="121">
          <cell r="D121" t="str">
            <v>BILLDMND-DELIVER%</v>
          </cell>
          <cell r="E121">
            <v>62772413.80571875</v>
          </cell>
          <cell r="F121">
            <v>0.26862601454473306</v>
          </cell>
          <cell r="G121">
            <v>0.17502046984779765</v>
          </cell>
          <cell r="H121">
            <v>2.1708539664572285E-2</v>
          </cell>
          <cell r="I121">
            <v>1.5046476816381837E-2</v>
          </cell>
          <cell r="J121">
            <v>3.9758228952677822E-3</v>
          </cell>
          <cell r="K121">
            <v>0.28546361233551137</v>
          </cell>
          <cell r="L121">
            <v>0.23015906389573595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C121" t="str">
            <v>RevDeficiency%</v>
          </cell>
          <cell r="AD121">
            <v>10496558.1508835</v>
          </cell>
          <cell r="AE121">
            <v>0</v>
          </cell>
          <cell r="AF121">
            <v>0</v>
          </cell>
          <cell r="AG121">
            <v>1.5033370219869831E-2</v>
          </cell>
          <cell r="AH121">
            <v>0.98496662978013017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N121" t="str">
            <v>STORO&amp;M%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3">
          <cell r="D123" t="str">
            <v>OFF SYS SALES</v>
          </cell>
          <cell r="E123" t="str">
            <v>EXT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C123" t="str">
            <v>GASCOST</v>
          </cell>
          <cell r="AD123" t="str">
            <v>INT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N123" t="str">
            <v>TRANO&amp;M</v>
          </cell>
          <cell r="AO123" t="str">
            <v>INT</v>
          </cell>
          <cell r="AP123">
            <v>16043.739300477091</v>
          </cell>
          <cell r="AQ123">
            <v>21820.614040178309</v>
          </cell>
          <cell r="AR123">
            <v>0</v>
          </cell>
        </row>
        <row r="124">
          <cell r="D124" t="str">
            <v>OFF SYS SALES%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C124" t="str">
            <v>GASCOST%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N124" t="str">
            <v>TRANO&amp;M%</v>
          </cell>
          <cell r="AO124">
            <v>37864.353340655398</v>
          </cell>
          <cell r="AP124">
            <v>0.4237161838242921</v>
          </cell>
          <cell r="AQ124">
            <v>0.5762838161757079</v>
          </cell>
          <cell r="AR124">
            <v>0</v>
          </cell>
        </row>
        <row r="126">
          <cell r="D126" t="str">
            <v>THRUPUT(Low Pressure)</v>
          </cell>
          <cell r="E126" t="str">
            <v>EXT</v>
          </cell>
          <cell r="F126">
            <v>120189407</v>
          </cell>
          <cell r="G126">
            <v>81344242</v>
          </cell>
          <cell r="H126">
            <v>11417671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C126" t="str">
            <v>INTANGPT</v>
          </cell>
          <cell r="AD126" t="str">
            <v>INT</v>
          </cell>
          <cell r="AE126">
            <v>0</v>
          </cell>
          <cell r="AF126">
            <v>0</v>
          </cell>
          <cell r="AG126">
            <v>3386353.3763746638</v>
          </cell>
          <cell r="AH126">
            <v>23436383.100785717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 t="str">
            <v>DISTO&amp;M</v>
          </cell>
          <cell r="AO126" t="str">
            <v>INT</v>
          </cell>
          <cell r="AP126">
            <v>5621460.3093428025</v>
          </cell>
          <cell r="AQ126">
            <v>6751639.0743979122</v>
          </cell>
          <cell r="AR126">
            <v>29907890.974153504</v>
          </cell>
        </row>
        <row r="127">
          <cell r="D127" t="str">
            <v>THRUPUT(Low Pressure)%</v>
          </cell>
          <cell r="E127">
            <v>212951320</v>
          </cell>
          <cell r="F127">
            <v>0.56439850666340086</v>
          </cell>
          <cell r="G127">
            <v>0.38198515040902303</v>
          </cell>
          <cell r="H127">
            <v>5.3616342927576124E-2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C127" t="str">
            <v>INTANGPT%</v>
          </cell>
          <cell r="AD127">
            <v>26822736.477160379</v>
          </cell>
          <cell r="AE127">
            <v>0</v>
          </cell>
          <cell r="AF127">
            <v>0</v>
          </cell>
          <cell r="AG127">
            <v>0.12624936233699166</v>
          </cell>
          <cell r="AH127">
            <v>0.87375063766300842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N127" t="str">
            <v>DISTO&amp;M%</v>
          </cell>
          <cell r="AO127">
            <v>42280990.357894219</v>
          </cell>
          <cell r="AP127">
            <v>0.13295479272739477</v>
          </cell>
          <cell r="AQ127">
            <v>0.15968497940203341</v>
          </cell>
          <cell r="AR127">
            <v>0.70736022787057184</v>
          </cell>
        </row>
        <row r="129">
          <cell r="D129" t="str">
            <v>Transport-Thru</v>
          </cell>
          <cell r="E129" t="str">
            <v>EXT</v>
          </cell>
          <cell r="F129">
            <v>13352868</v>
          </cell>
          <cell r="G129">
            <v>5679295</v>
          </cell>
          <cell r="H129">
            <v>593868</v>
          </cell>
          <cell r="I129">
            <v>791498</v>
          </cell>
          <cell r="J129">
            <v>3848935.3459285335</v>
          </cell>
          <cell r="K129">
            <v>438603934.83285075</v>
          </cell>
          <cell r="L129">
            <v>286600988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C129" t="str">
            <v>O&amp;MXGAS</v>
          </cell>
          <cell r="AD129" t="str">
            <v>INT</v>
          </cell>
          <cell r="AE129">
            <v>0</v>
          </cell>
          <cell r="AF129">
            <v>0</v>
          </cell>
          <cell r="AG129">
            <v>37864.353340655405</v>
          </cell>
          <cell r="AH129">
            <v>42280990.357894219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N129" t="str">
            <v>BBA_PPO&amp;M</v>
          </cell>
          <cell r="AO129" t="str">
            <v>INT</v>
          </cell>
          <cell r="AP129">
            <v>0</v>
          </cell>
          <cell r="AQ129">
            <v>0</v>
          </cell>
          <cell r="AR129">
            <v>0</v>
          </cell>
        </row>
        <row r="130">
          <cell r="D130" t="str">
            <v>Transport-Thru%</v>
          </cell>
          <cell r="E130">
            <v>749471387.17877936</v>
          </cell>
          <cell r="F130">
            <v>1.7816381290103607E-2</v>
          </cell>
          <cell r="G130">
            <v>7.5777342499737848E-3</v>
          </cell>
          <cell r="H130">
            <v>7.9238248472097885E-4</v>
          </cell>
          <cell r="I130">
            <v>1.0560750063847275E-3</v>
          </cell>
          <cell r="J130">
            <v>5.1355334063078861E-3</v>
          </cell>
          <cell r="K130">
            <v>0.5852177178956478</v>
          </cell>
          <cell r="L130">
            <v>0.38240417566686108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C130" t="str">
            <v>O&amp;MXGAS%</v>
          </cell>
          <cell r="AD130">
            <v>42318854.711234875</v>
          </cell>
          <cell r="AE130">
            <v>0</v>
          </cell>
          <cell r="AF130">
            <v>0</v>
          </cell>
          <cell r="AG130">
            <v>8.9473955755714528E-4</v>
          </cell>
          <cell r="AH130">
            <v>0.99910526044244286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N130" t="str">
            <v>BBA_PPO&amp;M%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2">
          <cell r="D132" t="str">
            <v>THRUPUT_Non_Ind</v>
          </cell>
          <cell r="E132" t="str">
            <v>EXT</v>
          </cell>
          <cell r="F132">
            <v>120189407</v>
          </cell>
          <cell r="G132">
            <v>81344242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N132" t="str">
            <v>Comm_PassO&amp;M</v>
          </cell>
          <cell r="AO132" t="str">
            <v>INT</v>
          </cell>
          <cell r="AP132">
            <v>0</v>
          </cell>
          <cell r="AQ132">
            <v>0</v>
          </cell>
          <cell r="AR132">
            <v>0</v>
          </cell>
        </row>
        <row r="133">
          <cell r="D133" t="str">
            <v>THRUPUT_Non_Ind%</v>
          </cell>
          <cell r="E133">
            <v>201533649</v>
          </cell>
          <cell r="F133">
            <v>0.59637389387019935</v>
          </cell>
          <cell r="G133">
            <v>0.40362610612980071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N133" t="str">
            <v>Comm_PassO&amp;M%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5">
          <cell r="D135" t="str">
            <v>THRUPUT</v>
          </cell>
          <cell r="E135" t="str">
            <v>EXT</v>
          </cell>
          <cell r="F135">
            <v>120189407</v>
          </cell>
          <cell r="G135">
            <v>81344242</v>
          </cell>
          <cell r="H135">
            <v>11417671</v>
          </cell>
          <cell r="I135">
            <v>11107096</v>
          </cell>
          <cell r="J135">
            <v>3848935.3459285335</v>
          </cell>
          <cell r="K135">
            <v>438603934.83285075</v>
          </cell>
          <cell r="L135">
            <v>286600988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N135" t="str">
            <v>Coll_ProcessO&amp;M</v>
          </cell>
          <cell r="AO135" t="str">
            <v>INT</v>
          </cell>
          <cell r="AP135">
            <v>0</v>
          </cell>
          <cell r="AQ135">
            <v>0</v>
          </cell>
          <cell r="AR135">
            <v>0</v>
          </cell>
        </row>
        <row r="136">
          <cell r="D136" t="str">
            <v>THRUPUT%</v>
          </cell>
          <cell r="E136">
            <v>953112274.17877924</v>
          </cell>
          <cell r="F136">
            <v>0.12610204511693821</v>
          </cell>
          <cell r="G136">
            <v>8.5345918003299076E-2</v>
          </cell>
          <cell r="H136">
            <v>1.1979355747818582E-2</v>
          </cell>
          <cell r="I136">
            <v>1.1653502216798223E-2</v>
          </cell>
          <cell r="J136">
            <v>4.0382811660303651E-3</v>
          </cell>
          <cell r="K136">
            <v>0.46018076433939614</v>
          </cell>
          <cell r="L136">
            <v>0.30070013340971941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N136" t="str">
            <v>Coll_ProcessO&amp;M%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8">
          <cell r="D138" t="str">
            <v>THRUPUTxSPL</v>
          </cell>
          <cell r="E138" t="str">
            <v>EXT</v>
          </cell>
          <cell r="F138">
            <v>120189407</v>
          </cell>
          <cell r="G138">
            <v>81344242</v>
          </cell>
          <cell r="H138">
            <v>11417671</v>
          </cell>
          <cell r="I138">
            <v>11107096</v>
          </cell>
          <cell r="J138">
            <v>3848935.3459285335</v>
          </cell>
          <cell r="K138">
            <v>438603934.83285075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N138" t="str">
            <v>Coll_ProcessGP</v>
          </cell>
          <cell r="AO138" t="str">
            <v>INT</v>
          </cell>
          <cell r="AP138">
            <v>0</v>
          </cell>
          <cell r="AQ138">
            <v>0</v>
          </cell>
          <cell r="AR138">
            <v>0</v>
          </cell>
        </row>
        <row r="139">
          <cell r="D139" t="str">
            <v>THRUPUTxSPL%</v>
          </cell>
          <cell r="E139">
            <v>666511286.17877924</v>
          </cell>
          <cell r="F139">
            <v>0.18032613924524218</v>
          </cell>
          <cell r="G139">
            <v>0.1220448080727337</v>
          </cell>
          <cell r="H139">
            <v>1.7130499117966057E-2</v>
          </cell>
          <cell r="I139">
            <v>1.6664528013739782E-2</v>
          </cell>
          <cell r="J139">
            <v>5.7747489438552853E-3</v>
          </cell>
          <cell r="K139">
            <v>0.65805927660646302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N139" t="str">
            <v>Coll_ProcessGP%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1">
          <cell r="D141" t="str">
            <v>Thruput_ST&gt;6"</v>
          </cell>
          <cell r="E141" t="str">
            <v>EXT</v>
          </cell>
          <cell r="F141">
            <v>120189407</v>
          </cell>
          <cell r="G141">
            <v>81344242</v>
          </cell>
          <cell r="H141">
            <v>11417671</v>
          </cell>
          <cell r="I141">
            <v>11107096</v>
          </cell>
          <cell r="J141">
            <v>3848935.3459285339</v>
          </cell>
          <cell r="K141">
            <v>438603934.83285075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N141" t="str">
            <v>SUPPGENPTXL</v>
          </cell>
          <cell r="AO141" t="str">
            <v>INT</v>
          </cell>
          <cell r="AP141">
            <v>0</v>
          </cell>
          <cell r="AQ141">
            <v>0</v>
          </cell>
          <cell r="AR141">
            <v>0</v>
          </cell>
        </row>
        <row r="142">
          <cell r="D142" t="str">
            <v>Thruput_ST&gt;6"%</v>
          </cell>
          <cell r="E142">
            <v>666511286.17877924</v>
          </cell>
          <cell r="F142">
            <v>0.18032613924524218</v>
          </cell>
          <cell r="G142">
            <v>0.1220448080727337</v>
          </cell>
          <cell r="H142">
            <v>1.7130499117966057E-2</v>
          </cell>
          <cell r="I142">
            <v>1.6664528013739782E-2</v>
          </cell>
          <cell r="J142">
            <v>5.7747489438552861E-3</v>
          </cell>
          <cell r="K142">
            <v>0.65805927660646302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N142" t="str">
            <v>SUPPGENPTXL%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4">
          <cell r="D144" t="str">
            <v>Thruput_ST&gt;4-6"</v>
          </cell>
          <cell r="E144" t="str">
            <v>EXT</v>
          </cell>
          <cell r="F144">
            <v>120189407</v>
          </cell>
          <cell r="G144">
            <v>81344242</v>
          </cell>
          <cell r="H144">
            <v>11417671</v>
          </cell>
          <cell r="I144">
            <v>11107096</v>
          </cell>
          <cell r="J144">
            <v>3848935.3459285339</v>
          </cell>
          <cell r="K144">
            <v>280902644.25604391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N144" t="str">
            <v>STORGENPTXL</v>
          </cell>
          <cell r="AO144" t="str">
            <v>INT</v>
          </cell>
          <cell r="AP144">
            <v>0</v>
          </cell>
          <cell r="AQ144">
            <v>0</v>
          </cell>
          <cell r="AR144">
            <v>0</v>
          </cell>
        </row>
        <row r="145">
          <cell r="D145" t="str">
            <v>Thruput_ST&gt;4-6"%</v>
          </cell>
          <cell r="E145">
            <v>508809995.60197246</v>
          </cell>
          <cell r="F145">
            <v>0.23621667820775427</v>
          </cell>
          <cell r="G145">
            <v>0.15987154871783077</v>
          </cell>
          <cell r="H145">
            <v>2.243995027356286E-2</v>
          </cell>
          <cell r="I145">
            <v>2.1829555425418104E-2</v>
          </cell>
          <cell r="J145">
            <v>7.5645828092957635E-3</v>
          </cell>
          <cell r="K145">
            <v>0.55207768456613815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N145" t="str">
            <v>STORGENPTXL%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7">
          <cell r="D147" t="str">
            <v>Thruput_ST&gt;4"x663</v>
          </cell>
          <cell r="E147" t="str">
            <v>EXT</v>
          </cell>
          <cell r="F147">
            <v>120189407</v>
          </cell>
          <cell r="G147">
            <v>81344242</v>
          </cell>
          <cell r="H147">
            <v>11417671</v>
          </cell>
          <cell r="I147">
            <v>11107096</v>
          </cell>
          <cell r="J147">
            <v>3848935.3459285339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N147" t="str">
            <v>TRANGENPTXL</v>
          </cell>
          <cell r="AO147" t="str">
            <v>INT</v>
          </cell>
          <cell r="AP147">
            <v>522381.96493152122</v>
          </cell>
          <cell r="AQ147">
            <v>710476.21909324615</v>
          </cell>
          <cell r="AR147">
            <v>0</v>
          </cell>
        </row>
        <row r="148">
          <cell r="D148" t="str">
            <v>Thruput_ST&gt;4"x663%</v>
          </cell>
          <cell r="E148">
            <v>227907351.34592852</v>
          </cell>
          <cell r="F148">
            <v>0.5273608169732571</v>
          </cell>
          <cell r="G148">
            <v>0.35691802620500762</v>
          </cell>
          <cell r="H148">
            <v>5.009786183978647E-2</v>
          </cell>
          <cell r="I148">
            <v>4.8735137038827356E-2</v>
          </cell>
          <cell r="J148">
            <v>1.6888157943121537E-2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N148" t="str">
            <v>TRANGENPTXL%</v>
          </cell>
          <cell r="AO148">
            <v>1232858.1840247675</v>
          </cell>
          <cell r="AP148">
            <v>0.42371618382429199</v>
          </cell>
          <cell r="AQ148">
            <v>0.5762838161757079</v>
          </cell>
          <cell r="AR148">
            <v>0</v>
          </cell>
        </row>
        <row r="150">
          <cell r="D150" t="str">
            <v>Thruput_ST2-4"</v>
          </cell>
          <cell r="E150" t="str">
            <v>EXT</v>
          </cell>
          <cell r="F150">
            <v>120189407</v>
          </cell>
          <cell r="G150">
            <v>81344242</v>
          </cell>
          <cell r="H150">
            <v>11417671</v>
          </cell>
          <cell r="I150">
            <v>11107096</v>
          </cell>
          <cell r="J150">
            <v>2190146.7000613231</v>
          </cell>
          <cell r="K150">
            <v>236394764.10733354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N150" t="str">
            <v>DISTGENPTXL</v>
          </cell>
          <cell r="AO150" t="str">
            <v>INT</v>
          </cell>
          <cell r="AP150">
            <v>12508484.842176106</v>
          </cell>
          <cell r="AQ150">
            <v>12467893.245075509</v>
          </cell>
          <cell r="AR150">
            <v>18080970.579910316</v>
          </cell>
        </row>
        <row r="151">
          <cell r="D151" t="str">
            <v>Thruput_ST2-4"%</v>
          </cell>
          <cell r="E151">
            <v>462643326.80739486</v>
          </cell>
          <cell r="F151">
            <v>0.25978848074909466</v>
          </cell>
          <cell r="G151">
            <v>0.17582495474719079</v>
          </cell>
          <cell r="H151">
            <v>2.467920823324302E-2</v>
          </cell>
          <cell r="I151">
            <v>2.4007902754477738E-2</v>
          </cell>
          <cell r="J151">
            <v>4.7339852823017441E-3</v>
          </cell>
          <cell r="K151">
            <v>0.51096546823369204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N151" t="str">
            <v>DISTGENPTXL%</v>
          </cell>
          <cell r="AO151">
            <v>43057348.667161927</v>
          </cell>
          <cell r="AP151">
            <v>0.29050754933537776</v>
          </cell>
          <cell r="AQ151">
            <v>0.28956481601906575</v>
          </cell>
          <cell r="AR151">
            <v>0.41992763464555655</v>
          </cell>
        </row>
        <row r="153">
          <cell r="D153" t="str">
            <v>Thruput_ST&lt;=2"</v>
          </cell>
          <cell r="E153" t="str">
            <v>EXT</v>
          </cell>
          <cell r="F153">
            <v>120189407</v>
          </cell>
          <cell r="G153">
            <v>81344242</v>
          </cell>
          <cell r="H153">
            <v>11417671</v>
          </cell>
          <cell r="I153">
            <v>11107096</v>
          </cell>
          <cell r="J153">
            <v>870861.11394727172</v>
          </cell>
          <cell r="K153">
            <v>105630149.01877874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N153" t="str">
            <v>BBA_PPGENPTXL</v>
          </cell>
          <cell r="AO153" t="str">
            <v>INT</v>
          </cell>
          <cell r="AP153">
            <v>0</v>
          </cell>
          <cell r="AQ153">
            <v>0</v>
          </cell>
          <cell r="AR153">
            <v>0</v>
          </cell>
        </row>
        <row r="154">
          <cell r="D154" t="str">
            <v>Thruput_ST&lt;=2"%</v>
          </cell>
          <cell r="E154">
            <v>330559426.13272601</v>
          </cell>
          <cell r="F154">
            <v>0.36359394861649363</v>
          </cell>
          <cell r="G154">
            <v>0.24608053974337041</v>
          </cell>
          <cell r="H154">
            <v>3.4540449000584797E-2</v>
          </cell>
          <cell r="I154">
            <v>3.3600905380142709E-2</v>
          </cell>
          <cell r="J154">
            <v>2.6345069754495644E-3</v>
          </cell>
          <cell r="K154">
            <v>0.31954965028395887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N154" t="str">
            <v>BBA_PPGENPTXL%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6">
          <cell r="D156" t="str">
            <v>Thruput_PL6"</v>
          </cell>
          <cell r="E156" t="str">
            <v>EXT</v>
          </cell>
          <cell r="F156">
            <v>120189407</v>
          </cell>
          <cell r="G156">
            <v>81344242</v>
          </cell>
          <cell r="H156">
            <v>11417671</v>
          </cell>
          <cell r="I156">
            <v>11107096</v>
          </cell>
          <cell r="J156">
            <v>559283.32403241436</v>
          </cell>
          <cell r="K156">
            <v>50473066.345322646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N156" t="str">
            <v>Comm_PassGENPTXL</v>
          </cell>
          <cell r="AO156" t="str">
            <v>INT</v>
          </cell>
          <cell r="AP156">
            <v>0</v>
          </cell>
          <cell r="AQ156">
            <v>0</v>
          </cell>
          <cell r="AR156">
            <v>0</v>
          </cell>
        </row>
        <row r="157">
          <cell r="D157" t="str">
            <v>Thruput_PL6"%</v>
          </cell>
          <cell r="E157">
            <v>275090765.66935509</v>
          </cell>
          <cell r="F157">
            <v>0.43690818449522756</v>
          </cell>
          <cell r="G157">
            <v>0.29569964590440517</v>
          </cell>
          <cell r="H157">
            <v>4.1505104586910965E-2</v>
          </cell>
          <cell r="I157">
            <v>4.0376113581908291E-2</v>
          </cell>
          <cell r="J157">
            <v>2.0330865075443645E-3</v>
          </cell>
          <cell r="K157">
            <v>0.18347786492400356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N157" t="str">
            <v>Comm_PassGENPTXL%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9">
          <cell r="D159" t="str">
            <v>Thruput_PL4"</v>
          </cell>
          <cell r="E159" t="str">
            <v>EXT</v>
          </cell>
          <cell r="F159">
            <v>120189407</v>
          </cell>
          <cell r="G159">
            <v>81344242</v>
          </cell>
          <cell r="H159">
            <v>11417671</v>
          </cell>
          <cell r="I159">
            <v>11107096</v>
          </cell>
          <cell r="J159">
            <v>559283.32403241436</v>
          </cell>
          <cell r="K159">
            <v>49880983.159784302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N159" t="str">
            <v>COLLPGENPTXL</v>
          </cell>
          <cell r="AO159" t="str">
            <v>INT</v>
          </cell>
          <cell r="AP159">
            <v>0</v>
          </cell>
          <cell r="AQ159">
            <v>0</v>
          </cell>
          <cell r="AR159">
            <v>0</v>
          </cell>
        </row>
        <row r="160">
          <cell r="D160" t="str">
            <v>Thruput_PL4"%</v>
          </cell>
          <cell r="E160">
            <v>274498682.48381674</v>
          </cell>
          <cell r="F160">
            <v>0.43785057878041306</v>
          </cell>
          <cell r="G160">
            <v>0.29633745875918988</v>
          </cell>
          <cell r="H160">
            <v>4.1594629514016469E-2</v>
          </cell>
          <cell r="I160">
            <v>4.0463203318488884E-2</v>
          </cell>
          <cell r="J160">
            <v>2.0374717975755212E-3</v>
          </cell>
          <cell r="K160">
            <v>0.18171665783031607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N160" t="str">
            <v>COLLPGENPTXL%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2">
          <cell r="D162" t="str">
            <v>Thruput_PL&lt;=2"</v>
          </cell>
          <cell r="E162" t="str">
            <v>EXT</v>
          </cell>
          <cell r="F162">
            <v>120189407</v>
          </cell>
          <cell r="G162">
            <v>81344242</v>
          </cell>
          <cell r="H162">
            <v>11417671</v>
          </cell>
          <cell r="I162">
            <v>11107096</v>
          </cell>
          <cell r="J162">
            <v>559283.32403241436</v>
          </cell>
          <cell r="K162">
            <v>40157461.267831214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N162" t="str">
            <v>SUPPOPERREV</v>
          </cell>
          <cell r="AO162" t="str">
            <v>INT</v>
          </cell>
          <cell r="AP162">
            <v>550.54996161149381</v>
          </cell>
          <cell r="AQ162">
            <v>533742.78850186756</v>
          </cell>
          <cell r="AR162">
            <v>0</v>
          </cell>
        </row>
        <row r="163">
          <cell r="D163" t="str">
            <v>Thruput_PL&lt;=2"%</v>
          </cell>
          <cell r="E163">
            <v>264775160.59186363</v>
          </cell>
          <cell r="F163">
            <v>0.45393006931365953</v>
          </cell>
          <cell r="G163">
            <v>0.30722006482091302</v>
          </cell>
          <cell r="H163">
            <v>4.3122137947070163E-2</v>
          </cell>
          <cell r="I163">
            <v>4.1949161602515196E-2</v>
          </cell>
          <cell r="J163">
            <v>2.1122952877536683E-3</v>
          </cell>
          <cell r="K163">
            <v>0.15166627102808838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N163" t="str">
            <v>SUPPOPERREV%</v>
          </cell>
          <cell r="AO163">
            <v>534293.33846347907</v>
          </cell>
          <cell r="AP163">
            <v>1.0304264005887955E-3</v>
          </cell>
          <cell r="AQ163">
            <v>0.99896957359941119</v>
          </cell>
          <cell r="AR163">
            <v>0</v>
          </cell>
        </row>
        <row r="165">
          <cell r="D165" t="str">
            <v>HP_Mains-Direct</v>
          </cell>
          <cell r="E165" t="str">
            <v>EXT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N165" t="str">
            <v>SUPPREVREQ</v>
          </cell>
          <cell r="AO165" t="str">
            <v>INT</v>
          </cell>
          <cell r="AP165">
            <v>111570.95204530822</v>
          </cell>
          <cell r="AQ165">
            <v>108164917.28773145</v>
          </cell>
          <cell r="AR165">
            <v>0</v>
          </cell>
        </row>
        <row r="166">
          <cell r="D166" t="str">
            <v>HP_Mains-Direct%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N166" t="str">
            <v>SUPPREVREQ%</v>
          </cell>
          <cell r="AO166">
            <v>108276488.23977676</v>
          </cell>
          <cell r="AP166">
            <v>1.0304264005887955E-3</v>
          </cell>
          <cell r="AQ166">
            <v>0.99896957359941119</v>
          </cell>
          <cell r="AR166">
            <v>0</v>
          </cell>
        </row>
        <row r="168">
          <cell r="D168" t="str">
            <v>Mains-Direct</v>
          </cell>
          <cell r="E168" t="str">
            <v>EXT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N168" t="str">
            <v>STORREVREQ</v>
          </cell>
          <cell r="AO168" t="str">
            <v>INT</v>
          </cell>
          <cell r="AP168">
            <v>0</v>
          </cell>
          <cell r="AQ168">
            <v>0</v>
          </cell>
          <cell r="AR168">
            <v>0</v>
          </cell>
        </row>
        <row r="169">
          <cell r="D169" t="str">
            <v>Mains-Direct%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N169" t="str">
            <v>STORREVREQ%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1">
          <cell r="D171" t="str">
            <v>BILLCOM-THRUPUT</v>
          </cell>
          <cell r="E171" t="str">
            <v>EXT</v>
          </cell>
          <cell r="F171">
            <v>120189407</v>
          </cell>
          <cell r="G171">
            <v>81344242</v>
          </cell>
          <cell r="H171">
            <v>11417671</v>
          </cell>
          <cell r="I171">
            <v>11107096</v>
          </cell>
          <cell r="J171">
            <v>3848935.3459285335</v>
          </cell>
          <cell r="K171">
            <v>438603934.83285075</v>
          </cell>
          <cell r="L171">
            <v>286600988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N171" t="str">
            <v>TRANREVREQ</v>
          </cell>
          <cell r="AO171" t="str">
            <v>INT</v>
          </cell>
          <cell r="AP171">
            <v>579699.69417049515</v>
          </cell>
          <cell r="AQ171">
            <v>1035335.4739946506</v>
          </cell>
          <cell r="AR171">
            <v>0</v>
          </cell>
        </row>
        <row r="172">
          <cell r="D172" t="str">
            <v>BILLCOM-THRUPUT%</v>
          </cell>
          <cell r="E172">
            <v>953112274.17877924</v>
          </cell>
          <cell r="F172">
            <v>0.12610204511693821</v>
          </cell>
          <cell r="G172">
            <v>8.5345918003299076E-2</v>
          </cell>
          <cell r="H172">
            <v>1.1979355747818582E-2</v>
          </cell>
          <cell r="I172">
            <v>1.1653502216798223E-2</v>
          </cell>
          <cell r="J172">
            <v>4.0382811660303651E-3</v>
          </cell>
          <cell r="K172">
            <v>0.46018076433939614</v>
          </cell>
          <cell r="L172">
            <v>0.30070013340971941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N172" t="str">
            <v>TRANREVREQ%</v>
          </cell>
          <cell r="AO172">
            <v>1615035.1681651459</v>
          </cell>
          <cell r="AP172">
            <v>0.3589393628060103</v>
          </cell>
          <cell r="AQ172">
            <v>0.64106063719398965</v>
          </cell>
          <cell r="AR172">
            <v>0</v>
          </cell>
        </row>
        <row r="174">
          <cell r="D174" t="str">
            <v>Revenues</v>
          </cell>
          <cell r="E174" t="str">
            <v>EXT</v>
          </cell>
          <cell r="F174">
            <v>109247922.01915</v>
          </cell>
          <cell r="G174">
            <v>66969194.382099994</v>
          </cell>
          <cell r="H174">
            <v>7820969.71483</v>
          </cell>
          <cell r="I174">
            <v>7152646.4782490907</v>
          </cell>
          <cell r="J174">
            <v>2087539.2325518094</v>
          </cell>
          <cell r="K174">
            <v>16899197.012163844</v>
          </cell>
          <cell r="L174">
            <v>6104709.8136834996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N174" t="str">
            <v>DISTREVREQ</v>
          </cell>
          <cell r="AO174" t="str">
            <v>INT</v>
          </cell>
          <cell r="AP174">
            <v>23813171.857790668</v>
          </cell>
          <cell r="AQ174">
            <v>25929189.474400099</v>
          </cell>
          <cell r="AR174">
            <v>63443004.478227243</v>
          </cell>
        </row>
        <row r="175">
          <cell r="D175" t="str">
            <v>Revenues%</v>
          </cell>
          <cell r="E175">
            <v>216282178.65272829</v>
          </cell>
          <cell r="F175">
            <v>0.50511753996413655</v>
          </cell>
          <cell r="G175">
            <v>0.30963806079292616</v>
          </cell>
          <cell r="H175">
            <v>3.6160953082443638E-2</v>
          </cell>
          <cell r="I175">
            <v>3.3070900814873329E-2</v>
          </cell>
          <cell r="J175">
            <v>9.6519243774756385E-3</v>
          </cell>
          <cell r="K175">
            <v>7.813494906252956E-2</v>
          </cell>
          <cell r="L175">
            <v>2.8225671905614917E-2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N175" t="str">
            <v>DISTREVREQ%</v>
          </cell>
          <cell r="AO175">
            <v>113185365.81041801</v>
          </cell>
          <cell r="AP175">
            <v>0.21039090775813715</v>
          </cell>
          <cell r="AQ175">
            <v>0.22908605974583932</v>
          </cell>
          <cell r="AR175">
            <v>0.56052303249602353</v>
          </cell>
        </row>
        <row r="177">
          <cell r="D177" t="str">
            <v>Margin</v>
          </cell>
          <cell r="E177" t="str">
            <v>EXT</v>
          </cell>
          <cell r="F177">
            <v>45209616.86332</v>
          </cell>
          <cell r="G177">
            <v>23571672.426419999</v>
          </cell>
          <cell r="H177">
            <v>2065869.4918</v>
          </cell>
          <cell r="I177">
            <v>1562706.0749690908</v>
          </cell>
          <cell r="J177">
            <v>214145.28759815486</v>
          </cell>
          <cell r="K177">
            <v>14461764.212163845</v>
          </cell>
          <cell r="L177">
            <v>5811768.1036834996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N177" t="str">
            <v>BBA_PPREVREQ</v>
          </cell>
          <cell r="AO177" t="str">
            <v>INT</v>
          </cell>
          <cell r="AP177">
            <v>0</v>
          </cell>
          <cell r="AQ177">
            <v>0</v>
          </cell>
          <cell r="AR177">
            <v>0</v>
          </cell>
        </row>
        <row r="178">
          <cell r="D178" t="str">
            <v>Margin%</v>
          </cell>
          <cell r="E178">
            <v>92897542.45995459</v>
          </cell>
          <cell r="F178">
            <v>0.48666106407291176</v>
          </cell>
          <cell r="G178">
            <v>0.25373838534621146</v>
          </cell>
          <cell r="H178">
            <v>2.2238150085515294E-2</v>
          </cell>
          <cell r="I178">
            <v>1.6821823630509145E-2</v>
          </cell>
          <cell r="J178">
            <v>2.3051771007878558E-3</v>
          </cell>
          <cell r="K178">
            <v>0.15567434648120954</v>
          </cell>
          <cell r="L178">
            <v>6.2561053282854953E-2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N178" t="str">
            <v>BBA_PPREVREQ%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80">
          <cell r="D180" t="str">
            <v>OtherRevenue</v>
          </cell>
          <cell r="E180" t="str">
            <v>EXT</v>
          </cell>
          <cell r="F180">
            <v>279746.08</v>
          </cell>
          <cell r="G180">
            <v>58948.020000000026</v>
          </cell>
          <cell r="H180">
            <v>14945.880000000001</v>
          </cell>
          <cell r="I180">
            <v>8719.4</v>
          </cell>
          <cell r="J180">
            <v>4793.5199999999995</v>
          </cell>
          <cell r="K180">
            <v>1983884.8800000001</v>
          </cell>
          <cell r="L180">
            <v>267590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N180" t="str">
            <v>Comm_PassRevReq</v>
          </cell>
          <cell r="AO180" t="str">
            <v>INT</v>
          </cell>
          <cell r="AP180">
            <v>0</v>
          </cell>
          <cell r="AQ180">
            <v>0</v>
          </cell>
          <cell r="AR180">
            <v>0</v>
          </cell>
        </row>
        <row r="181">
          <cell r="D181" t="str">
            <v>OtherRevenue%</v>
          </cell>
          <cell r="E181">
            <v>2618627.7800000003</v>
          </cell>
          <cell r="F181">
            <v>0.10682926460056114</v>
          </cell>
          <cell r="G181">
            <v>2.2511034386108904E-2</v>
          </cell>
          <cell r="H181">
            <v>5.7075236557675253E-3</v>
          </cell>
          <cell r="I181">
            <v>3.3297592222137043E-3</v>
          </cell>
          <cell r="J181">
            <v>1.8305465315120117E-3</v>
          </cell>
          <cell r="K181">
            <v>0.75760476351472905</v>
          </cell>
          <cell r="L181">
            <v>0.10218710808910764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N181" t="str">
            <v>Comm_PassRevReq%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3">
          <cell r="D183" t="str">
            <v>RevenueTaxes</v>
          </cell>
          <cell r="E183" t="str">
            <v>EXT</v>
          </cell>
          <cell r="F183">
            <v>4461618</v>
          </cell>
          <cell r="G183">
            <v>3291556.879999999</v>
          </cell>
          <cell r="H183">
            <v>275417.37999999989</v>
          </cell>
          <cell r="I183">
            <v>259311.82000000007</v>
          </cell>
          <cell r="J183">
            <v>76441.500000000116</v>
          </cell>
          <cell r="K183">
            <v>2437432.7999999989</v>
          </cell>
          <cell r="L183">
            <v>292941.70999999996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N183" t="str">
            <v>Comm_PassRevReqXGAS</v>
          </cell>
          <cell r="AO183" t="str">
            <v>INT</v>
          </cell>
          <cell r="AP183">
            <v>0</v>
          </cell>
          <cell r="AQ183">
            <v>0</v>
          </cell>
          <cell r="AR183">
            <v>0</v>
          </cell>
        </row>
        <row r="184">
          <cell r="D184" t="str">
            <v>RevenueTaxes%</v>
          </cell>
          <cell r="E184">
            <v>11094720.09</v>
          </cell>
          <cell r="F184">
            <v>0.40213885197711197</v>
          </cell>
          <cell r="G184">
            <v>0.29667777585184657</v>
          </cell>
          <cell r="H184">
            <v>2.482418463609927E-2</v>
          </cell>
          <cell r="I184">
            <v>2.3372542785800022E-2</v>
          </cell>
          <cell r="J184">
            <v>6.8898989230831613E-3</v>
          </cell>
          <cell r="K184">
            <v>0.21969304139515239</v>
          </cell>
          <cell r="L184">
            <v>2.6403704430906463E-2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N184" t="str">
            <v>Comm_PassRevReqXGAS%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6">
          <cell r="D186" t="str">
            <v>Gas_Revenue</v>
          </cell>
          <cell r="E186" t="str">
            <v>EXT</v>
          </cell>
          <cell r="F186">
            <v>59576687.155830003</v>
          </cell>
          <cell r="G186">
            <v>40105965.075679995</v>
          </cell>
          <cell r="H186">
            <v>5479682.8430300001</v>
          </cell>
          <cell r="I186">
            <v>5330628.5832799999</v>
          </cell>
          <cell r="J186">
            <v>1796952.4449536544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N186" t="str">
            <v>COLLP_REVREQ</v>
          </cell>
          <cell r="AO186" t="str">
            <v>INT</v>
          </cell>
          <cell r="AP186">
            <v>0</v>
          </cell>
          <cell r="AQ186">
            <v>0</v>
          </cell>
          <cell r="AR186">
            <v>0</v>
          </cell>
        </row>
        <row r="187">
          <cell r="D187" t="str">
            <v>Gas_Revenue%</v>
          </cell>
          <cell r="E187">
            <v>112289916.10277365</v>
          </cell>
          <cell r="F187">
            <v>0.53056132931208422</v>
          </cell>
          <cell r="G187">
            <v>0.35716444065175812</v>
          </cell>
          <cell r="H187">
            <v>4.8799420582118037E-2</v>
          </cell>
          <cell r="I187">
            <v>4.7472015015142831E-2</v>
          </cell>
          <cell r="J187">
            <v>1.6002794438896802E-2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N187" t="str">
            <v>COLLP_REVREQ%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9">
          <cell r="D189" t="str">
            <v>MREquipment</v>
          </cell>
          <cell r="E189" t="str">
            <v>EXT</v>
          </cell>
          <cell r="F189">
            <v>21525.093920454547</v>
          </cell>
          <cell r="G189">
            <v>1532401.3990514772</v>
          </cell>
          <cell r="H189">
            <v>297807.76942795439</v>
          </cell>
          <cell r="I189">
            <v>90198.296249999999</v>
          </cell>
          <cell r="J189">
            <v>5898.46</v>
          </cell>
          <cell r="K189">
            <v>1150375.5413501144</v>
          </cell>
          <cell r="L189">
            <v>902584.35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N189" t="str">
            <v>SUPPBASE</v>
          </cell>
          <cell r="AO189" t="str">
            <v>INT</v>
          </cell>
          <cell r="AP189">
            <v>0</v>
          </cell>
          <cell r="AQ189">
            <v>0</v>
          </cell>
          <cell r="AR189">
            <v>0</v>
          </cell>
        </row>
        <row r="190">
          <cell r="D190" t="str">
            <v>MREquipment%</v>
          </cell>
          <cell r="E190">
            <v>4000790.9100000006</v>
          </cell>
          <cell r="F190">
            <v>5.3802096647071578E-3</v>
          </cell>
          <cell r="G190">
            <v>0.38302461526325476</v>
          </cell>
          <cell r="H190">
            <v>7.4437224070766139E-2</v>
          </cell>
          <cell r="I190">
            <v>2.2545116273022123E-2</v>
          </cell>
          <cell r="J190">
            <v>1.4743234857029805E-3</v>
          </cell>
          <cell r="K190">
            <v>0.28753703135916048</v>
          </cell>
          <cell r="L190">
            <v>0.22560147988338633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N190" t="str">
            <v>SUPPBASE%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2">
          <cell r="D192" t="str">
            <v>Write-offs</v>
          </cell>
          <cell r="E192" t="str">
            <v>EXT</v>
          </cell>
          <cell r="F192">
            <v>6335220.29</v>
          </cell>
          <cell r="G192">
            <v>998898.33000000007</v>
          </cell>
          <cell r="H192">
            <v>7907.01</v>
          </cell>
          <cell r="I192">
            <v>121018.45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N192" t="str">
            <v>STORBASE</v>
          </cell>
          <cell r="AO192" t="str">
            <v>INT</v>
          </cell>
          <cell r="AP192">
            <v>0</v>
          </cell>
          <cell r="AQ192">
            <v>0</v>
          </cell>
          <cell r="AR192">
            <v>0</v>
          </cell>
        </row>
        <row r="193">
          <cell r="D193" t="str">
            <v>Write-offs%</v>
          </cell>
          <cell r="E193">
            <v>7463044.0800000001</v>
          </cell>
          <cell r="F193">
            <v>0.84887885185853007</v>
          </cell>
          <cell r="G193">
            <v>0.13384596409887478</v>
          </cell>
          <cell r="H193">
            <v>1.0594885833770931E-3</v>
          </cell>
          <cell r="I193">
            <v>1.621569545921803E-2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N193" t="str">
            <v>STORBASE%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5">
          <cell r="D195" t="str">
            <v>AdvConstruction</v>
          </cell>
          <cell r="E195" t="str">
            <v>EXT</v>
          </cell>
          <cell r="F195">
            <v>281212.65000000002</v>
          </cell>
          <cell r="G195">
            <v>218551.64</v>
          </cell>
          <cell r="H195">
            <v>197492.31000000003</v>
          </cell>
          <cell r="I195">
            <v>0</v>
          </cell>
          <cell r="J195">
            <v>0</v>
          </cell>
          <cell r="K195">
            <v>2663250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N195" t="str">
            <v>TRANBASE</v>
          </cell>
          <cell r="AO195" t="str">
            <v>INT</v>
          </cell>
          <cell r="AP195">
            <v>3655873.9847554266</v>
          </cell>
          <cell r="AQ195">
            <v>4105831.0844780672</v>
          </cell>
          <cell r="AR195">
            <v>0</v>
          </cell>
        </row>
        <row r="196">
          <cell r="D196" t="str">
            <v>AdvConstruction%</v>
          </cell>
          <cell r="E196">
            <v>3360506.6</v>
          </cell>
          <cell r="F196">
            <v>8.368162407417977E-2</v>
          </cell>
          <cell r="G196">
            <v>6.5035325328627533E-2</v>
          </cell>
          <cell r="H196">
            <v>5.8768612446706704E-2</v>
          </cell>
          <cell r="I196">
            <v>0</v>
          </cell>
          <cell r="J196">
            <v>0</v>
          </cell>
          <cell r="K196">
            <v>0.79251443815048594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N196" t="str">
            <v>TRANBASE%</v>
          </cell>
          <cell r="AO196">
            <v>7761705.0692334939</v>
          </cell>
          <cell r="AP196">
            <v>0.47101428773001058</v>
          </cell>
          <cell r="AQ196">
            <v>0.52898571226998936</v>
          </cell>
          <cell r="AR196">
            <v>0</v>
          </cell>
        </row>
        <row r="198">
          <cell r="D198" t="str">
            <v>BILLCUST</v>
          </cell>
          <cell r="E198" t="str">
            <v>EXT</v>
          </cell>
          <cell r="F198">
            <v>2179888</v>
          </cell>
          <cell r="G198">
            <v>305527</v>
          </cell>
          <cell r="H198">
            <v>5408</v>
          </cell>
          <cell r="I198">
            <v>1042</v>
          </cell>
          <cell r="J198">
            <v>120</v>
          </cell>
          <cell r="K198">
            <v>2302</v>
          </cell>
          <cell r="L198">
            <v>134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N198" t="str">
            <v>DISTBASE</v>
          </cell>
          <cell r="AO198" t="str">
            <v>INT</v>
          </cell>
          <cell r="AP198">
            <v>99765676.409031928</v>
          </cell>
          <cell r="AQ198">
            <v>105018714.93202434</v>
          </cell>
          <cell r="AR198">
            <v>88314629.287351757</v>
          </cell>
        </row>
        <row r="199">
          <cell r="D199" t="str">
            <v>BILLCUST%</v>
          </cell>
          <cell r="E199">
            <v>2494421</v>
          </cell>
          <cell r="F199">
            <v>0.87390540730694621</v>
          </cell>
          <cell r="G199">
            <v>0.12248413559699826</v>
          </cell>
          <cell r="H199">
            <v>2.1680381940338057E-3</v>
          </cell>
          <cell r="I199">
            <v>4.1773221120251953E-4</v>
          </cell>
          <cell r="J199">
            <v>4.8107356376489773E-5</v>
          </cell>
          <cell r="K199">
            <v>9.2285945315566213E-4</v>
          </cell>
          <cell r="L199">
            <v>5.371988128708025E-5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N199" t="str">
            <v>DISTBASE%</v>
          </cell>
          <cell r="AO199">
            <v>293099020.62840807</v>
          </cell>
          <cell r="AP199">
            <v>0.34038215547473694</v>
          </cell>
          <cell r="AQ199">
            <v>0.35830455764356656</v>
          </cell>
          <cell r="AR199">
            <v>0.30131328688169634</v>
          </cell>
        </row>
        <row r="201">
          <cell r="D201" t="str">
            <v>CollDollars</v>
          </cell>
          <cell r="E201" t="str">
            <v>EXT</v>
          </cell>
          <cell r="F201">
            <v>1093656.8900000001</v>
          </cell>
          <cell r="G201">
            <v>259636.05</v>
          </cell>
          <cell r="H201">
            <v>76651.62</v>
          </cell>
          <cell r="I201">
            <v>51621.7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N201" t="str">
            <v>BBA_PPBASE</v>
          </cell>
          <cell r="AO201" t="str">
            <v>INT</v>
          </cell>
          <cell r="AP201">
            <v>0</v>
          </cell>
          <cell r="AQ201">
            <v>0</v>
          </cell>
          <cell r="AR201">
            <v>0</v>
          </cell>
        </row>
        <row r="202">
          <cell r="D202" t="str">
            <v>CollDollars%</v>
          </cell>
          <cell r="E202">
            <v>1481566.26</v>
          </cell>
          <cell r="F202">
            <v>0.73817615825025618</v>
          </cell>
          <cell r="G202">
            <v>0.17524430530700663</v>
          </cell>
          <cell r="H202">
            <v>5.1736882831011549E-2</v>
          </cell>
          <cell r="I202">
            <v>3.4842653611725741E-2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N202" t="str">
            <v>BBA_PPBASE%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4">
          <cell r="D204" t="str">
            <v>CUST-902</v>
          </cell>
          <cell r="E204" t="str">
            <v>EXT</v>
          </cell>
          <cell r="F204">
            <v>345159.42165312433</v>
          </cell>
          <cell r="G204">
            <v>48376.578346875664</v>
          </cell>
          <cell r="H204">
            <v>13088.909260493008</v>
          </cell>
          <cell r="I204">
            <v>2521.938507661559</v>
          </cell>
          <cell r="J204">
            <v>290.4343770819454</v>
          </cell>
          <cell r="K204">
            <v>5571.4994670219858</v>
          </cell>
          <cell r="L204">
            <v>324.31838774150566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N204" t="str">
            <v>SUPPGAS</v>
          </cell>
          <cell r="AO204" t="str">
            <v>INT</v>
          </cell>
          <cell r="AP204">
            <v>0</v>
          </cell>
          <cell r="AQ204">
            <v>0</v>
          </cell>
          <cell r="AR204">
            <v>0</v>
          </cell>
        </row>
        <row r="205">
          <cell r="D205" t="str">
            <v>CUST-902%</v>
          </cell>
          <cell r="E205">
            <v>415333.1</v>
          </cell>
          <cell r="F205">
            <v>0.83104241307308357</v>
          </cell>
          <cell r="G205">
            <v>0.11647657830997737</v>
          </cell>
          <cell r="H205">
            <v>3.1514245458628291E-2</v>
          </cell>
          <cell r="I205">
            <v>6.0720864955419139E-3</v>
          </cell>
          <cell r="J205">
            <v>6.9928059449618973E-4</v>
          </cell>
          <cell r="K205">
            <v>1.3414532737751906E-2</v>
          </cell>
          <cell r="L205">
            <v>7.8086333052074513E-4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N205" t="str">
            <v>SUPPGAS%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7">
          <cell r="D207" t="str">
            <v>Acct-813_D</v>
          </cell>
          <cell r="E207" t="str">
            <v>EXT</v>
          </cell>
          <cell r="F207">
            <v>48906.78836516937</v>
          </cell>
          <cell r="G207">
            <v>34637.302782625309</v>
          </cell>
          <cell r="H207">
            <v>4954.8351863708858</v>
          </cell>
          <cell r="I207">
            <v>4722.1931089153359</v>
          </cell>
          <cell r="J207">
            <v>1761.935113569087</v>
          </cell>
          <cell r="K207">
            <v>23760.121064918745</v>
          </cell>
          <cell r="L207">
            <v>19156.932743931251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N207" t="str">
            <v>STORGAS</v>
          </cell>
          <cell r="AO207" t="str">
            <v>INT</v>
          </cell>
          <cell r="AP207">
            <v>0</v>
          </cell>
          <cell r="AQ207">
            <v>0</v>
          </cell>
          <cell r="AR207">
            <v>0</v>
          </cell>
        </row>
        <row r="208">
          <cell r="D208" t="str">
            <v>Acct-813_D%</v>
          </cell>
          <cell r="E208">
            <v>137900.10836549997</v>
          </cell>
          <cell r="F208">
            <v>0.35465373410398954</v>
          </cell>
          <cell r="G208">
            <v>0.25117676260862837</v>
          </cell>
          <cell r="H208">
            <v>3.5930611259842149E-2</v>
          </cell>
          <cell r="I208">
            <v>3.4243577941210239E-2</v>
          </cell>
          <cell r="J208">
            <v>1.2776894336436143E-2</v>
          </cell>
          <cell r="K208">
            <v>0.17229950974326488</v>
          </cell>
          <cell r="L208">
            <v>0.13891891000662882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N208" t="str">
            <v>STORGAS%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10">
          <cell r="D210" t="str">
            <v>Acct-813_E</v>
          </cell>
          <cell r="E210" t="str">
            <v>EXT</v>
          </cell>
          <cell r="F210">
            <v>84130.545240089734</v>
          </cell>
          <cell r="G210">
            <v>56939.588957301436</v>
          </cell>
          <cell r="H210">
            <v>7992.1759377842727</v>
          </cell>
          <cell r="I210">
            <v>7774.7787083600451</v>
          </cell>
          <cell r="J210">
            <v>2694.1894242545095</v>
          </cell>
          <cell r="K210">
            <v>62073.490801793734</v>
          </cell>
          <cell r="L210">
            <v>40561.249864716279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N210" t="str">
            <v>TRANGAS</v>
          </cell>
          <cell r="AO210" t="str">
            <v>INT</v>
          </cell>
          <cell r="AP210">
            <v>0</v>
          </cell>
          <cell r="AQ210">
            <v>0</v>
          </cell>
          <cell r="AR210">
            <v>0</v>
          </cell>
        </row>
        <row r="211">
          <cell r="D211" t="str">
            <v>Acct-813_E%</v>
          </cell>
          <cell r="E211">
            <v>262166.01893429999</v>
          </cell>
          <cell r="F211">
            <v>0.32090560623409103</v>
          </cell>
          <cell r="G211">
            <v>0.21718905138339364</v>
          </cell>
          <cell r="H211">
            <v>3.0485171076985184E-2</v>
          </cell>
          <cell r="I211">
            <v>2.9655936112408375E-2</v>
          </cell>
          <cell r="J211">
            <v>1.0276653836398551E-2</v>
          </cell>
          <cell r="K211">
            <v>0.23677168785688291</v>
          </cell>
          <cell r="L211">
            <v>0.15471589349984033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N211" t="str">
            <v>TRANGAS%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3">
          <cell r="D213" t="str">
            <v>Acct-871</v>
          </cell>
          <cell r="E213" t="str">
            <v>EXT</v>
          </cell>
          <cell r="F213">
            <v>84892.624710250631</v>
          </cell>
          <cell r="G213">
            <v>57455.364668250739</v>
          </cell>
          <cell r="H213">
            <v>8064.5714415423663</v>
          </cell>
          <cell r="I213">
            <v>7845.2049634351388</v>
          </cell>
          <cell r="J213">
            <v>2718.5941923811115</v>
          </cell>
          <cell r="K213">
            <v>51257.3528041057</v>
          </cell>
          <cell r="L213">
            <v>33493.56170623433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N213" t="str">
            <v>DISTGAS</v>
          </cell>
          <cell r="AO213" t="str">
            <v>INT</v>
          </cell>
          <cell r="AP213">
            <v>0</v>
          </cell>
          <cell r="AQ213">
            <v>0</v>
          </cell>
          <cell r="AR213">
            <v>0</v>
          </cell>
        </row>
        <row r="214">
          <cell r="D214" t="str">
            <v>Acct-871%</v>
          </cell>
          <cell r="E214">
            <v>245727.27448619998</v>
          </cell>
          <cell r="F214">
            <v>0.34547497784995856</v>
          </cell>
          <cell r="G214">
            <v>0.23381761258853431</v>
          </cell>
          <cell r="H214">
            <v>3.2819195420633988E-2</v>
          </cell>
          <cell r="I214">
            <v>3.1926472060698027E-2</v>
          </cell>
          <cell r="J214">
            <v>1.1063461303046307E-2</v>
          </cell>
          <cell r="K214">
            <v>0.20859447902672404</v>
          </cell>
          <cell r="L214">
            <v>0.13630380175040491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N214" t="str">
            <v>DISTGAS%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6">
          <cell r="D216" t="str">
            <v>Regulator</v>
          </cell>
          <cell r="E216" t="str">
            <v>EXT</v>
          </cell>
          <cell r="F216">
            <v>213657597.7288664</v>
          </cell>
          <cell r="G216">
            <v>42874818.96945364</v>
          </cell>
          <cell r="H216">
            <v>614617.57947783265</v>
          </cell>
          <cell r="I216">
            <v>5079.9921828791194</v>
          </cell>
          <cell r="J216">
            <v>180.66614484161957</v>
          </cell>
          <cell r="K216">
            <v>376.84664245536271</v>
          </cell>
          <cell r="L216">
            <v>101.5818575207166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N216" t="str">
            <v>Comm_PassGAS</v>
          </cell>
          <cell r="AO216" t="str">
            <v>INT</v>
          </cell>
          <cell r="AP216">
            <v>0</v>
          </cell>
          <cell r="AQ216">
            <v>0</v>
          </cell>
          <cell r="AR216">
            <v>0</v>
          </cell>
        </row>
        <row r="217">
          <cell r="D217" t="str">
            <v>Regulator%</v>
          </cell>
          <cell r="E217">
            <v>257152773.3646256</v>
          </cell>
          <cell r="F217">
            <v>0.83085861736328259</v>
          </cell>
          <cell r="G217">
            <v>0.16672897751975627</v>
          </cell>
          <cell r="H217">
            <v>2.3900873066079889E-3</v>
          </cell>
          <cell r="I217">
            <v>1.9754763351029571E-5</v>
          </cell>
          <cell r="J217">
            <v>7.0256347025838581E-7</v>
          </cell>
          <cell r="K217">
            <v>1.4654582080708075E-6</v>
          </cell>
          <cell r="L217">
            <v>3.9502532363001293E-7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N217" t="str">
            <v>Comm_PassGAS%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9">
          <cell r="D219" t="str">
            <v>Misc_charges_taxes</v>
          </cell>
          <cell r="E219" t="str">
            <v>EXT</v>
          </cell>
          <cell r="F219">
            <v>4461618.0000000009</v>
          </cell>
          <cell r="G219">
            <v>3291556.8799999994</v>
          </cell>
          <cell r="H219">
            <v>275417.38</v>
          </cell>
          <cell r="I219">
            <v>259311.82</v>
          </cell>
          <cell r="J219">
            <v>76441.499999999985</v>
          </cell>
          <cell r="K219">
            <v>2437432.7999999998</v>
          </cell>
          <cell r="L219">
            <v>292941.71000000002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N219" t="str">
            <v>STORCUSTACCT</v>
          </cell>
          <cell r="AO219" t="str">
            <v>INT</v>
          </cell>
          <cell r="AP219">
            <v>0</v>
          </cell>
          <cell r="AQ219">
            <v>0</v>
          </cell>
          <cell r="AR219">
            <v>0</v>
          </cell>
        </row>
        <row r="220">
          <cell r="D220" t="str">
            <v>Misc_charges_taxes%</v>
          </cell>
          <cell r="E220">
            <v>11094720.090000002</v>
          </cell>
          <cell r="F220">
            <v>0.40213885197711197</v>
          </cell>
          <cell r="G220">
            <v>0.29667777585184657</v>
          </cell>
          <cell r="H220">
            <v>2.4824184636099273E-2</v>
          </cell>
          <cell r="I220">
            <v>2.3372542785800011E-2</v>
          </cell>
          <cell r="J220">
            <v>6.8898989230831483E-3</v>
          </cell>
          <cell r="K220">
            <v>0.21969304139515244</v>
          </cell>
          <cell r="L220">
            <v>2.6403704430906467E-2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N220" t="str">
            <v>STORCUSTACCT%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</row>
        <row r="221">
          <cell r="D221" t="str">
            <v>START OF INT FACTORS</v>
          </cell>
        </row>
        <row r="222">
          <cell r="D222" t="str">
            <v>SUPPL/P-C</v>
          </cell>
          <cell r="E222" t="str">
            <v>INT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N222" t="str">
            <v>INTANGPT-SUPP</v>
          </cell>
          <cell r="AO222" t="str">
            <v>INT</v>
          </cell>
          <cell r="AP222">
            <v>0</v>
          </cell>
          <cell r="AQ222">
            <v>0</v>
          </cell>
          <cell r="AR222">
            <v>0</v>
          </cell>
        </row>
        <row r="223">
          <cell r="D223" t="str">
            <v>SUPPL/P-C%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N223" t="str">
            <v>INTANGPT-SUPP%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</row>
        <row r="225">
          <cell r="D225" t="str">
            <v>STORL/P-C</v>
          </cell>
          <cell r="E225" t="str">
            <v>INT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N225" t="str">
            <v>INTANGPT-STOR</v>
          </cell>
          <cell r="AO225" t="str">
            <v>INT</v>
          </cell>
          <cell r="AP225">
            <v>0</v>
          </cell>
          <cell r="AQ225">
            <v>0</v>
          </cell>
          <cell r="AR225">
            <v>0</v>
          </cell>
        </row>
        <row r="226">
          <cell r="D226" t="str">
            <v>STORL/P-C%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N226" t="str">
            <v>INTANGPT-STOR%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</row>
        <row r="228">
          <cell r="D228" t="str">
            <v>TRANL/P-C</v>
          </cell>
          <cell r="E228" t="str">
            <v>INT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N228" t="str">
            <v>INTANGPT-TRANS</v>
          </cell>
          <cell r="AO228" t="str">
            <v>INT</v>
          </cell>
          <cell r="AP228">
            <v>91289.26690163996</v>
          </cell>
          <cell r="AQ228">
            <v>3295064.1094730236</v>
          </cell>
          <cell r="AR228">
            <v>0</v>
          </cell>
        </row>
        <row r="229">
          <cell r="D229" t="str">
            <v>TRANL/P-C%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N229" t="str">
            <v>INTANGPT-TRANS%</v>
          </cell>
          <cell r="AO229">
            <v>3386353.3763746633</v>
          </cell>
          <cell r="AP229">
            <v>2.6957985997129376E-2</v>
          </cell>
          <cell r="AQ229">
            <v>0.97304201400287071</v>
          </cell>
          <cell r="AR229">
            <v>0</v>
          </cell>
        </row>
        <row r="231">
          <cell r="D231" t="str">
            <v>DISTL/P-C</v>
          </cell>
          <cell r="E231" t="str">
            <v>INT</v>
          </cell>
          <cell r="F231">
            <v>8793514.9885750264</v>
          </cell>
          <cell r="G231">
            <v>1876686.1793351127</v>
          </cell>
          <cell r="H231">
            <v>101125.33702715908</v>
          </cell>
          <cell r="I231">
            <v>44222.248087622087</v>
          </cell>
          <cell r="J231">
            <v>14462.720350276293</v>
          </cell>
          <cell r="K231">
            <v>251373.66699261847</v>
          </cell>
          <cell r="L231">
            <v>74488.509439397429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N231" t="str">
            <v>Inc_before_Tax_Supp</v>
          </cell>
          <cell r="AO231" t="str">
            <v>INT</v>
          </cell>
          <cell r="AP231">
            <v>-110925.07670791059</v>
          </cell>
          <cell r="AQ231">
            <v>4751156.8890490476</v>
          </cell>
          <cell r="AR231">
            <v>0</v>
          </cell>
        </row>
        <row r="232">
          <cell r="D232" t="str">
            <v>DISTL/P-C%</v>
          </cell>
          <cell r="E232">
            <v>11155873.649807213</v>
          </cell>
          <cell r="F232">
            <v>0.78824081955490677</v>
          </cell>
          <cell r="G232">
            <v>0.16822404396517562</v>
          </cell>
          <cell r="H232">
            <v>9.0647617749692478E-3</v>
          </cell>
          <cell r="I232">
            <v>3.9640327127930764E-3</v>
          </cell>
          <cell r="J232">
            <v>1.2964220288140523E-3</v>
          </cell>
          <cell r="K232">
            <v>2.2532853533794056E-2</v>
          </cell>
          <cell r="L232">
            <v>6.6770664295471545E-3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N232" t="str">
            <v>Inc_before_Tax_Supp%</v>
          </cell>
          <cell r="AO232">
            <v>4640231.8123411369</v>
          </cell>
          <cell r="AP232">
            <v>-2.3905072245075088E-2</v>
          </cell>
          <cell r="AQ232">
            <v>1.0239050722450751</v>
          </cell>
          <cell r="AR232">
            <v>0</v>
          </cell>
        </row>
        <row r="234">
          <cell r="D234" t="str">
            <v>BBAL/P-C</v>
          </cell>
          <cell r="E234" t="str">
            <v>INT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N234" t="str">
            <v>Inc_before_Tax_Trans</v>
          </cell>
          <cell r="AO234" t="str">
            <v>INT</v>
          </cell>
          <cell r="AP234">
            <v>270064.17653198412</v>
          </cell>
          <cell r="AQ234">
            <v>292821.42337427801</v>
          </cell>
          <cell r="AR234">
            <v>0</v>
          </cell>
        </row>
        <row r="235">
          <cell r="D235" t="str">
            <v>BBAL/P-C%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N235" t="str">
            <v>Inc_before_Tax_Trans%</v>
          </cell>
          <cell r="AO235">
            <v>562885.59990626213</v>
          </cell>
          <cell r="AP235">
            <v>0.47978519361120298</v>
          </cell>
          <cell r="AQ235">
            <v>0.52021480638879702</v>
          </cell>
          <cell r="AR235">
            <v>0</v>
          </cell>
        </row>
        <row r="237">
          <cell r="D237" t="str">
            <v>Gather_L/P-D</v>
          </cell>
          <cell r="E237" t="str">
            <v>INT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N237" t="str">
            <v>Inc_before_Tax_Dist</v>
          </cell>
          <cell r="AO237" t="str">
            <v>INT</v>
          </cell>
          <cell r="AP237">
            <v>7047447.7756485101</v>
          </cell>
          <cell r="AQ237">
            <v>7371421.1961781727</v>
          </cell>
          <cell r="AR237">
            <v>5558330.8085893281</v>
          </cell>
        </row>
        <row r="238">
          <cell r="D238" t="str">
            <v>Gather_L/P-D%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N238" t="str">
            <v>Inc_before_Tax_Dist%</v>
          </cell>
          <cell r="AO238">
            <v>19977199.780416012</v>
          </cell>
          <cell r="AP238">
            <v>0.35277455564904764</v>
          </cell>
          <cell r="AQ238">
            <v>0.36899171441457485</v>
          </cell>
          <cell r="AR238">
            <v>0.27823372993637746</v>
          </cell>
        </row>
        <row r="240">
          <cell r="D240" t="str">
            <v>Gather_L/P-E</v>
          </cell>
          <cell r="E240" t="str">
            <v>INT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N240" t="str">
            <v>RevDeficiency_Supp</v>
          </cell>
          <cell r="AO240" t="str">
            <v>INT</v>
          </cell>
          <cell r="AP240">
            <v>110954.60283151321</v>
          </cell>
          <cell r="AQ240">
            <v>0</v>
          </cell>
          <cell r="AR240">
            <v>0</v>
          </cell>
        </row>
        <row r="241">
          <cell r="D241" t="str">
            <v>Gather_L/P-E%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N241" t="str">
            <v>RevDeficiency_Supp%</v>
          </cell>
          <cell r="AO241">
            <v>110954.60283151321</v>
          </cell>
          <cell r="AP241">
            <v>1</v>
          </cell>
          <cell r="AQ241">
            <v>0</v>
          </cell>
          <cell r="AR241">
            <v>0</v>
          </cell>
        </row>
        <row r="243">
          <cell r="D243" t="str">
            <v>COMMCOLLL/P-C</v>
          </cell>
          <cell r="E243" t="str">
            <v>INT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N243" t="str">
            <v>RevDeficiency_Trans</v>
          </cell>
          <cell r="AO243" t="str">
            <v>INT</v>
          </cell>
          <cell r="AP243">
            <v>56474.633194235037</v>
          </cell>
          <cell r="AQ243">
            <v>101324.01152238867</v>
          </cell>
          <cell r="AR243">
            <v>0</v>
          </cell>
        </row>
        <row r="244">
          <cell r="D244" t="str">
            <v>COMMCOLLL/P-C%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N244" t="str">
            <v>RevDeficiency_Trans%</v>
          </cell>
          <cell r="AO244">
            <v>157798.6447166237</v>
          </cell>
          <cell r="AP244">
            <v>0.35789048312583871</v>
          </cell>
          <cell r="AQ244">
            <v>0.64210951687416129</v>
          </cell>
          <cell r="AR244">
            <v>0</v>
          </cell>
        </row>
        <row r="246">
          <cell r="D246" t="str">
            <v>FUNC8L/P-C</v>
          </cell>
          <cell r="E246" t="str">
            <v>INT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N246" t="str">
            <v>RevDeficiency_Dist</v>
          </cell>
          <cell r="AO246" t="str">
            <v>INT</v>
          </cell>
          <cell r="AP246">
            <v>2338440.3564901389</v>
          </cell>
          <cell r="AQ246">
            <v>2548619.8250438385</v>
          </cell>
          <cell r="AR246">
            <v>5451699.3246328831</v>
          </cell>
        </row>
        <row r="247">
          <cell r="D247" t="str">
            <v>FUNC8L/P-C%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N247" t="str">
            <v>RevDeficiency_Dist%</v>
          </cell>
          <cell r="AO247">
            <v>10338759.50616686</v>
          </cell>
          <cell r="AP247">
            <v>0.22618190848672964</v>
          </cell>
          <cell r="AQ247">
            <v>0.24651118188053783</v>
          </cell>
          <cell r="AR247">
            <v>0.52730690963273252</v>
          </cell>
        </row>
        <row r="249">
          <cell r="D249" t="str">
            <v>MAINSPT-C</v>
          </cell>
          <cell r="E249" t="str">
            <v>INT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N249" t="str">
            <v>INTANGPT-DIST</v>
          </cell>
          <cell r="AO249" t="str">
            <v>INT</v>
          </cell>
          <cell r="AP249">
            <v>2185930.0051490529</v>
          </cell>
          <cell r="AQ249">
            <v>2178836.3890014011</v>
          </cell>
          <cell r="AR249">
            <v>19071616.706635259</v>
          </cell>
        </row>
        <row r="250">
          <cell r="D250" t="str">
            <v>MAINSPT-C%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N250" t="str">
            <v>INTANGPT-DIST%</v>
          </cell>
          <cell r="AO250">
            <v>23436383.100785714</v>
          </cell>
          <cell r="AP250">
            <v>9.3270791646846263E-2</v>
          </cell>
          <cell r="AQ250">
            <v>9.2968116267409653E-2</v>
          </cell>
          <cell r="AR250">
            <v>0.8137610920857441</v>
          </cell>
        </row>
        <row r="252">
          <cell r="D252" t="str">
            <v>DISTMAIN-SERVICE-C</v>
          </cell>
          <cell r="E252" t="str">
            <v>INT</v>
          </cell>
          <cell r="F252">
            <v>130140135.40071529</v>
          </cell>
          <cell r="G252">
            <v>28855526.438258994</v>
          </cell>
          <cell r="H252">
            <v>825991.05375804962</v>
          </cell>
          <cell r="I252">
            <v>6522.2864284832249</v>
          </cell>
          <cell r="J252">
            <v>288367.65271656949</v>
          </cell>
          <cell r="K252">
            <v>2885588.2231226261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D253" t="str">
            <v>DISTMAIN-SERVICE-C%</v>
          </cell>
          <cell r="E253">
            <v>163002131.05500004</v>
          </cell>
          <cell r="F253">
            <v>0.79839530046882345</v>
          </cell>
          <cell r="G253">
            <v>0.17702545513667295</v>
          </cell>
          <cell r="H253">
            <v>5.067363527163608E-3</v>
          </cell>
          <cell r="I253">
            <v>4.0013504033775368E-5</v>
          </cell>
          <cell r="J253">
            <v>1.769103574598474E-3</v>
          </cell>
          <cell r="K253">
            <v>1.7702763788707606E-2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5">
          <cell r="D255" t="str">
            <v>DISTMETER-REG-C</v>
          </cell>
          <cell r="E255" t="str">
            <v>INT</v>
          </cell>
          <cell r="F255">
            <v>56484379.56327042</v>
          </cell>
          <cell r="G255">
            <v>12817923.649069332</v>
          </cell>
          <cell r="H255">
            <v>698315.77623742772</v>
          </cell>
          <cell r="I255">
            <v>365003.38321187446</v>
          </cell>
          <cell r="J255">
            <v>51457.72729615961</v>
          </cell>
          <cell r="K255">
            <v>957269.90237046161</v>
          </cell>
          <cell r="L255">
            <v>17856.494896059092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D256" t="str">
            <v>DISTMETER-REG-C%</v>
          </cell>
          <cell r="E256">
            <v>71392206.496351749</v>
          </cell>
          <cell r="F256">
            <v>0.79118411287871959</v>
          </cell>
          <cell r="G256">
            <v>0.17954233771615319</v>
          </cell>
          <cell r="H256">
            <v>9.781400666935721E-3</v>
          </cell>
          <cell r="I256">
            <v>5.11265026148935E-3</v>
          </cell>
          <cell r="J256">
            <v>7.2077513529140156E-4</v>
          </cell>
          <cell r="K256">
            <v>1.3408605075392642E-2</v>
          </cell>
          <cell r="L256">
            <v>2.5011826601789632E-4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8">
          <cell r="D258" t="str">
            <v>RATEBASESALES</v>
          </cell>
          <cell r="E258" t="str">
            <v>INT</v>
          </cell>
          <cell r="F258">
            <v>138951056.93176934</v>
          </cell>
          <cell r="G258">
            <v>63985138.582109958</v>
          </cell>
          <cell r="H258">
            <v>7018899.6033730656</v>
          </cell>
          <cell r="I258">
            <v>5465154.2697260026</v>
          </cell>
          <cell r="J258">
            <v>805206.43054783135</v>
          </cell>
          <cell r="K258">
            <v>63172440.408265606</v>
          </cell>
          <cell r="L258">
            <v>21462829.471849736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N258" t="str">
            <v>LAST Line of Cfactor and Cfirst Range</v>
          </cell>
        </row>
        <row r="259">
          <cell r="D259" t="str">
            <v>RATEBASESALES%</v>
          </cell>
          <cell r="E259">
            <v>300860725.69764155</v>
          </cell>
          <cell r="F259">
            <v>0.46184511657201849</v>
          </cell>
          <cell r="G259">
            <v>0.21267361645073482</v>
          </cell>
          <cell r="H259">
            <v>2.3329397970098982E-2</v>
          </cell>
          <cell r="I259">
            <v>1.8165063775118201E-2</v>
          </cell>
          <cell r="J259">
            <v>2.6763427784756667E-3</v>
          </cell>
          <cell r="K259">
            <v>0.20997237263780494</v>
          </cell>
          <cell r="L259">
            <v>7.1338089815748865E-2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1">
          <cell r="D261" t="str">
            <v>RATEBASE</v>
          </cell>
          <cell r="E261" t="str">
            <v>INT</v>
          </cell>
          <cell r="F261">
            <v>138951056.93176934</v>
          </cell>
          <cell r="G261">
            <v>63985138.582109958</v>
          </cell>
          <cell r="H261">
            <v>7018899.6033730656</v>
          </cell>
          <cell r="I261">
            <v>5465154.2697260026</v>
          </cell>
          <cell r="J261">
            <v>805206.43054783135</v>
          </cell>
          <cell r="K261">
            <v>63172440.408265606</v>
          </cell>
          <cell r="L261">
            <v>21462829.471849736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D262" t="str">
            <v>RATEBASE%</v>
          </cell>
          <cell r="E262">
            <v>300860725.69764155</v>
          </cell>
          <cell r="F262">
            <v>0.46184511657201849</v>
          </cell>
          <cell r="G262">
            <v>0.21267361645073482</v>
          </cell>
          <cell r="H262">
            <v>2.3329397970098982E-2</v>
          </cell>
          <cell r="I262">
            <v>1.8165063775118201E-2</v>
          </cell>
          <cell r="J262">
            <v>2.6763427784756667E-3</v>
          </cell>
          <cell r="K262">
            <v>0.20997237263780494</v>
          </cell>
          <cell r="L262">
            <v>7.1338089815748865E-2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4">
          <cell r="D264" t="str">
            <v>Service_Internal</v>
          </cell>
          <cell r="E264" t="str">
            <v>INT</v>
          </cell>
          <cell r="F264">
            <v>130140135.40071529</v>
          </cell>
          <cell r="G264">
            <v>28855526.438258994</v>
          </cell>
          <cell r="H264">
            <v>825991.05375804962</v>
          </cell>
          <cell r="I264">
            <v>6522.2864284832249</v>
          </cell>
          <cell r="J264">
            <v>288367.65271656949</v>
          </cell>
          <cell r="K264">
            <v>2885588.2231226261</v>
          </cell>
          <cell r="L264">
            <v>22241.79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D265" t="str">
            <v>Service_Internal%</v>
          </cell>
          <cell r="E265">
            <v>163024372.84500003</v>
          </cell>
          <cell r="F265">
            <v>0.79828637356237309</v>
          </cell>
          <cell r="G265">
            <v>0.17700130314682572</v>
          </cell>
          <cell r="H265">
            <v>5.0666721751071149E-3</v>
          </cell>
          <cell r="I265">
            <v>4.0008044899424152E-5</v>
          </cell>
          <cell r="J265">
            <v>1.7688622117304083E-3</v>
          </cell>
          <cell r="K265">
            <v>1.7700348559943117E-2</v>
          </cell>
          <cell r="L265">
            <v>1.3643229912098484E-4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7">
          <cell r="D267" t="str">
            <v>INTANGPT-SUPP-D</v>
          </cell>
          <cell r="E267" t="str">
            <v>INT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D268" t="str">
            <v>INTANGPT-SUPP-D%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70">
          <cell r="D270" t="str">
            <v>INTANGPT-SUPP-E</v>
          </cell>
          <cell r="E270" t="str">
            <v>INT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D271" t="str">
            <v>INTANGPT-SUPP-E%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3">
          <cell r="D273" t="str">
            <v>INTANGPT-SUPP-C</v>
          </cell>
          <cell r="E273" t="str">
            <v>INT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D274" t="str">
            <v>INTANGPT-SUPP-C%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6">
          <cell r="D276" t="str">
            <v>INTANGPT-STOR-D</v>
          </cell>
          <cell r="E276" t="str">
            <v>INT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D277" t="str">
            <v>INTANGPT-STOR-D%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9">
          <cell r="D279" t="str">
            <v>INTANGPT-STOR-E</v>
          </cell>
          <cell r="E279" t="str">
            <v>INT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D280" t="str">
            <v>INTANGPT-STOR-E%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2">
          <cell r="D282" t="str">
            <v>INTANGPT-STOR-C</v>
          </cell>
          <cell r="E282" t="str">
            <v>INT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D283" t="str">
            <v>INTANGPT-STOR-C%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5">
          <cell r="D285" t="str">
            <v>INTANGPT-TRAN-D</v>
          </cell>
          <cell r="E285" t="str">
            <v>INT</v>
          </cell>
          <cell r="F285">
            <v>23595.932163053651</v>
          </cell>
          <cell r="G285">
            <v>15373.682778540791</v>
          </cell>
          <cell r="H285">
            <v>1906.8638238643384</v>
          </cell>
          <cell r="I285">
            <v>1321.6726118429706</v>
          </cell>
          <cell r="J285">
            <v>349.23366408889581</v>
          </cell>
          <cell r="K285">
            <v>25074.935661405543</v>
          </cell>
          <cell r="L285">
            <v>23666.946198843762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D286" t="str">
            <v>INTANGPT-TRAN-D%</v>
          </cell>
          <cell r="E286">
            <v>91289.26690163996</v>
          </cell>
          <cell r="F286">
            <v>0.25847433070611903</v>
          </cell>
          <cell r="G286">
            <v>0.16840624643316762</v>
          </cell>
          <cell r="H286">
            <v>2.0888149161268844E-2</v>
          </cell>
          <cell r="I286">
            <v>1.4477853275643158E-2</v>
          </cell>
          <cell r="J286">
            <v>3.8255720079905914E-3</v>
          </cell>
          <cell r="K286">
            <v>0.27467561644922234</v>
          </cell>
          <cell r="L286">
            <v>0.25925223196658836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8">
          <cell r="D288" t="str">
            <v>INTANGPT-TRAN-E</v>
          </cell>
          <cell r="E288" t="str">
            <v>INT</v>
          </cell>
          <cell r="F288">
            <v>415080.69208500808</v>
          </cell>
          <cell r="G288">
            <v>280926.78971692058</v>
          </cell>
          <cell r="H288">
            <v>39431.551406846746</v>
          </cell>
          <cell r="I288">
            <v>38358.963654214764</v>
          </cell>
          <cell r="J288">
            <v>13292.508774741404</v>
          </cell>
          <cell r="K288">
            <v>1514742.6829523128</v>
          </cell>
          <cell r="L288">
            <v>993230.92088297941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D289" t="str">
            <v>INTANGPT-TRAN-E%</v>
          </cell>
          <cell r="E289">
            <v>3295064.1094730236</v>
          </cell>
          <cell r="F289">
            <v>0.12597044497303925</v>
          </cell>
          <cell r="G289">
            <v>8.5256850969691433E-2</v>
          </cell>
          <cell r="H289">
            <v>1.1966854087446873E-2</v>
          </cell>
          <cell r="I289">
            <v>1.1641340617299697E-2</v>
          </cell>
          <cell r="J289">
            <v>4.0340668142166318E-3</v>
          </cell>
          <cell r="K289">
            <v>0.45970051951267316</v>
          </cell>
          <cell r="L289">
            <v>0.30142992302563298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1">
          <cell r="D291" t="str">
            <v>INTANGPT-TRAN-C</v>
          </cell>
          <cell r="E291" t="str">
            <v>INT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D292" t="str">
            <v>INTANGPT-TRAN-C%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4">
          <cell r="D294" t="str">
            <v>INTANGPT-DIST-D</v>
          </cell>
          <cell r="E294" t="str">
            <v>INT</v>
          </cell>
          <cell r="F294">
            <v>879749.50799669046</v>
          </cell>
          <cell r="G294">
            <v>573191.58942556172</v>
          </cell>
          <cell r="H294">
            <v>71095.411669645997</v>
          </cell>
          <cell r="I294">
            <v>49277.172945181061</v>
          </cell>
          <cell r="J294">
            <v>5965.8074046683278</v>
          </cell>
          <cell r="K294">
            <v>428694.06417786673</v>
          </cell>
          <cell r="L294">
            <v>177956.45152943803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D295" t="str">
            <v>INTANGPT-DIST-D%</v>
          </cell>
          <cell r="E295">
            <v>2185930.0051490525</v>
          </cell>
          <cell r="F295">
            <v>0.40246005403851109</v>
          </cell>
          <cell r="G295">
            <v>0.26221863832573972</v>
          </cell>
          <cell r="H295">
            <v>3.2524102556887771E-2</v>
          </cell>
          <cell r="I295">
            <v>2.2542886931011766E-2</v>
          </cell>
          <cell r="J295">
            <v>2.7291850107805881E-3</v>
          </cell>
          <cell r="K295">
            <v>0.19611518354570337</v>
          </cell>
          <cell r="L295">
            <v>8.140994959136566E-2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7">
          <cell r="D297" t="str">
            <v>INTANGPT-DIST-E</v>
          </cell>
          <cell r="E297" t="str">
            <v>INT</v>
          </cell>
          <cell r="F297">
            <v>614272.43864736962</v>
          </cell>
          <cell r="G297">
            <v>415739.84888087347</v>
          </cell>
          <cell r="H297">
            <v>58354.232572620575</v>
          </cell>
          <cell r="I297">
            <v>56766.924111793363</v>
          </cell>
          <cell r="J297">
            <v>8256.985352482885</v>
          </cell>
          <cell r="K297">
            <v>835406.60394556669</v>
          </cell>
          <cell r="L297">
            <v>190039.35549069443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D298" t="str">
            <v>INTANGPT-DIST-E%</v>
          </cell>
          <cell r="E298">
            <v>2178836.3890014007</v>
          </cell>
          <cell r="F298">
            <v>0.28192683110497413</v>
          </cell>
          <cell r="G298">
            <v>0.19080819972509014</v>
          </cell>
          <cell r="H298">
            <v>2.6782292083604015E-2</v>
          </cell>
          <cell r="I298">
            <v>2.6053780081124241E-2</v>
          </cell>
          <cell r="J298">
            <v>3.7896307378394792E-3</v>
          </cell>
          <cell r="K298">
            <v>0.38341869456680422</v>
          </cell>
          <cell r="L298">
            <v>8.7220571700563909E-2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300">
          <cell r="D300" t="str">
            <v>INTANGPT-DIST-C</v>
          </cell>
          <cell r="E300" t="str">
            <v>INT</v>
          </cell>
          <cell r="F300">
            <v>16350880.142586693</v>
          </cell>
          <cell r="G300">
            <v>2521456.775071172</v>
          </cell>
          <cell r="H300">
            <v>61566.262009142229</v>
          </cell>
          <cell r="I300">
            <v>13703.120252827204</v>
          </cell>
          <cell r="J300">
            <v>5052.2960774152871</v>
          </cell>
          <cell r="K300">
            <v>92902.111838699304</v>
          </cell>
          <cell r="L300">
            <v>26055.998799312001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D301" t="str">
            <v>INTANGPT-DIST-C%</v>
          </cell>
          <cell r="E301">
            <v>19071616.706635267</v>
          </cell>
          <cell r="F301">
            <v>0.85734106311490654</v>
          </cell>
          <cell r="G301">
            <v>0.13220991245036526</v>
          </cell>
          <cell r="H301">
            <v>3.2281616685240176E-3</v>
          </cell>
          <cell r="I301">
            <v>7.1850858076755013E-4</v>
          </cell>
          <cell r="J301">
            <v>2.6491178776980804E-4</v>
          </cell>
          <cell r="K301">
            <v>4.8712237283154627E-3</v>
          </cell>
          <cell r="L301">
            <v>1.3662186693510245E-3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3">
          <cell r="D303" t="str">
            <v>SUPPPT-DEM</v>
          </cell>
          <cell r="E303" t="str">
            <v>INT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D304" t="str">
            <v>SUPPPT-DEM%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6">
          <cell r="D306" t="str">
            <v>STORPT-DEM</v>
          </cell>
          <cell r="E306" t="str">
            <v>INT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D307" t="str">
            <v>STORPT-DEM%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9">
          <cell r="D309" t="str">
            <v>TRANPTXL-DEM</v>
          </cell>
          <cell r="E309" t="str">
            <v>INT</v>
          </cell>
          <cell r="F309">
            <v>2090436.6556026735</v>
          </cell>
          <cell r="G309">
            <v>1362002.1362067752</v>
          </cell>
          <cell r="H309">
            <v>168934.96756573248</v>
          </cell>
          <cell r="I309">
            <v>117091.06702844135</v>
          </cell>
          <cell r="J309">
            <v>30939.691118665251</v>
          </cell>
          <cell r="K309">
            <v>2221466.1527784811</v>
          </cell>
          <cell r="L309">
            <v>2120917.7380355126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D310" t="str">
            <v>TRANPTXL-DEM%</v>
          </cell>
          <cell r="E310">
            <v>8111788.4083362818</v>
          </cell>
          <cell r="F310">
            <v>0.25770354826494046</v>
          </cell>
          <cell r="G310">
            <v>0.16790405119629104</v>
          </cell>
          <cell r="H310">
            <v>2.082585973176054E-2</v>
          </cell>
          <cell r="I310">
            <v>1.4434679645749857E-2</v>
          </cell>
          <cell r="J310">
            <v>3.814163974847927E-3</v>
          </cell>
          <cell r="K310">
            <v>0.27385652102260655</v>
          </cell>
          <cell r="L310">
            <v>0.2614611761638036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2">
          <cell r="D312" t="str">
            <v>DISTPTXL-CUST</v>
          </cell>
          <cell r="E312" t="str">
            <v>INT</v>
          </cell>
          <cell r="F312">
            <v>186995391.98514342</v>
          </cell>
          <cell r="G312">
            <v>45212643.551381052</v>
          </cell>
          <cell r="H312">
            <v>2201001.0614196016</v>
          </cell>
          <cell r="I312">
            <v>576327.98569550598</v>
          </cell>
          <cell r="J312">
            <v>353725.68005643669</v>
          </cell>
          <cell r="K312">
            <v>6453324.8999769511</v>
          </cell>
          <cell r="L312">
            <v>2083473.7770165866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D313" t="str">
            <v>DISTPTXL-CUST%</v>
          </cell>
          <cell r="E313">
            <v>243875888.94068953</v>
          </cell>
          <cell r="F313">
            <v>0.76676457355987571</v>
          </cell>
          <cell r="G313">
            <v>0.18539201947256351</v>
          </cell>
          <cell r="H313">
            <v>9.0250867807390497E-3</v>
          </cell>
          <cell r="I313">
            <v>2.3632019885150212E-3</v>
          </cell>
          <cell r="J313">
            <v>1.4504331756324733E-3</v>
          </cell>
          <cell r="K313">
            <v>2.6461512566936848E-2</v>
          </cell>
          <cell r="L313">
            <v>8.5431724557374598E-3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5">
          <cell r="D315" t="str">
            <v>DISTPTXL-DEM</v>
          </cell>
          <cell r="E315" t="str">
            <v>INT</v>
          </cell>
          <cell r="F315">
            <v>72764770.454298258</v>
          </cell>
          <cell r="G315">
            <v>47409125.042718716</v>
          </cell>
          <cell r="H315">
            <v>5880357.1510665631</v>
          </cell>
          <cell r="I315">
            <v>4075753.5473453705</v>
          </cell>
          <cell r="J315">
            <v>493436.60033837362</v>
          </cell>
          <cell r="K315">
            <v>35457621.620107837</v>
          </cell>
          <cell r="L315">
            <v>14718917.406259835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D316" t="str">
            <v>DISTPTXL-DEM%</v>
          </cell>
          <cell r="E316">
            <v>180799981.82213494</v>
          </cell>
          <cell r="F316">
            <v>0.40246005403851115</v>
          </cell>
          <cell r="G316">
            <v>0.26221863832573972</v>
          </cell>
          <cell r="H316">
            <v>3.2524102556887778E-2</v>
          </cell>
          <cell r="I316">
            <v>2.2542886931011766E-2</v>
          </cell>
          <cell r="J316">
            <v>2.729185010780589E-3</v>
          </cell>
          <cell r="K316">
            <v>0.19611518354570343</v>
          </cell>
          <cell r="L316">
            <v>8.1409949591365674E-2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8">
          <cell r="D318" t="str">
            <v>DIST-MtrHReg-DEM</v>
          </cell>
          <cell r="E318" t="str">
            <v>INT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D319" t="str">
            <v>DIST-MtrHReg-DEM%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1">
          <cell r="D321" t="str">
            <v>DISTPT-DEM_xMSM</v>
          </cell>
          <cell r="E321" t="str">
            <v>INT</v>
          </cell>
          <cell r="F321">
            <v>116698.27453270761</v>
          </cell>
          <cell r="G321">
            <v>76033.540064082481</v>
          </cell>
          <cell r="H321">
            <v>9430.7661369802372</v>
          </cell>
          <cell r="I321">
            <v>6536.5891134707899</v>
          </cell>
          <cell r="J321">
            <v>791.36097717699829</v>
          </cell>
          <cell r="K321">
            <v>56866.025086949026</v>
          </cell>
          <cell r="L321">
            <v>23605.822619598392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D322" t="str">
            <v>DISTPT-DEM_xMSM%</v>
          </cell>
          <cell r="E322">
            <v>289962.37853096554</v>
          </cell>
          <cell r="F322">
            <v>0.40246005403851115</v>
          </cell>
          <cell r="G322">
            <v>0.26221863832573972</v>
          </cell>
          <cell r="H322">
            <v>3.2524102556887778E-2</v>
          </cell>
          <cell r="I322">
            <v>2.2542886931011766E-2</v>
          </cell>
          <cell r="J322">
            <v>2.7291850107805885E-3</v>
          </cell>
          <cell r="K322">
            <v>0.19611518354570337</v>
          </cell>
          <cell r="L322">
            <v>8.140994959136566E-2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4">
          <cell r="D324" t="str">
            <v>DISTPT-E_xMSM</v>
          </cell>
          <cell r="E324" t="str">
            <v>INT</v>
          </cell>
          <cell r="F324">
            <v>81482.89147257607</v>
          </cell>
          <cell r="G324">
            <v>55147.655756425891</v>
          </cell>
          <cell r="H324">
            <v>7740.6559378613047</v>
          </cell>
          <cell r="I324">
            <v>7530.1003685248552</v>
          </cell>
          <cell r="J324">
            <v>1095.2844357603412</v>
          </cell>
          <cell r="K324">
            <v>110816.21339655628</v>
          </cell>
          <cell r="L324">
            <v>25208.612994365318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D325" t="str">
            <v>DISTPT-E_xMSM%</v>
          </cell>
          <cell r="E325">
            <v>289021.41436207009</v>
          </cell>
          <cell r="F325">
            <v>0.28192683110497407</v>
          </cell>
          <cell r="G325">
            <v>0.19080819972509008</v>
          </cell>
          <cell r="H325">
            <v>2.6782292083604012E-2</v>
          </cell>
          <cell r="I325">
            <v>2.6053780081124234E-2</v>
          </cell>
          <cell r="J325">
            <v>3.7896307378394783E-3</v>
          </cell>
          <cell r="K325">
            <v>0.38341869456680411</v>
          </cell>
          <cell r="L325">
            <v>8.7220571700563881E-2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7">
          <cell r="D327" t="str">
            <v>DIST-MtrHReg-C</v>
          </cell>
          <cell r="E327" t="str">
            <v>INT</v>
          </cell>
          <cell r="F327">
            <v>56484379.56327042</v>
          </cell>
          <cell r="G327">
            <v>12817923.649069332</v>
          </cell>
          <cell r="H327">
            <v>698315.77623742772</v>
          </cell>
          <cell r="I327">
            <v>365003.38321187446</v>
          </cell>
          <cell r="J327">
            <v>51457.72729615961</v>
          </cell>
          <cell r="K327">
            <v>957269.90237046161</v>
          </cell>
          <cell r="L327">
            <v>17856.494896059092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D328" t="str">
            <v>DIST-MtrHReg-C%</v>
          </cell>
          <cell r="E328">
            <v>71392206.496351749</v>
          </cell>
          <cell r="F328">
            <v>0.79118411287871959</v>
          </cell>
          <cell r="G328">
            <v>0.17954233771615319</v>
          </cell>
          <cell r="H328">
            <v>9.781400666935721E-3</v>
          </cell>
          <cell r="I328">
            <v>5.11265026148935E-3</v>
          </cell>
          <cell r="J328">
            <v>7.2077513529140156E-4</v>
          </cell>
          <cell r="K328">
            <v>1.3408605075392642E-2</v>
          </cell>
          <cell r="L328">
            <v>2.5011826601789632E-4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30">
          <cell r="D330" t="str">
            <v>DISTPT-C_xMSM</v>
          </cell>
          <cell r="E330" t="str">
            <v>INT</v>
          </cell>
          <cell r="F330">
            <v>322225.72843320941</v>
          </cell>
          <cell r="G330">
            <v>75640.212568703661</v>
          </cell>
          <cell r="H330">
            <v>3585.3000711173754</v>
          </cell>
          <cell r="I330">
            <v>934.97264996837339</v>
          </cell>
          <cell r="J330">
            <v>568.52527216680562</v>
          </cell>
          <cell r="K330">
            <v>10373.255163716365</v>
          </cell>
          <cell r="L330">
            <v>3342.7943455823342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D331" t="str">
            <v>DISTPT-C_xMSM%</v>
          </cell>
          <cell r="E331">
            <v>416670.78850446426</v>
          </cell>
          <cell r="F331">
            <v>0.77333409810118481</v>
          </cell>
          <cell r="G331">
            <v>0.18153471434893556</v>
          </cell>
          <cell r="H331">
            <v>8.6046350500977396E-3</v>
          </cell>
          <cell r="I331">
            <v>2.2439121622233808E-3</v>
          </cell>
          <cell r="J331">
            <v>1.3644471555286732E-3</v>
          </cell>
          <cell r="K331">
            <v>2.4895566115754296E-2</v>
          </cell>
          <cell r="L331">
            <v>8.022627066275656E-3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3">
          <cell r="D333" t="str">
            <v>SUPPL/P-D</v>
          </cell>
          <cell r="E333" t="str">
            <v>INT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D334" t="str">
            <v>SUPPL/P-D%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6">
          <cell r="D336" t="str">
            <v>STORL/P-D</v>
          </cell>
          <cell r="E336" t="str">
            <v>INT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D337" t="str">
            <v>STORL/P-D%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9">
          <cell r="D339" t="str">
            <v>TRANL/P-D</v>
          </cell>
          <cell r="E339" t="str">
            <v>INT</v>
          </cell>
          <cell r="F339">
            <v>285.66126202217873</v>
          </cell>
          <cell r="G339">
            <v>186.11960714665207</v>
          </cell>
          <cell r="H339">
            <v>23.085213275974695</v>
          </cell>
          <cell r="I339">
            <v>16.000667558723464</v>
          </cell>
          <cell r="J339">
            <v>4.2279545700877676</v>
          </cell>
          <cell r="K339">
            <v>303.56663668400108</v>
          </cell>
          <cell r="L339">
            <v>286.52098474662591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D340" t="str">
            <v>TRANL/P-D%</v>
          </cell>
          <cell r="E340">
            <v>1105.1823260042438</v>
          </cell>
          <cell r="F340">
            <v>0.25847433070611903</v>
          </cell>
          <cell r="G340">
            <v>0.16840624643316762</v>
          </cell>
          <cell r="H340">
            <v>2.0888149161268844E-2</v>
          </cell>
          <cell r="I340">
            <v>1.4477853275643156E-2</v>
          </cell>
          <cell r="J340">
            <v>3.8255720079905914E-3</v>
          </cell>
          <cell r="K340">
            <v>0.27467561644922234</v>
          </cell>
          <cell r="L340">
            <v>0.25925223196658836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2">
          <cell r="D342" t="str">
            <v>DISTL/P-D</v>
          </cell>
          <cell r="E342" t="str">
            <v>INT</v>
          </cell>
          <cell r="F342">
            <v>781395.78696783248</v>
          </cell>
          <cell r="G342">
            <v>511204.66359709116</v>
          </cell>
          <cell r="H342">
            <v>48942.079556710341</v>
          </cell>
          <cell r="I342">
            <v>33762.098751750156</v>
          </cell>
          <cell r="J342">
            <v>3985.3933555725871</v>
          </cell>
          <cell r="K342">
            <v>287396.8908331662</v>
          </cell>
          <cell r="L342">
            <v>114957.35039238085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D343" t="str">
            <v>DISTL/P-D%</v>
          </cell>
          <cell r="E343">
            <v>1781644.2634545038</v>
          </cell>
          <cell r="F343">
            <v>0.43858126057822105</v>
          </cell>
          <cell r="G343">
            <v>0.28692858281702954</v>
          </cell>
          <cell r="H343">
            <v>2.7470174916857149E-2</v>
          </cell>
          <cell r="I343">
            <v>1.8949966300392328E-2</v>
          </cell>
          <cell r="J343">
            <v>2.2369186920879161E-3</v>
          </cell>
          <cell r="K343">
            <v>0.16130991844349471</v>
          </cell>
          <cell r="L343">
            <v>6.4523178251917293E-2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5">
          <cell r="D345" t="str">
            <v>BBAL/P-D</v>
          </cell>
          <cell r="E345" t="str">
            <v>INT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D346" t="str">
            <v>BBAL/P-D%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8">
          <cell r="D348" t="str">
            <v>MAINSPT-E</v>
          </cell>
          <cell r="E348" t="str">
            <v>INT</v>
          </cell>
          <cell r="F348">
            <v>49385509.055228949</v>
          </cell>
          <cell r="G348">
            <v>33424133.625035148</v>
          </cell>
          <cell r="H348">
            <v>4691490.7780527193</v>
          </cell>
          <cell r="I348">
            <v>4563876.3330057627</v>
          </cell>
          <cell r="J348">
            <v>638935.59898256068</v>
          </cell>
          <cell r="K348">
            <v>64096429.978509136</v>
          </cell>
          <cell r="L348">
            <v>12497850.944606975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D349" t="str">
            <v>MAINSPT-E%</v>
          </cell>
          <cell r="E349">
            <v>169298226.31342125</v>
          </cell>
          <cell r="F349">
            <v>0.29170718518811722</v>
          </cell>
          <cell r="G349">
            <v>0.19742754754652397</v>
          </cell>
          <cell r="H349">
            <v>2.7711399464796387E-2</v>
          </cell>
          <cell r="I349">
            <v>2.6957614573921602E-2</v>
          </cell>
          <cell r="J349">
            <v>3.7740241755380315E-3</v>
          </cell>
          <cell r="K349">
            <v>0.37860071764631265</v>
          </cell>
          <cell r="L349">
            <v>7.382151140479018E-2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1">
          <cell r="D351" t="str">
            <v>MAINSPT-D</v>
          </cell>
          <cell r="E351" t="str">
            <v>INT</v>
          </cell>
          <cell r="F351">
            <v>69784354.851315588</v>
          </cell>
          <cell r="G351">
            <v>45467266.432859957</v>
          </cell>
          <cell r="H351">
            <v>5639500.0976500725</v>
          </cell>
          <cell r="I351">
            <v>3908812.3285305649</v>
          </cell>
          <cell r="J351">
            <v>450260.53980288026</v>
          </cell>
          <cell r="K351">
            <v>32357539.193688352</v>
          </cell>
          <cell r="L351">
            <v>12241675.435648018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D352" t="str">
            <v>MAINSPT-D%</v>
          </cell>
          <cell r="E352">
            <v>169849408.87949544</v>
          </cell>
          <cell r="F352">
            <v>0.41086015731044501</v>
          </cell>
          <cell r="G352">
            <v>0.26769163774433868</v>
          </cell>
          <cell r="H352">
            <v>3.3202942152428555E-2</v>
          </cell>
          <cell r="I352">
            <v>2.3013399659835052E-2</v>
          </cell>
          <cell r="J352">
            <v>2.6509396928330233E-3</v>
          </cell>
          <cell r="K352">
            <v>0.1905072228814487</v>
          </cell>
          <cell r="L352">
            <v>7.2073700558670933E-2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4">
          <cell r="D354" t="str">
            <v>DISTMAIN-SERVICE-D</v>
          </cell>
          <cell r="E354" t="str">
            <v>INT</v>
          </cell>
          <cell r="F354">
            <v>69784354.851315588</v>
          </cell>
          <cell r="G354">
            <v>45467266.432859957</v>
          </cell>
          <cell r="H354">
            <v>5639500.0976500725</v>
          </cell>
          <cell r="I354">
            <v>3908812.3285305649</v>
          </cell>
          <cell r="J354">
            <v>450260.53980288026</v>
          </cell>
          <cell r="K354">
            <v>32357539.193688352</v>
          </cell>
          <cell r="L354">
            <v>12241675.435648018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D355" t="str">
            <v>DISTMAIN-SERVICE-D%</v>
          </cell>
          <cell r="E355">
            <v>169849408.87949544</v>
          </cell>
          <cell r="F355">
            <v>0.41086015731044501</v>
          </cell>
          <cell r="G355">
            <v>0.26769163774433868</v>
          </cell>
          <cell r="H355">
            <v>3.3202942152428555E-2</v>
          </cell>
          <cell r="I355">
            <v>2.3013399659835052E-2</v>
          </cell>
          <cell r="J355">
            <v>2.6509396928330233E-3</v>
          </cell>
          <cell r="K355">
            <v>0.1905072228814487</v>
          </cell>
          <cell r="L355">
            <v>7.2073700558670933E-2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7">
          <cell r="D357" t="str">
            <v>BBAMAIN-SERVICE-D</v>
          </cell>
          <cell r="E357" t="str">
            <v>INT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D358" t="str">
            <v>BBAMAIN-SERVICE-D%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60">
          <cell r="D360" t="str">
            <v>DISTMETER-REG-D</v>
          </cell>
          <cell r="E360" t="str">
            <v>INT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D361" t="str">
            <v>DISTMETER-REG-D%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3">
          <cell r="D363" t="str">
            <v>BBAMETER-REG-D</v>
          </cell>
          <cell r="E363" t="str">
            <v>INT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D364" t="str">
            <v>BBAMETER-REG-D%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6">
          <cell r="D366" t="str">
            <v>SUPPPT-COM</v>
          </cell>
          <cell r="E366" t="str">
            <v>INT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D367" t="str">
            <v>SUPPPT-COM%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9">
          <cell r="D369" t="str">
            <v>STORPT-COM</v>
          </cell>
          <cell r="E369" t="str">
            <v>INT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D370" t="str">
            <v>STORPT-COM%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2">
          <cell r="D372" t="str">
            <v>SUPPL/P-E</v>
          </cell>
          <cell r="E372" t="str">
            <v>INT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D373" t="str">
            <v>SUPPL/P-E%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5">
          <cell r="D375" t="str">
            <v>STORL/P-E</v>
          </cell>
          <cell r="E375" t="str">
            <v>INT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D376" t="str">
            <v>STORL/P-E%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8">
          <cell r="D378" t="str">
            <v>TRANL/P-E</v>
          </cell>
          <cell r="E378" t="str">
            <v>INT</v>
          </cell>
          <cell r="F378">
            <v>184.29752622696299</v>
          </cell>
          <cell r="G378">
            <v>124.73264447845577</v>
          </cell>
          <cell r="H378">
            <v>17.507770219494759</v>
          </cell>
          <cell r="I378">
            <v>17.031536867183277</v>
          </cell>
          <cell r="J378">
            <v>5.901928302734273</v>
          </cell>
          <cell r="K378">
            <v>672.55195113082209</v>
          </cell>
          <cell r="L378">
            <v>481.1023498249466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D379" t="str">
            <v>TRANL/P-E%</v>
          </cell>
          <cell r="E379">
            <v>1503.1257070505999</v>
          </cell>
          <cell r="F379">
            <v>0.12260952318391755</v>
          </cell>
          <cell r="G379">
            <v>8.2982177667098395E-2</v>
          </cell>
          <cell r="H379">
            <v>1.1647575540337287E-2</v>
          </cell>
          <cell r="I379">
            <v>1.1330746847914791E-2</v>
          </cell>
          <cell r="J379">
            <v>3.9264369407365843E-3</v>
          </cell>
          <cell r="K379">
            <v>0.44743559901619184</v>
          </cell>
          <cell r="L379">
            <v>0.32006794080380346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1">
          <cell r="D381" t="str">
            <v>DISTL/P-E</v>
          </cell>
          <cell r="E381" t="str">
            <v>INT</v>
          </cell>
          <cell r="F381">
            <v>727483.64745162393</v>
          </cell>
          <cell r="G381">
            <v>494448.11143048364</v>
          </cell>
          <cell r="H381">
            <v>52650.994199212946</v>
          </cell>
          <cell r="I381">
            <v>50944.516545876126</v>
          </cell>
          <cell r="J381">
            <v>12540.194859775058</v>
          </cell>
          <cell r="K381">
            <v>798125.15696899267</v>
          </cell>
          <cell r="L381">
            <v>152128.99339227984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D382" t="str">
            <v>DISTL/P-E%</v>
          </cell>
          <cell r="E382">
            <v>2288321.6148482445</v>
          </cell>
          <cell r="F382">
            <v>0.31791145210148652</v>
          </cell>
          <cell r="G382">
            <v>0.21607457108395758</v>
          </cell>
          <cell r="H382">
            <v>2.3008563943798879E-2</v>
          </cell>
          <cell r="I382">
            <v>2.2262830633295677E-2</v>
          </cell>
          <cell r="J382">
            <v>5.4800840836381698E-3</v>
          </cell>
          <cell r="K382">
            <v>0.34878189839670865</v>
          </cell>
          <cell r="L382">
            <v>6.64805997571144E-2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4">
          <cell r="D384" t="str">
            <v>BBAL/P-E</v>
          </cell>
          <cell r="E384" t="str">
            <v>INT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D385" t="str">
            <v>BBAL/P-E%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7">
          <cell r="D387" t="str">
            <v>DISTMAIN-SERVICE-E</v>
          </cell>
          <cell r="E387" t="str">
            <v>INT</v>
          </cell>
          <cell r="F387">
            <v>11780730.514283564</v>
          </cell>
          <cell r="G387">
            <v>7973203.4445487084</v>
          </cell>
          <cell r="H387">
            <v>1119137.7718649576</v>
          </cell>
          <cell r="I387">
            <v>1088695.8180289292</v>
          </cell>
          <cell r="J387">
            <v>377265.11186867603</v>
          </cell>
          <cell r="K387">
            <v>37695696.556430012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D388" t="str">
            <v>DISTMAIN-SERVICE-E%</v>
          </cell>
          <cell r="E388">
            <v>60034729.217024848</v>
          </cell>
          <cell r="F388">
            <v>0.19623192555256408</v>
          </cell>
          <cell r="G388">
            <v>0.13280985104014828</v>
          </cell>
          <cell r="H388">
            <v>1.8641506115889814E-2</v>
          </cell>
          <cell r="I388">
            <v>1.813443372240935E-2</v>
          </cell>
          <cell r="J388">
            <v>6.2841144915448365E-3</v>
          </cell>
          <cell r="K388">
            <v>0.62789816907744367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90">
          <cell r="D390" t="str">
            <v>SUPPGENPTXL-D</v>
          </cell>
          <cell r="E390" t="str">
            <v>INT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D391" t="str">
            <v>SUPPGENPTXL-D%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3">
          <cell r="D393" t="str">
            <v>SUPPGENPTXL-E</v>
          </cell>
          <cell r="E393" t="str">
            <v>INT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D394" t="str">
            <v>SUPPGENPTXL-E%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6">
          <cell r="D396" t="str">
            <v>SUPPGENPTXL-C</v>
          </cell>
          <cell r="E396" t="str">
            <v>INT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D397" t="str">
            <v>SUPPGENPTXL-C%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9">
          <cell r="D399" t="str">
            <v>STORGENPTXL-D</v>
          </cell>
          <cell r="E399" t="str">
            <v>INT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D400" t="str">
            <v>STORGENPTXL-D%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2">
          <cell r="D402" t="str">
            <v>STORGENPTXL-E</v>
          </cell>
          <cell r="E402" t="str">
            <v>INT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D403" t="str">
            <v>STORGENPTXL-E%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5">
          <cell r="D405" t="str">
            <v>STORGENPTXL-C</v>
          </cell>
          <cell r="E405" t="str">
            <v>INT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D406" t="str">
            <v>STORGENPTXL-C%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8">
          <cell r="D408" t="str">
            <v>TRANGENPTXL-D</v>
          </cell>
          <cell r="E408" t="str">
            <v>INT</v>
          </cell>
          <cell r="F408">
            <v>135022.32875862232</v>
          </cell>
          <cell r="G408">
            <v>87972.385918500077</v>
          </cell>
          <cell r="H408">
            <v>10911.592402646324</v>
          </cell>
          <cell r="I408">
            <v>7562.9694421207341</v>
          </cell>
          <cell r="J408">
            <v>1998.4098225211499</v>
          </cell>
          <cell r="K408">
            <v>143485.5882395216</v>
          </cell>
          <cell r="L408">
            <v>135428.690347589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D409" t="str">
            <v>TRANGENPTXL-D%</v>
          </cell>
          <cell r="E409">
            <v>522381.96493152122</v>
          </cell>
          <cell r="F409">
            <v>0.25847433070611908</v>
          </cell>
          <cell r="G409">
            <v>0.16840624643316759</v>
          </cell>
          <cell r="H409">
            <v>2.088814916126884E-2</v>
          </cell>
          <cell r="I409">
            <v>1.4477853275643158E-2</v>
          </cell>
          <cell r="J409">
            <v>3.8255720079905906E-3</v>
          </cell>
          <cell r="K409">
            <v>0.27467561644922228</v>
          </cell>
          <cell r="L409">
            <v>0.25925223196658842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1">
          <cell r="D411" t="str">
            <v>TRANGENPTXL-E</v>
          </cell>
          <cell r="E411" t="str">
            <v>INT</v>
          </cell>
          <cell r="F411">
            <v>87111.150456535455</v>
          </cell>
          <cell r="G411">
            <v>58956.863841044076</v>
          </cell>
          <cell r="H411">
            <v>8275.3254315018112</v>
          </cell>
          <cell r="I411">
            <v>8050.2261800092174</v>
          </cell>
          <cell r="J411">
            <v>2789.6400721625805</v>
          </cell>
          <cell r="K411">
            <v>317892.35267674585</v>
          </cell>
          <cell r="L411">
            <v>227400.66043524724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D412" t="str">
            <v>TRANGENPTXL-E%</v>
          </cell>
          <cell r="E412">
            <v>710476.21909324627</v>
          </cell>
          <cell r="F412">
            <v>0.12260952318391755</v>
          </cell>
          <cell r="G412">
            <v>8.2982177667098381E-2</v>
          </cell>
          <cell r="H412">
            <v>1.1647575540337287E-2</v>
          </cell>
          <cell r="I412">
            <v>1.133074684791479E-2</v>
          </cell>
          <cell r="J412">
            <v>3.9264369407365834E-3</v>
          </cell>
          <cell r="K412">
            <v>0.4474355990161919</v>
          </cell>
          <cell r="L412">
            <v>0.32006794080380346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4">
          <cell r="D414" t="str">
            <v>TRANGENPTXL-C</v>
          </cell>
          <cell r="E414" t="str">
            <v>INT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D415" t="str">
            <v>TRANGENPTXL-C%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7">
          <cell r="D417" t="str">
            <v>DISTGENPTXL-D</v>
          </cell>
          <cell r="E417" t="str">
            <v>INT</v>
          </cell>
          <cell r="F417">
            <v>5034165.4855220933</v>
          </cell>
          <cell r="G417">
            <v>3279957.8628335739</v>
          </cell>
          <cell r="H417">
            <v>406827.24383821187</v>
          </cell>
          <cell r="I417">
            <v>281977.35947545047</v>
          </cell>
          <cell r="J417">
            <v>34137.969338843221</v>
          </cell>
          <cell r="K417">
            <v>2453103.8007020159</v>
          </cell>
          <cell r="L417">
            <v>1018315.1204659181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D418" t="str">
            <v>DISTGENPTXL-D%</v>
          </cell>
          <cell r="E418">
            <v>12508484.842176108</v>
          </cell>
          <cell r="F418">
            <v>0.40246005403851109</v>
          </cell>
          <cell r="G418">
            <v>0.26221863832573972</v>
          </cell>
          <cell r="H418">
            <v>3.2524102556887771E-2</v>
          </cell>
          <cell r="I418">
            <v>2.2542886931011759E-2</v>
          </cell>
          <cell r="J418">
            <v>2.7291850107805881E-3</v>
          </cell>
          <cell r="K418">
            <v>0.19611518354570337</v>
          </cell>
          <cell r="L418">
            <v>8.1409949591365632E-2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20">
          <cell r="D420" t="str">
            <v>DISTGENPTXL-E</v>
          </cell>
          <cell r="E420" t="str">
            <v>INT</v>
          </cell>
          <cell r="F420">
            <v>3515033.6331392499</v>
          </cell>
          <cell r="G420">
            <v>2378976.2644574689</v>
          </cell>
          <cell r="H420">
            <v>333918.75855680578</v>
          </cell>
          <cell r="I420">
            <v>324835.7486821317</v>
          </cell>
          <cell r="J420">
            <v>47248.711477639343</v>
          </cell>
          <cell r="K420">
            <v>4780423.3520251261</v>
          </cell>
          <cell r="L420">
            <v>1087456.7767370846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D421" t="str">
            <v>DISTGENPTXL-E%</v>
          </cell>
          <cell r="E421">
            <v>12467893.245075507</v>
          </cell>
          <cell r="F421">
            <v>0.28192683110497407</v>
          </cell>
          <cell r="G421">
            <v>0.19080819972509008</v>
          </cell>
          <cell r="H421">
            <v>2.6782292083604019E-2</v>
          </cell>
          <cell r="I421">
            <v>2.6053780081124238E-2</v>
          </cell>
          <cell r="J421">
            <v>3.7896307378394783E-3</v>
          </cell>
          <cell r="K421">
            <v>0.38341869456680411</v>
          </cell>
          <cell r="L421">
            <v>8.7220571700563909E-2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3">
          <cell r="D423" t="str">
            <v>DISTGENPTXL-C</v>
          </cell>
          <cell r="E423" t="str">
            <v>INT</v>
          </cell>
          <cell r="F423">
            <v>13900270.994761221</v>
          </cell>
          <cell r="G423">
            <v>3262990.3822973645</v>
          </cell>
          <cell r="H423">
            <v>154663.75955884691</v>
          </cell>
          <cell r="I423">
            <v>40333.13314378709</v>
          </cell>
          <cell r="J423">
            <v>29525.215254892446</v>
          </cell>
          <cell r="K423">
            <v>543401.28738450422</v>
          </cell>
          <cell r="L423">
            <v>149785.80750969728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D424" t="str">
            <v>DISTGENPTXL-C%</v>
          </cell>
          <cell r="E424">
            <v>18080970.579910308</v>
          </cell>
          <cell r="F424">
            <v>0.7687790283894248</v>
          </cell>
          <cell r="G424">
            <v>0.18046544392494393</v>
          </cell>
          <cell r="H424">
            <v>8.55395228233451E-3</v>
          </cell>
          <cell r="I424">
            <v>2.2306951369414356E-3</v>
          </cell>
          <cell r="J424">
            <v>1.6329441566426634E-3</v>
          </cell>
          <cell r="K424">
            <v>3.0053767577514625E-2</v>
          </cell>
          <cell r="L424">
            <v>8.284168532198358E-3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6">
          <cell r="D426" t="str">
            <v>BBAGENPTXL-D</v>
          </cell>
          <cell r="E426" t="str">
            <v>INT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D427" t="str">
            <v>BBAGENPTXL-D%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9">
          <cell r="D429" t="str">
            <v>BBAGENPTXL-E</v>
          </cell>
          <cell r="E429" t="str">
            <v>INT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D430" t="str">
            <v>BBAGENPTXL-E%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2">
          <cell r="D432" t="str">
            <v>BBAGENPTXL-C</v>
          </cell>
          <cell r="E432" t="str">
            <v>INT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D433" t="str">
            <v>BBAGENPTXL-C%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5">
          <cell r="D435" t="str">
            <v>COMMPTGENPTXL-D</v>
          </cell>
          <cell r="E435" t="str">
            <v>INT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D436" t="str">
            <v>COMMPTGENPTXL-D%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8">
          <cell r="D438" t="str">
            <v>COMMPTGENPTXL-E</v>
          </cell>
          <cell r="E438" t="str">
            <v>INT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D439" t="str">
            <v>COMMPTGENPTXL-E%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1">
          <cell r="D441" t="str">
            <v>COMMCOLLGENPTXL-C</v>
          </cell>
          <cell r="E441" t="str">
            <v>INT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D442" t="str">
            <v>COMMCOLLGENPTXL-C%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4">
          <cell r="D444" t="str">
            <v>SUPPLABOR-D</v>
          </cell>
          <cell r="E444" t="str">
            <v>INT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D445" t="str">
            <v>SUPPLABOR-D%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7">
          <cell r="D447" t="str">
            <v>SUPPLABOR-E</v>
          </cell>
          <cell r="E447" t="str">
            <v>INT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D448" t="str">
            <v>SUPPLABOR-E%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50">
          <cell r="D450" t="str">
            <v>SUPPLABOR-C</v>
          </cell>
          <cell r="E450" t="str">
            <v>INT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D451" t="str">
            <v>SUPPLABOR-C%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3">
          <cell r="D453" t="str">
            <v>STORLABOR-D</v>
          </cell>
          <cell r="E453" t="str">
            <v>INT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D454" t="str">
            <v>STORLABOR-D%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6">
          <cell r="D456" t="str">
            <v>STORLABOR-E</v>
          </cell>
          <cell r="E456" t="str">
            <v>INT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D457" t="str">
            <v>STORLABOR-E%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9">
          <cell r="D459" t="str">
            <v>STORLABOR-C</v>
          </cell>
          <cell r="E459" t="str">
            <v>INT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D460" t="str">
            <v>STORLABOR-C%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2">
          <cell r="D462" t="str">
            <v>TRANLABOR-D</v>
          </cell>
          <cell r="E462" t="str">
            <v>INT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D463" t="str">
            <v>TRANLABOR-D%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5">
          <cell r="D465" t="str">
            <v>TRANLABOR-E</v>
          </cell>
          <cell r="E465" t="str">
            <v>INT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D466" t="str">
            <v>TRANLABOR-E%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8">
          <cell r="D468" t="str">
            <v>TRANLABOR-C</v>
          </cell>
          <cell r="E468" t="str">
            <v>INT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D469" t="str">
            <v>TRANLABOR-C%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1">
          <cell r="D471" t="str">
            <v>DISTLABOR-D</v>
          </cell>
          <cell r="E471" t="str">
            <v>INT</v>
          </cell>
          <cell r="F471">
            <v>749733.94723861839</v>
          </cell>
          <cell r="G471">
            <v>490518.62741072814</v>
          </cell>
          <cell r="H471">
            <v>46770.626952331106</v>
          </cell>
          <cell r="I471">
            <v>32261.406238275806</v>
          </cell>
          <cell r="J471">
            <v>3806.4922648921079</v>
          </cell>
          <cell r="K471">
            <v>274513.72392093379</v>
          </cell>
          <cell r="L471">
            <v>109727.82506028729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D472" t="str">
            <v>DISTLABOR-D%</v>
          </cell>
          <cell r="E472">
            <v>1707332.6490860668</v>
          </cell>
          <cell r="F472">
            <v>0.43912587722137814</v>
          </cell>
          <cell r="G472">
            <v>0.28730114642468896</v>
          </cell>
          <cell r="H472">
            <v>2.73939744415755E-2</v>
          </cell>
          <cell r="I472">
            <v>1.8895794123977714E-2</v>
          </cell>
          <cell r="J472">
            <v>2.2294965582305938E-3</v>
          </cell>
          <cell r="K472">
            <v>0.16078514287645157</v>
          </cell>
          <cell r="L472">
            <v>6.4268568353697486E-2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4">
          <cell r="D474" t="str">
            <v>DISTLABOR-E</v>
          </cell>
          <cell r="E474" t="str">
            <v>INT</v>
          </cell>
          <cell r="F474">
            <v>700417.85461281845</v>
          </cell>
          <cell r="G474">
            <v>476073.08123251382</v>
          </cell>
          <cell r="H474">
            <v>50528.477525678805</v>
          </cell>
          <cell r="I474">
            <v>48887.212797805594</v>
          </cell>
          <cell r="J474">
            <v>12101.099898781049</v>
          </cell>
          <cell r="K474">
            <v>766529.45580453612</v>
          </cell>
          <cell r="L474">
            <v>145743.84064966103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D475" t="str">
            <v>DISTLABOR-E%</v>
          </cell>
          <cell r="E475">
            <v>2200281.0225217948</v>
          </cell>
          <cell r="F475">
            <v>0.31833108927606563</v>
          </cell>
          <cell r="G475">
            <v>0.21636921664073394</v>
          </cell>
          <cell r="H475">
            <v>2.2964556349155302E-2</v>
          </cell>
          <cell r="I475">
            <v>2.2218622211164094E-2</v>
          </cell>
          <cell r="J475">
            <v>5.4997974235635088E-3</v>
          </cell>
          <cell r="K475">
            <v>0.34837797897561212</v>
          </cell>
          <cell r="L475">
            <v>6.623873912370544E-2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7">
          <cell r="D477" t="str">
            <v>DISTLABOR-C</v>
          </cell>
          <cell r="E477" t="str">
            <v>INT</v>
          </cell>
          <cell r="F477">
            <v>8525188.7195625864</v>
          </cell>
          <cell r="G477">
            <v>1818810.7146673924</v>
          </cell>
          <cell r="H477">
            <v>98050.266876028196</v>
          </cell>
          <cell r="I477">
            <v>42933.701854619183</v>
          </cell>
          <cell r="J477">
            <v>14017.980087261385</v>
          </cell>
          <cell r="K477">
            <v>243600.06120026851</v>
          </cell>
          <cell r="L477">
            <v>72161.114143981365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D478" t="str">
            <v>DISTLABOR-C%</v>
          </cell>
          <cell r="E478">
            <v>10814762.558392137</v>
          </cell>
          <cell r="F478">
            <v>0.78829180701217827</v>
          </cell>
          <cell r="G478">
            <v>0.16817851569529052</v>
          </cell>
          <cell r="H478">
            <v>9.0663356080751181E-3</v>
          </cell>
          <cell r="I478">
            <v>3.9699162716525013E-3</v>
          </cell>
          <cell r="J478">
            <v>1.296189353356037E-3</v>
          </cell>
          <cell r="K478">
            <v>2.252477203128584E-2</v>
          </cell>
          <cell r="L478">
            <v>6.6724640281616843E-3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80">
          <cell r="D480" t="str">
            <v>BBALABOR-D</v>
          </cell>
          <cell r="E480" t="str">
            <v>INT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D481" t="str">
            <v>BBALABOR-D%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3">
          <cell r="D483" t="str">
            <v>BBALABOR-E</v>
          </cell>
          <cell r="E483" t="str">
            <v>INT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D484" t="str">
            <v>BBALABOR-E%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6">
          <cell r="D486" t="str">
            <v>BBALABOR-C</v>
          </cell>
          <cell r="E486" t="str">
            <v>INT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D487" t="str">
            <v>BBALABOR-C%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9">
          <cell r="D489" t="str">
            <v>GatherPTLABOR-D</v>
          </cell>
          <cell r="E489" t="str">
            <v>INT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D490" t="str">
            <v>GatherPTLABOR-D%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2">
          <cell r="D492" t="str">
            <v>GatherPTLABOR-E</v>
          </cell>
          <cell r="E492" t="str">
            <v>INT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D493" t="str">
            <v>GatherPTLABOR-E%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5">
          <cell r="D495" t="str">
            <v>COMMCOLLLABOR-C</v>
          </cell>
          <cell r="E495" t="str">
            <v>INT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D496" t="str">
            <v>COMMCOLLLABOR-C%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8">
          <cell r="D498" t="str">
            <v>FUNC8LABOR-C</v>
          </cell>
          <cell r="E498" t="str">
            <v>INT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D499" t="str">
            <v>FUNC8LABOR-C%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1">
          <cell r="D501" t="str">
            <v>Income_BeforeTax</v>
          </cell>
          <cell r="E501" t="str">
            <v>INT</v>
          </cell>
          <cell r="F501">
            <v>3585512.9539656863</v>
          </cell>
          <cell r="G501">
            <v>10632303.543703996</v>
          </cell>
          <cell r="H501">
            <v>1129627.5225752573</v>
          </cell>
          <cell r="I501">
            <v>950468.42661790061</v>
          </cell>
          <cell r="J501">
            <v>101535.90440216752</v>
          </cell>
          <cell r="K501">
            <v>5422102.1284934664</v>
          </cell>
          <cell r="L501">
            <v>3358766.7129049618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</row>
        <row r="502">
          <cell r="D502" t="str">
            <v>Income_BeforeTax%</v>
          </cell>
          <cell r="E502">
            <v>25180317.192663431</v>
          </cell>
          <cell r="F502">
            <v>0.14239347846699746</v>
          </cell>
          <cell r="G502">
            <v>0.42224660882357101</v>
          </cell>
          <cell r="H502">
            <v>4.4861528706413079E-2</v>
          </cell>
          <cell r="I502">
            <v>3.7746483467445371E-2</v>
          </cell>
          <cell r="J502">
            <v>4.0323520798122093E-3</v>
          </cell>
          <cell r="K502">
            <v>0.21533097009886981</v>
          </cell>
          <cell r="L502">
            <v>0.13338857835689125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</row>
        <row r="504">
          <cell r="D504" t="str">
            <v>SUPP_PreTax-D</v>
          </cell>
          <cell r="E504" t="str">
            <v>INT</v>
          </cell>
          <cell r="F504">
            <v>-78791.031787981177</v>
          </cell>
          <cell r="G504">
            <v>-55852.761749707941</v>
          </cell>
          <cell r="H504">
            <v>-7996.7665045617832</v>
          </cell>
          <cell r="I504">
            <v>-7623.6946027485346</v>
          </cell>
          <cell r="J504">
            <v>-2846.6552841577927</v>
          </cell>
          <cell r="K504">
            <v>-38324.000662367274</v>
          </cell>
          <cell r="L504">
            <v>-30928.264516721858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</row>
        <row r="505">
          <cell r="D505" t="str">
            <v>SUPP_PreTax-D%</v>
          </cell>
          <cell r="E505">
            <v>-222363.17510824633</v>
          </cell>
          <cell r="F505">
            <v>0.35433489268007495</v>
          </cell>
          <cell r="G505">
            <v>0.25117810861676548</v>
          </cell>
          <cell r="H505">
            <v>3.5962638600878762E-2</v>
          </cell>
          <cell r="I505">
            <v>3.4284879225336309E-2</v>
          </cell>
          <cell r="J505">
            <v>1.2801828732532002E-2</v>
          </cell>
          <cell r="K505">
            <v>0.17234868428061959</v>
          </cell>
          <cell r="L505">
            <v>0.13908896786379304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</row>
        <row r="507">
          <cell r="D507" t="str">
            <v>SUPP_PreTax-E</v>
          </cell>
          <cell r="E507" t="str">
            <v>INT</v>
          </cell>
          <cell r="F507">
            <v>-54640092.170642138</v>
          </cell>
          <cell r="G507">
            <v>-36824097.723435938</v>
          </cell>
          <cell r="H507">
            <v>-5038030.307500313</v>
          </cell>
          <cell r="I507">
            <v>-4903529.4266715469</v>
          </cell>
          <cell r="J507">
            <v>-1654974.8289467169</v>
          </cell>
          <cell r="K507">
            <v>-125557.62250091319</v>
          </cell>
          <cell r="L507">
            <v>-98680.426196515968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</row>
        <row r="508">
          <cell r="D508" t="str">
            <v>SUPP_PreTax-E%</v>
          </cell>
          <cell r="E508">
            <v>-103284962.50589408</v>
          </cell>
          <cell r="F508">
            <v>0.52902272358886737</v>
          </cell>
          <cell r="G508">
            <v>0.35652912902335154</v>
          </cell>
          <cell r="H508">
            <v>4.8777965206821004E-2</v>
          </cell>
          <cell r="I508">
            <v>4.7475734198884192E-2</v>
          </cell>
          <cell r="J508">
            <v>1.6023386065055441E-2</v>
          </cell>
          <cell r="K508">
            <v>1.2156428143520709E-3</v>
          </cell>
          <cell r="L508">
            <v>9.5541910266835461E-4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</row>
        <row r="510">
          <cell r="D510" t="str">
            <v>SUPP_PreTax-C</v>
          </cell>
          <cell r="E510" t="str">
            <v>INT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</row>
        <row r="511">
          <cell r="D511" t="str">
            <v>SUPP_PreTax-C%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</row>
        <row r="513">
          <cell r="D513" t="str">
            <v>STOR_PreTax-D</v>
          </cell>
          <cell r="E513" t="str">
            <v>INT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</row>
        <row r="514">
          <cell r="D514" t="str">
            <v>STOR_PreTax-D%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</row>
        <row r="516">
          <cell r="D516" t="str">
            <v>STOR_PreTax-E</v>
          </cell>
          <cell r="E516" t="str">
            <v>INT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</row>
        <row r="517">
          <cell r="D517" t="str">
            <v>STOR_PreTax-E%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</row>
        <row r="519">
          <cell r="D519" t="str">
            <v>STOR_PreTax-C</v>
          </cell>
          <cell r="E519" t="str">
            <v>INT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</row>
        <row r="520">
          <cell r="D520" t="str">
            <v>STOR_PreTax-C%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</row>
        <row r="522">
          <cell r="D522" t="str">
            <v>TRAN_PreTax-D</v>
          </cell>
          <cell r="E522" t="str">
            <v>INT</v>
          </cell>
          <cell r="F522">
            <v>171667.74126540328</v>
          </cell>
          <cell r="G522">
            <v>81201.917835356959</v>
          </cell>
          <cell r="H522">
            <v>6146.100418933438</v>
          </cell>
          <cell r="I522">
            <v>4720.784670980699</v>
          </cell>
          <cell r="J522">
            <v>226.72612418516928</v>
          </cell>
          <cell r="K522">
            <v>20420.159019639563</v>
          </cell>
          <cell r="L522">
            <v>-14319.252802514919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</row>
        <row r="523">
          <cell r="D523" t="str">
            <v>TRAN_PreTax-D%</v>
          </cell>
          <cell r="E523">
            <v>270064.17653198418</v>
          </cell>
          <cell r="F523">
            <v>0.63565535966252962</v>
          </cell>
          <cell r="G523">
            <v>0.30067637580854811</v>
          </cell>
          <cell r="H523">
            <v>2.2757925534064843E-2</v>
          </cell>
          <cell r="I523">
            <v>1.7480232778750677E-2</v>
          </cell>
          <cell r="J523">
            <v>8.3952683801554742E-4</v>
          </cell>
          <cell r="K523">
            <v>7.5612246251480039E-2</v>
          </cell>
          <cell r="L523">
            <v>-5.3021666873388752E-2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</row>
        <row r="525">
          <cell r="D525" t="str">
            <v>TRAN_PreTax-E</v>
          </cell>
          <cell r="E525" t="str">
            <v>INT</v>
          </cell>
          <cell r="F525">
            <v>323287.53465636162</v>
          </cell>
          <cell r="G525">
            <v>154403.42285113945</v>
          </cell>
          <cell r="H525">
            <v>11485.080729344148</v>
          </cell>
          <cell r="I525">
            <v>7208.8221931909447</v>
          </cell>
          <cell r="J525">
            <v>-368.80849310586473</v>
          </cell>
          <cell r="K525">
            <v>-99092.659162170225</v>
          </cell>
          <cell r="L525">
            <v>-104101.96940048199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</row>
        <row r="526">
          <cell r="D526" t="str">
            <v>TRAN_PreTax-E%</v>
          </cell>
          <cell r="E526">
            <v>292821.42337427801</v>
          </cell>
          <cell r="F526">
            <v>1.1040433139454502</v>
          </cell>
          <cell r="G526">
            <v>0.52729551366801575</v>
          </cell>
          <cell r="H526">
            <v>3.9222132714873688E-2</v>
          </cell>
          <cell r="I526">
            <v>2.4618493107919855E-2</v>
          </cell>
          <cell r="J526">
            <v>-1.2594996938952165E-3</v>
          </cell>
          <cell r="K526">
            <v>-0.33840645271200709</v>
          </cell>
          <cell r="L526">
            <v>-0.355513501030357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</row>
        <row r="528">
          <cell r="D528" t="str">
            <v>TRAN_PreTax-C</v>
          </cell>
          <cell r="E528" t="str">
            <v>INT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</row>
        <row r="529">
          <cell r="D529" t="str">
            <v>TRAN_PreTax-C%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</row>
        <row r="531">
          <cell r="D531" t="str">
            <v>DIST_PreTax-D</v>
          </cell>
          <cell r="E531" t="str">
            <v>INT</v>
          </cell>
          <cell r="F531">
            <v>4288817.3875267673</v>
          </cell>
          <cell r="G531">
            <v>1505852.7519136984</v>
          </cell>
          <cell r="H531">
            <v>65698.972824074503</v>
          </cell>
          <cell r="I531">
            <v>67306.000845681177</v>
          </cell>
          <cell r="J531">
            <v>8367.1712496830733</v>
          </cell>
          <cell r="K531">
            <v>752412.21345906332</v>
          </cell>
          <cell r="L531">
            <v>358993.27782953961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</row>
        <row r="532">
          <cell r="D532" t="str">
            <v>DIST_PreTax-D%</v>
          </cell>
          <cell r="E532">
            <v>7047447.7756485073</v>
          </cell>
          <cell r="F532">
            <v>0.60856320246120721</v>
          </cell>
          <cell r="G532">
            <v>0.2136734885949729</v>
          </cell>
          <cell r="H532">
            <v>9.3223781027634324E-3</v>
          </cell>
          <cell r="I532">
            <v>9.5504078906760922E-3</v>
          </cell>
          <cell r="J532">
            <v>1.1872626113803482E-3</v>
          </cell>
          <cell r="K532">
            <v>0.10676378703492077</v>
          </cell>
          <cell r="L532">
            <v>5.0939473304079219E-2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</row>
        <row r="534">
          <cell r="D534" t="str">
            <v>DIST_PreTax-E</v>
          </cell>
          <cell r="E534" t="str">
            <v>INT</v>
          </cell>
          <cell r="F534">
            <v>5956030.149047981</v>
          </cell>
          <cell r="G534">
            <v>2391621.312299123</v>
          </cell>
          <cell r="H534">
            <v>128228.2148472023</v>
          </cell>
          <cell r="I534">
            <v>30355.191887707508</v>
          </cell>
          <cell r="J534">
            <v>-15816.422579856931</v>
          </cell>
          <cell r="K534">
            <v>-1460843.3304072311</v>
          </cell>
          <cell r="L534">
            <v>341846.08108324767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</row>
        <row r="535">
          <cell r="D535" t="str">
            <v>DIST_PreTax-E%</v>
          </cell>
          <cell r="E535">
            <v>7371421.1961781746</v>
          </cell>
          <cell r="F535">
            <v>0.80798939451946872</v>
          </cell>
          <cell r="G535">
            <v>0.32444507628177527</v>
          </cell>
          <cell r="H535">
            <v>1.7395317868104481E-2</v>
          </cell>
          <cell r="I535">
            <v>4.1179565079588207E-3</v>
          </cell>
          <cell r="J535">
            <v>-2.1456408688269226E-3</v>
          </cell>
          <cell r="K535">
            <v>-0.19817661907104528</v>
          </cell>
          <cell r="L535">
            <v>4.6374514762564781E-2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</row>
        <row r="537">
          <cell r="D537" t="str">
            <v>DIST_PreTax-C</v>
          </cell>
          <cell r="E537" t="str">
            <v>INT</v>
          </cell>
          <cell r="F537">
            <v>-9705881.1033019572</v>
          </cell>
          <cell r="G537">
            <v>4823833.7055227216</v>
          </cell>
          <cell r="H537">
            <v>695752.21190866828</v>
          </cell>
          <cell r="I537">
            <v>627071.39539244119</v>
          </cell>
          <cell r="J537">
            <v>39071.339704880986</v>
          </cell>
          <cell r="K537">
            <v>6253562.544172287</v>
          </cell>
          <cell r="L537">
            <v>2824920.7151902788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</row>
        <row r="538">
          <cell r="D538" t="str">
            <v>DIST_PreTax-C%</v>
          </cell>
          <cell r="E538">
            <v>5558330.8085893206</v>
          </cell>
          <cell r="F538">
            <v>-1.7461862990060619</v>
          </cell>
          <cell r="G538">
            <v>0.86785653312833122</v>
          </cell>
          <cell r="H538">
            <v>0.12517286859456411</v>
          </cell>
          <cell r="I538">
            <v>0.11281649419344097</v>
          </cell>
          <cell r="J538">
            <v>7.0293296765467465E-3</v>
          </cell>
          <cell r="K538">
            <v>1.125079229632864</v>
          </cell>
          <cell r="L538">
            <v>0.50823184378031483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</row>
        <row r="540">
          <cell r="D540" t="str">
            <v>BBA_PreTax-D</v>
          </cell>
          <cell r="E540" t="str">
            <v>INT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</row>
        <row r="541">
          <cell r="D541" t="str">
            <v>BBA_PreTax-D%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</row>
        <row r="543">
          <cell r="D543" t="str">
            <v>BBA_PreTax-E</v>
          </cell>
          <cell r="E543" t="str">
            <v>INT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</row>
        <row r="544">
          <cell r="D544" t="str">
            <v>BBA_PreTax-E%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</row>
        <row r="546">
          <cell r="D546" t="str">
            <v>BBA_PreTax-C</v>
          </cell>
          <cell r="E546" t="str">
            <v>INT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</row>
        <row r="547">
          <cell r="D547" t="str">
            <v>BBA_PreTax-C%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</row>
        <row r="549">
          <cell r="D549" t="str">
            <v>Gather_PreTax-D</v>
          </cell>
          <cell r="E549" t="str">
            <v>INT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</row>
        <row r="550">
          <cell r="D550" t="str">
            <v>Gather_PreTax-D%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</row>
        <row r="552">
          <cell r="D552" t="str">
            <v>Gather_PreTax-E</v>
          </cell>
          <cell r="E552" t="str">
            <v>INT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</row>
        <row r="553">
          <cell r="D553" t="str">
            <v>Gather_PreTax-E%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</row>
        <row r="555">
          <cell r="D555" t="str">
            <v>COLL-PROC_PreTax-C</v>
          </cell>
          <cell r="E555" t="str">
            <v>INT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</row>
        <row r="556">
          <cell r="D556" t="str">
            <v>COLL-PROC_PreTax-C%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</row>
        <row r="558">
          <cell r="D558" t="str">
            <v>COMMCOLL_PreTax-C</v>
          </cell>
          <cell r="E558" t="str">
            <v>INT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</row>
        <row r="559">
          <cell r="D559" t="str">
            <v>COMMCOLL_PreTax-C%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</row>
        <row r="561">
          <cell r="D561" t="str">
            <v>FUNC8_PreTax-C</v>
          </cell>
          <cell r="E561" t="str">
            <v>INT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</row>
        <row r="562">
          <cell r="D562" t="str">
            <v>FUNC8_PreTax-C%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</row>
        <row r="564">
          <cell r="D564" t="str">
            <v>SUPPPT-D</v>
          </cell>
          <cell r="E564" t="str">
            <v>INT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</row>
        <row r="565">
          <cell r="D565" t="str">
            <v>SUPPPT-D%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</row>
        <row r="567">
          <cell r="D567" t="str">
            <v>SUPPPT-E</v>
          </cell>
          <cell r="E567" t="str">
            <v>INT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</row>
        <row r="568">
          <cell r="D568" t="str">
            <v>SUPPPT-E%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</row>
        <row r="570">
          <cell r="D570" t="str">
            <v>SUPPPT-C</v>
          </cell>
          <cell r="E570" t="str">
            <v>INT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</row>
        <row r="571">
          <cell r="D571" t="str">
            <v>SUPPPT-C%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</row>
        <row r="573">
          <cell r="D573" t="str">
            <v>STORPT-D</v>
          </cell>
          <cell r="E573" t="str">
            <v>INT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</row>
        <row r="574">
          <cell r="D574" t="str">
            <v>STORPT-D%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</row>
        <row r="576">
          <cell r="D576" t="str">
            <v>STORPT-E</v>
          </cell>
          <cell r="E576" t="str">
            <v>INT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</row>
        <row r="577">
          <cell r="D577" t="str">
            <v>STORPT-E%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</row>
        <row r="579">
          <cell r="D579" t="str">
            <v>STORPT-C</v>
          </cell>
          <cell r="E579" t="str">
            <v>INT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</row>
        <row r="580">
          <cell r="D580" t="str">
            <v>STORPT-C%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</row>
        <row r="582">
          <cell r="D582" t="str">
            <v>TRANPT-D</v>
          </cell>
          <cell r="E582" t="str">
            <v>INT</v>
          </cell>
          <cell r="F582">
            <v>2279479.4029271835</v>
          </cell>
          <cell r="G582">
            <v>1485170.9607680484</v>
          </cell>
          <cell r="H582">
            <v>184212.12523621734</v>
          </cell>
          <cell r="I582">
            <v>127679.86766915403</v>
          </cell>
          <cell r="J582">
            <v>33737.634885470266</v>
          </cell>
          <cell r="K582">
            <v>2422358.1833904209</v>
          </cell>
          <cell r="L582">
            <v>2286339.6969297128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</row>
        <row r="583">
          <cell r="D583" t="str">
            <v>TRANPT-D%</v>
          </cell>
          <cell r="E583">
            <v>8818977.871806208</v>
          </cell>
          <cell r="F583">
            <v>0.25847433070611903</v>
          </cell>
          <cell r="G583">
            <v>0.16840624643316762</v>
          </cell>
          <cell r="H583">
            <v>2.0888149161268844E-2</v>
          </cell>
          <cell r="I583">
            <v>1.4477853275643158E-2</v>
          </cell>
          <cell r="J583">
            <v>3.8255720079905914E-3</v>
          </cell>
          <cell r="K583">
            <v>0.27467561644922234</v>
          </cell>
          <cell r="L583">
            <v>0.25925223196658836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</row>
        <row r="585">
          <cell r="D585" t="str">
            <v>TRANPT-E</v>
          </cell>
          <cell r="E585" t="str">
            <v>INT</v>
          </cell>
          <cell r="F585">
            <v>1470631.3767254094</v>
          </cell>
          <cell r="G585">
            <v>995323.94399071182</v>
          </cell>
          <cell r="H585">
            <v>139706.03267663831</v>
          </cell>
          <cell r="I585">
            <v>135905.85301665802</v>
          </cell>
          <cell r="J585">
            <v>47095.374109882818</v>
          </cell>
          <cell r="K585">
            <v>5366735.0943866214</v>
          </cell>
          <cell r="L585">
            <v>3839032.5988292019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</row>
        <row r="586">
          <cell r="D586" t="str">
            <v>TRANPT-E%</v>
          </cell>
          <cell r="E586">
            <v>11994430.273735125</v>
          </cell>
          <cell r="F586">
            <v>0.12260952318391756</v>
          </cell>
          <cell r="G586">
            <v>8.2982177667098395E-2</v>
          </cell>
          <cell r="H586">
            <v>1.1647575540337287E-2</v>
          </cell>
          <cell r="I586">
            <v>1.1330746847914791E-2</v>
          </cell>
          <cell r="J586">
            <v>3.9264369407365843E-3</v>
          </cell>
          <cell r="K586">
            <v>0.44743559901619184</v>
          </cell>
          <cell r="L586">
            <v>0.32006794080380346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</row>
        <row r="588">
          <cell r="D588" t="str">
            <v>TRANPT-C</v>
          </cell>
          <cell r="E588" t="str">
            <v>INT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</row>
        <row r="589">
          <cell r="D589" t="str">
            <v>TRANPT-C%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</row>
        <row r="591">
          <cell r="D591" t="str">
            <v>DISTPT-D</v>
          </cell>
          <cell r="E591" t="str">
            <v>INT</v>
          </cell>
          <cell r="F591">
            <v>73907318.843682408</v>
          </cell>
          <cell r="G591">
            <v>48153540.494337454</v>
          </cell>
          <cell r="H591">
            <v>5972690.1928669829</v>
          </cell>
          <cell r="I591">
            <v>4139750.8034622022</v>
          </cell>
          <cell r="J591">
            <v>501184.51446577255</v>
          </cell>
          <cell r="K591">
            <v>36014375.227939129</v>
          </cell>
          <cell r="L591">
            <v>14950033.03090903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</row>
        <row r="592">
          <cell r="D592" t="str">
            <v>DISTPT-D%</v>
          </cell>
          <cell r="E592">
            <v>183638893.10766301</v>
          </cell>
          <cell r="F592">
            <v>0.40246005403851104</v>
          </cell>
          <cell r="G592">
            <v>0.26221863832573966</v>
          </cell>
          <cell r="H592">
            <v>3.2524102556887771E-2</v>
          </cell>
          <cell r="I592">
            <v>2.2542886931011762E-2</v>
          </cell>
          <cell r="J592">
            <v>2.7291850107805881E-3</v>
          </cell>
          <cell r="K592">
            <v>0.19611518354570334</v>
          </cell>
          <cell r="L592">
            <v>8.1409949591365646E-2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</row>
        <row r="594">
          <cell r="D594" t="str">
            <v>DISTPT-E</v>
          </cell>
          <cell r="E594" t="str">
            <v>INT</v>
          </cell>
          <cell r="F594">
            <v>51604722.216188245</v>
          </cell>
          <cell r="G594">
            <v>34926098.040373832</v>
          </cell>
          <cell r="H594">
            <v>4902310.0705607794</v>
          </cell>
          <cell r="I594">
            <v>4768961.07581707</v>
          </cell>
          <cell r="J594">
            <v>693665.23491805536</v>
          </cell>
          <cell r="K594">
            <v>70182093.51718691</v>
          </cell>
          <cell r="L594">
            <v>15965111.786287576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</row>
        <row r="595">
          <cell r="D595" t="str">
            <v>DISTPT-E%</v>
          </cell>
          <cell r="E595">
            <v>183042961.94133249</v>
          </cell>
          <cell r="F595">
            <v>0.28192683110497407</v>
          </cell>
          <cell r="G595">
            <v>0.19080819972509008</v>
          </cell>
          <cell r="H595">
            <v>2.6782292083604012E-2</v>
          </cell>
          <cell r="I595">
            <v>2.6053780081124234E-2</v>
          </cell>
          <cell r="J595">
            <v>3.7896307378394783E-3</v>
          </cell>
          <cell r="K595">
            <v>0.38341869456680411</v>
          </cell>
          <cell r="L595">
            <v>8.7220571700563881E-2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</row>
        <row r="597">
          <cell r="D597" t="str">
            <v>DISTPT-C</v>
          </cell>
          <cell r="E597" t="str">
            <v>INT</v>
          </cell>
          <cell r="F597">
            <v>204071908.91478282</v>
          </cell>
          <cell r="G597">
            <v>47904438.434111163</v>
          </cell>
          <cell r="H597">
            <v>2270641.246131551</v>
          </cell>
          <cell r="I597">
            <v>592136.61922625825</v>
          </cell>
          <cell r="J597">
            <v>360058.26760486315</v>
          </cell>
          <cell r="K597">
            <v>6569587.081742025</v>
          </cell>
          <cell r="L597">
            <v>2117057.5873302082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</row>
        <row r="598">
          <cell r="D598" t="str">
            <v>DISTPT-C%</v>
          </cell>
          <cell r="E598">
            <v>263885828.15092888</v>
          </cell>
          <cell r="F598">
            <v>0.77333409810118481</v>
          </cell>
          <cell r="G598">
            <v>0.18153471434893553</v>
          </cell>
          <cell r="H598">
            <v>8.6046350500977378E-3</v>
          </cell>
          <cell r="I598">
            <v>2.2439121622233804E-3</v>
          </cell>
          <cell r="J598">
            <v>1.364447155528673E-3</v>
          </cell>
          <cell r="K598">
            <v>2.4895566115754292E-2</v>
          </cell>
          <cell r="L598">
            <v>8.0226270662756543E-3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</row>
        <row r="600">
          <cell r="D600" t="str">
            <v>BBAPT-D</v>
          </cell>
          <cell r="E600" t="str">
            <v>INT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</row>
        <row r="601">
          <cell r="D601" t="str">
            <v>BBAPT-D%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</row>
        <row r="603">
          <cell r="D603" t="str">
            <v>BBAPT-E</v>
          </cell>
          <cell r="E603" t="str">
            <v>INT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</row>
        <row r="604">
          <cell r="D604" t="str">
            <v>BBAPT-E%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</row>
        <row r="606">
          <cell r="D606" t="str">
            <v>BBAPT-C</v>
          </cell>
          <cell r="E606" t="str">
            <v>INT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</row>
        <row r="607">
          <cell r="D607" t="str">
            <v>BBAPT-C%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</row>
        <row r="609">
          <cell r="D609" t="str">
            <v>COMMCOLL_PT-C</v>
          </cell>
          <cell r="E609" t="str">
            <v>INT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</row>
        <row r="610">
          <cell r="D610" t="str">
            <v>COMMCOLL_PT-C%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</row>
        <row r="612">
          <cell r="D612" t="str">
            <v>FUNC8PT-C</v>
          </cell>
          <cell r="E612" t="str">
            <v>INT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</row>
        <row r="613">
          <cell r="D613" t="str">
            <v>FUNC8PT-C%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</row>
        <row r="615">
          <cell r="D615" t="str">
            <v>BBACUSTACCT-C</v>
          </cell>
          <cell r="E615" t="str">
            <v>INT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</row>
        <row r="616">
          <cell r="D616" t="str">
            <v>BBACUSTACCT-C%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</row>
        <row r="618">
          <cell r="D618" t="str">
            <v>COMMCOLLCUSTACCT-C</v>
          </cell>
          <cell r="E618" t="str">
            <v>INT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</row>
        <row r="619">
          <cell r="D619" t="str">
            <v>COMMCOLLCUSTACCT-C%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</row>
        <row r="621">
          <cell r="D621" t="str">
            <v>SUPPO&amp;M-D</v>
          </cell>
          <cell r="E621" t="str">
            <v>INT</v>
          </cell>
          <cell r="F621">
            <v>39521.937719126894</v>
          </cell>
          <cell r="G621">
            <v>27990.660787458099</v>
          </cell>
          <cell r="H621">
            <v>4004.0389931585009</v>
          </cell>
          <cell r="I621">
            <v>3816.0392081921532</v>
          </cell>
          <cell r="J621">
            <v>1423.8328083144634</v>
          </cell>
          <cell r="K621">
            <v>19200.72972109956</v>
          </cell>
          <cell r="L621">
            <v>15480.859162986088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</row>
        <row r="622">
          <cell r="D622" t="str">
            <v>SUPPO&amp;M-D%</v>
          </cell>
          <cell r="E622">
            <v>111438.09840033576</v>
          </cell>
          <cell r="F622">
            <v>0.35465373410398948</v>
          </cell>
          <cell r="G622">
            <v>0.25117676260862831</v>
          </cell>
          <cell r="H622">
            <v>3.5930611259842142E-2</v>
          </cell>
          <cell r="I622">
            <v>3.4243577941210232E-2</v>
          </cell>
          <cell r="J622">
            <v>1.2776894336436142E-2</v>
          </cell>
          <cell r="K622">
            <v>0.17229950974326486</v>
          </cell>
          <cell r="L622">
            <v>0.13891891000662879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</row>
        <row r="624">
          <cell r="D624" t="str">
            <v>SUPPO&amp;M-E</v>
          </cell>
          <cell r="E624" t="str">
            <v>INT</v>
          </cell>
          <cell r="F624">
            <v>57230952.509482101</v>
          </cell>
          <cell r="G624">
            <v>38527350.25768014</v>
          </cell>
          <cell r="H624">
            <v>5264339.9768587491</v>
          </cell>
          <cell r="I624">
            <v>5121143.3136940012</v>
          </cell>
          <cell r="J624">
            <v>1726453.5498189414</v>
          </cell>
          <cell r="K624">
            <v>100324.09485405766</v>
          </cell>
          <cell r="L624">
            <v>65555.692555143687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</row>
        <row r="625">
          <cell r="D625" t="str">
            <v>SUPPO&amp;M-E%</v>
          </cell>
          <cell r="E625">
            <v>108036119.39494313</v>
          </cell>
          <cell r="F625">
            <v>0.52973906162128326</v>
          </cell>
          <cell r="G625">
            <v>0.35661545854713012</v>
          </cell>
          <cell r="H625">
            <v>4.8727592275080903E-2</v>
          </cell>
          <cell r="I625">
            <v>4.740214052832508E-2</v>
          </cell>
          <cell r="J625">
            <v>1.5980336571583223E-2</v>
          </cell>
          <cell r="K625">
            <v>9.28616238864588E-4</v>
          </cell>
          <cell r="L625">
            <v>6.067942177328165E-4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</row>
        <row r="627">
          <cell r="D627" t="str">
            <v>SUPPO&amp;M-C</v>
          </cell>
          <cell r="E627" t="str">
            <v>INT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</row>
        <row r="628">
          <cell r="D628" t="str">
            <v>SUPPO&amp;M-C%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</row>
        <row r="630">
          <cell r="D630" t="str">
            <v>STORO&amp;M-D</v>
          </cell>
          <cell r="E630" t="str">
            <v>INT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</row>
        <row r="631">
          <cell r="D631" t="str">
            <v>STORO&amp;M-D%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</row>
        <row r="633">
          <cell r="D633" t="str">
            <v>STORO&amp;M-E</v>
          </cell>
          <cell r="E633" t="str">
            <v>INT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</row>
        <row r="634">
          <cell r="D634" t="str">
            <v>STORO&amp;M-E%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</row>
        <row r="636">
          <cell r="D636" t="str">
            <v>STORO&amp;M-C</v>
          </cell>
          <cell r="E636" t="str">
            <v>INT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</row>
        <row r="637">
          <cell r="D637" t="str">
            <v>STORO&amp;M-C%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</row>
        <row r="639">
          <cell r="D639" t="str">
            <v>TRANO&amp;M-D</v>
          </cell>
          <cell r="E639" t="str">
            <v>INT</v>
          </cell>
          <cell r="F639">
            <v>4146.8947777142739</v>
          </cell>
          <cell r="G639">
            <v>2701.8659143456412</v>
          </cell>
          <cell r="H639">
            <v>335.12401961287651</v>
          </cell>
          <cell r="I639">
            <v>232.27890358497712</v>
          </cell>
          <cell r="J639">
            <v>61.376479971403711</v>
          </cell>
          <cell r="K639">
            <v>4406.8239825091605</v>
          </cell>
          <cell r="L639">
            <v>4159.3752227387567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</row>
        <row r="640">
          <cell r="D640" t="str">
            <v>TRANO&amp;M-D%</v>
          </cell>
          <cell r="E640">
            <v>16043.739300477089</v>
          </cell>
          <cell r="F640">
            <v>0.25847433070611903</v>
          </cell>
          <cell r="G640">
            <v>0.16840624643316762</v>
          </cell>
          <cell r="H640">
            <v>2.0888149161268844E-2</v>
          </cell>
          <cell r="I640">
            <v>1.447785327564316E-2</v>
          </cell>
          <cell r="J640">
            <v>3.8255720079905919E-3</v>
          </cell>
          <cell r="K640">
            <v>0.27467561644922239</v>
          </cell>
          <cell r="L640">
            <v>0.25925223196658836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</row>
        <row r="642">
          <cell r="D642" t="str">
            <v>TRANO&amp;M-E</v>
          </cell>
          <cell r="E642" t="str">
            <v>INT</v>
          </cell>
          <cell r="F642">
            <v>2675.4150830465596</v>
          </cell>
          <cell r="G642">
            <v>1810.7220710872582</v>
          </cell>
          <cell r="H642">
            <v>254.15725036952125</v>
          </cell>
          <cell r="I642">
            <v>247.24385375531563</v>
          </cell>
          <cell r="J642">
            <v>85.677265036911479</v>
          </cell>
          <cell r="K642">
            <v>9763.3195139683085</v>
          </cell>
          <cell r="L642">
            <v>6984.0790029144337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</row>
        <row r="643">
          <cell r="D643" t="str">
            <v>TRANO&amp;M-E%</v>
          </cell>
          <cell r="E643">
            <v>21820.614040178309</v>
          </cell>
          <cell r="F643">
            <v>0.12260952318391757</v>
          </cell>
          <cell r="G643">
            <v>8.2982177667098395E-2</v>
          </cell>
          <cell r="H643">
            <v>1.1647575540337287E-2</v>
          </cell>
          <cell r="I643">
            <v>1.1330746847914791E-2</v>
          </cell>
          <cell r="J643">
            <v>3.9264369407365843E-3</v>
          </cell>
          <cell r="K643">
            <v>0.4474355990161919</v>
          </cell>
          <cell r="L643">
            <v>0.32006794080380346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</row>
        <row r="645">
          <cell r="D645" t="str">
            <v>TRANO&amp;M-C</v>
          </cell>
          <cell r="E645" t="str">
            <v>INT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</row>
        <row r="646">
          <cell r="D646" t="str">
            <v>TRANO&amp;M-C%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</row>
        <row r="648">
          <cell r="D648" t="str">
            <v>DISTO&amp;M-D</v>
          </cell>
          <cell r="E648" t="str">
            <v>INT</v>
          </cell>
          <cell r="F648">
            <v>2403806.1441656849</v>
          </cell>
          <cell r="G648">
            <v>1603405.248740063</v>
          </cell>
          <cell r="H648">
            <v>159870.00684982861</v>
          </cell>
          <cell r="I648">
            <v>107958.40865833145</v>
          </cell>
          <cell r="J648">
            <v>12825.78904962016</v>
          </cell>
          <cell r="K648">
            <v>939469.52410604712</v>
          </cell>
          <cell r="L648">
            <v>394125.18777322664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</row>
        <row r="649">
          <cell r="D649" t="str">
            <v>DISTO&amp;M-D%</v>
          </cell>
          <cell r="E649">
            <v>5621460.3093428016</v>
          </cell>
          <cell r="F649">
            <v>0.42761240174027149</v>
          </cell>
          <cell r="G649">
            <v>0.28522931062507412</v>
          </cell>
          <cell r="H649">
            <v>2.8439230742966649E-2</v>
          </cell>
          <cell r="I649">
            <v>1.9204691079808184E-2</v>
          </cell>
          <cell r="J649">
            <v>2.2815760218574963E-3</v>
          </cell>
          <cell r="K649">
            <v>0.16712197052154931</v>
          </cell>
          <cell r="L649">
            <v>7.0110819268472846E-2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</row>
        <row r="651">
          <cell r="D651" t="str">
            <v>DISTO&amp;M-E</v>
          </cell>
          <cell r="E651" t="str">
            <v>INT</v>
          </cell>
          <cell r="F651">
            <v>2100030.8047865168</v>
          </cell>
          <cell r="G651">
            <v>1458398.1390881161</v>
          </cell>
          <cell r="H651">
            <v>158660.86880279618</v>
          </cell>
          <cell r="I651">
            <v>149469.02821515879</v>
          </cell>
          <cell r="J651">
            <v>33767.658006734026</v>
          </cell>
          <cell r="K651">
            <v>2375068.7799616866</v>
          </cell>
          <cell r="L651">
            <v>476243.7955369039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</row>
        <row r="652">
          <cell r="D652" t="str">
            <v>DISTO&amp;M-E%</v>
          </cell>
          <cell r="E652">
            <v>6751639.0743979122</v>
          </cell>
          <cell r="F652">
            <v>0.31104014619943088</v>
          </cell>
          <cell r="G652">
            <v>0.21600653160183492</v>
          </cell>
          <cell r="H652">
            <v>2.3499607584835984E-2</v>
          </cell>
          <cell r="I652">
            <v>2.2138184012522606E-2</v>
          </cell>
          <cell r="J652">
            <v>5.0014015314859385E-3</v>
          </cell>
          <cell r="K652">
            <v>0.35177662102346413</v>
          </cell>
          <cell r="L652">
            <v>7.0537508046425557E-2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</row>
        <row r="654">
          <cell r="D654" t="str">
            <v>DISTO&amp;M-C</v>
          </cell>
          <cell r="E654" t="str">
            <v>INT</v>
          </cell>
          <cell r="F654">
            <v>23660126.388721213</v>
          </cell>
          <cell r="G654">
            <v>4965957.1317594945</v>
          </cell>
          <cell r="H654">
            <v>257447.63597404625</v>
          </cell>
          <cell r="I654">
            <v>124276.01577651073</v>
          </cell>
          <cell r="J654">
            <v>37752.070579423686</v>
          </cell>
          <cell r="K654">
            <v>659336.91535377689</v>
          </cell>
          <cell r="L654">
            <v>202994.81598903547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</row>
        <row r="655">
          <cell r="D655" t="str">
            <v>DISTO&amp;M-C%</v>
          </cell>
          <cell r="E655">
            <v>29907890.9741535</v>
          </cell>
          <cell r="F655">
            <v>0.79109979400314034</v>
          </cell>
          <cell r="G655">
            <v>0.16604170237383475</v>
          </cell>
          <cell r="H655">
            <v>8.6080170680217262E-3</v>
          </cell>
          <cell r="I655">
            <v>4.1552918553805912E-3</v>
          </cell>
          <cell r="J655">
            <v>1.2622779256500952E-3</v>
          </cell>
          <cell r="K655">
            <v>2.2045583753250206E-2</v>
          </cell>
          <cell r="L655">
            <v>6.7873330207223331E-3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</row>
        <row r="657">
          <cell r="D657" t="str">
            <v>BBAO&amp;M-D</v>
          </cell>
          <cell r="E657" t="str">
            <v>INT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</row>
        <row r="658">
          <cell r="D658" t="str">
            <v>BBAO&amp;M-D%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</row>
        <row r="660">
          <cell r="D660" t="str">
            <v>BBAO&amp;M-E</v>
          </cell>
          <cell r="E660" t="str">
            <v>INT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</row>
        <row r="661">
          <cell r="D661" t="str">
            <v>BBAO&amp;M-E%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</row>
        <row r="663">
          <cell r="D663" t="str">
            <v>BBAO&amp;M-C</v>
          </cell>
          <cell r="E663" t="str">
            <v>INT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</row>
        <row r="664">
          <cell r="D664" t="str">
            <v>BBAO&amp;M-C%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</row>
        <row r="666">
          <cell r="D666" t="str">
            <v>Gather_O&amp;M-D</v>
          </cell>
          <cell r="E666" t="str">
            <v>INT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</row>
        <row r="667">
          <cell r="D667" t="str">
            <v>Gather_O&amp;M-D%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</row>
        <row r="669">
          <cell r="D669" t="str">
            <v>Gather_O&amp;M-E</v>
          </cell>
          <cell r="E669" t="str">
            <v>INT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</row>
        <row r="670">
          <cell r="D670" t="str">
            <v>Gather_O&amp;M-E%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</row>
        <row r="672">
          <cell r="D672" t="str">
            <v>COLL-PROCO&amp;M-C</v>
          </cell>
          <cell r="E672" t="str">
            <v>INT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</row>
        <row r="673">
          <cell r="D673" t="str">
            <v>COLL-PROCO&amp;M-C%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</row>
        <row r="675">
          <cell r="D675" t="str">
            <v>BBAREVRATE-C</v>
          </cell>
          <cell r="E675" t="str">
            <v>INT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</row>
        <row r="676">
          <cell r="D676" t="str">
            <v>BBAREVRATE-C%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</row>
        <row r="678">
          <cell r="D678" t="str">
            <v>COMMCOLLREVRATE-C</v>
          </cell>
          <cell r="E678" t="str">
            <v>INT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</row>
        <row r="679">
          <cell r="D679" t="str">
            <v>COMMCOLLREVRATE-C%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</row>
        <row r="681">
          <cell r="D681" t="str">
            <v>DISTBASE-C</v>
          </cell>
          <cell r="E681" t="str">
            <v>INT</v>
          </cell>
          <cell r="F681">
            <v>67514471.84843117</v>
          </cell>
          <cell r="G681">
            <v>16709819.081155509</v>
          </cell>
          <cell r="H681">
            <v>931920.07361377263</v>
          </cell>
          <cell r="I681">
            <v>367972.40701265744</v>
          </cell>
          <cell r="J681">
            <v>99588.832563221164</v>
          </cell>
          <cell r="K681">
            <v>1458514.6878745481</v>
          </cell>
          <cell r="L681">
            <v>1232342.3567008716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</row>
        <row r="682">
          <cell r="D682" t="str">
            <v>DISTBASE-C%</v>
          </cell>
          <cell r="E682">
            <v>88314629.287351757</v>
          </cell>
          <cell r="F682">
            <v>0.76447664892254108</v>
          </cell>
          <cell r="G682">
            <v>0.18920782678922093</v>
          </cell>
          <cell r="H682">
            <v>1.0552272948817555E-2</v>
          </cell>
          <cell r="I682">
            <v>4.1666076162237562E-3</v>
          </cell>
          <cell r="J682">
            <v>1.1276595210425015E-3</v>
          </cell>
          <cell r="K682">
            <v>1.6514983979935401E-2</v>
          </cell>
          <cell r="L682">
            <v>1.3954000222218734E-2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</row>
        <row r="684">
          <cell r="D684" t="str">
            <v>STORBASE-D</v>
          </cell>
          <cell r="E684" t="str">
            <v>INT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</row>
        <row r="685">
          <cell r="D685" t="str">
            <v>STORBASE-D%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</row>
        <row r="687">
          <cell r="D687" t="str">
            <v>DISTBASE-D</v>
          </cell>
          <cell r="E687" t="str">
            <v>INT</v>
          </cell>
          <cell r="F687">
            <v>40745173.030748986</v>
          </cell>
          <cell r="G687">
            <v>26536034.206140961</v>
          </cell>
          <cell r="H687">
            <v>3238054.4301289725</v>
          </cell>
          <cell r="I687">
            <v>2287178.0414688019</v>
          </cell>
          <cell r="J687">
            <v>272744.10566980066</v>
          </cell>
          <cell r="K687">
            <v>18765942.183340944</v>
          </cell>
          <cell r="L687">
            <v>7920550.4115334554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</row>
        <row r="688">
          <cell r="D688" t="str">
            <v>DISTBASE-D%</v>
          </cell>
          <cell r="E688">
            <v>99765676.409031913</v>
          </cell>
          <cell r="F688">
            <v>0.40840872830548236</v>
          </cell>
          <cell r="G688">
            <v>0.26598360439461344</v>
          </cell>
          <cell r="H688">
            <v>3.2456597766682686E-2</v>
          </cell>
          <cell r="I688">
            <v>2.2925500270168476E-2</v>
          </cell>
          <cell r="J688">
            <v>2.7338471054069733E-3</v>
          </cell>
          <cell r="K688">
            <v>0.1881001849413817</v>
          </cell>
          <cell r="L688">
            <v>7.9391537216264477E-2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</row>
        <row r="690">
          <cell r="D690" t="str">
            <v>SUPPGAS-D</v>
          </cell>
          <cell r="E690" t="str">
            <v>INT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</row>
        <row r="691">
          <cell r="D691" t="str">
            <v>SUPPGAS-D%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</row>
        <row r="693">
          <cell r="D693" t="str">
            <v>STORGAS-D</v>
          </cell>
          <cell r="E693" t="str">
            <v>INT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</row>
        <row r="694">
          <cell r="D694" t="str">
            <v>STORGAS-D%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</row>
        <row r="696">
          <cell r="D696" t="str">
            <v>TRANGAS-D</v>
          </cell>
          <cell r="E696" t="str">
            <v>INT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</row>
        <row r="697">
          <cell r="D697" t="str">
            <v>TRANGAS-D%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</row>
        <row r="699">
          <cell r="D699" t="str">
            <v>DISTGAS-D</v>
          </cell>
          <cell r="E699" t="str">
            <v>INT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</row>
        <row r="700">
          <cell r="D700" t="str">
            <v>DISTGAS-D%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</row>
        <row r="702">
          <cell r="D702" t="str">
            <v>BBAGAS-D</v>
          </cell>
          <cell r="E702" t="str">
            <v>INT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</row>
        <row r="703">
          <cell r="D703" t="str">
            <v>BBAGAS-D%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</row>
        <row r="705">
          <cell r="D705" t="str">
            <v>Gather_GAS-D</v>
          </cell>
          <cell r="E705" t="str">
            <v>INT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</row>
        <row r="706">
          <cell r="D706" t="str">
            <v>Gather_GAS-D%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</row>
        <row r="708">
          <cell r="D708" t="str">
            <v>SUPPGAS-C</v>
          </cell>
          <cell r="E708" t="str">
            <v>INT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</row>
        <row r="709">
          <cell r="D709" t="str">
            <v>SUPPGAS-C%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</row>
        <row r="711">
          <cell r="D711" t="str">
            <v>STORGAS-C</v>
          </cell>
          <cell r="E711" t="str">
            <v>INT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</row>
        <row r="712">
          <cell r="D712" t="str">
            <v>STORGAS-C%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</row>
        <row r="714">
          <cell r="D714" t="str">
            <v>TRANGAS-C</v>
          </cell>
          <cell r="E714" t="str">
            <v>INT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</row>
        <row r="715">
          <cell r="D715" t="str">
            <v>TRANGAS-C%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</row>
        <row r="717">
          <cell r="D717" t="str">
            <v>DISTGAS-C</v>
          </cell>
          <cell r="E717" t="str">
            <v>INT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</row>
        <row r="718">
          <cell r="D718" t="str">
            <v>DISTGAS-C%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</row>
        <row r="720">
          <cell r="D720" t="str">
            <v>BBAGAS-C</v>
          </cell>
          <cell r="E720" t="str">
            <v>INT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</row>
        <row r="721">
          <cell r="D721" t="str">
            <v>BBAGAS-C%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</row>
        <row r="723">
          <cell r="D723" t="str">
            <v>COMMCOLLGAS-C</v>
          </cell>
          <cell r="E723" t="str">
            <v>INT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</row>
        <row r="724">
          <cell r="D724" t="str">
            <v>COMMCOLLGAS-C%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</row>
        <row r="726">
          <cell r="D726" t="str">
            <v>SUPPGAS-E</v>
          </cell>
          <cell r="E726" t="str">
            <v>INT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</row>
        <row r="727">
          <cell r="D727" t="str">
            <v>SUPPGAS-E%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</row>
        <row r="729">
          <cell r="D729" t="str">
            <v>STORGAS-E</v>
          </cell>
          <cell r="E729" t="str">
            <v>INT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</row>
        <row r="730">
          <cell r="D730" t="str">
            <v>STORGAS-E%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</row>
        <row r="732">
          <cell r="D732" t="str">
            <v>DISTGAS-E</v>
          </cell>
          <cell r="E732" t="str">
            <v>INT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</row>
        <row r="733">
          <cell r="D733" t="str">
            <v>DISTGAS-E%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</row>
        <row r="735">
          <cell r="D735" t="str">
            <v>BBAGAS-E</v>
          </cell>
          <cell r="E735" t="str">
            <v>INT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</row>
        <row r="736">
          <cell r="D736" t="str">
            <v>BBAGAS-E%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</row>
        <row r="738">
          <cell r="D738" t="str">
            <v>Gather_GAS-E</v>
          </cell>
          <cell r="E738" t="str">
            <v>INT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</row>
        <row r="739">
          <cell r="D739" t="str">
            <v>Gather_GAS-E%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</row>
        <row r="741">
          <cell r="D741" t="str">
            <v>GRT_T-F</v>
          </cell>
          <cell r="E741" t="str">
            <v>INT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</row>
        <row r="742">
          <cell r="D742" t="str">
            <v>GRT_T-F%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</row>
        <row r="744">
          <cell r="D744" t="str">
            <v>Rev_GRT</v>
          </cell>
          <cell r="E744" t="str">
            <v>INT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</row>
        <row r="745">
          <cell r="D745" t="str">
            <v>Rev_GRT%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</row>
        <row r="747">
          <cell r="D747" t="str">
            <v>MuniTax_T-F</v>
          </cell>
          <cell r="E747" t="str">
            <v>INT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</row>
        <row r="748">
          <cell r="D748" t="str">
            <v>MuniTax_T-F%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</row>
        <row r="750">
          <cell r="D750" t="str">
            <v>Rev_MuniTax</v>
          </cell>
          <cell r="E750" t="str">
            <v>INT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</row>
        <row r="751">
          <cell r="D751" t="str">
            <v>Rev_MuniTax%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</row>
        <row r="753">
          <cell r="D753" t="str">
            <v>RevDeficiency</v>
          </cell>
          <cell r="E753" t="str">
            <v>INT</v>
          </cell>
          <cell r="F753">
            <v>12643693.119678274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283310.14514898136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</row>
        <row r="754">
          <cell r="D754" t="str">
            <v>RevDeficiency%</v>
          </cell>
          <cell r="E754">
            <v>12927003.264827255</v>
          </cell>
          <cell r="F754">
            <v>0.97808384980300633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2.1916150196993646E-2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</row>
        <row r="756">
          <cell r="D756" t="str">
            <v>SUPPREVREQ-D</v>
          </cell>
          <cell r="E756" t="str">
            <v>INT</v>
          </cell>
          <cell r="F756">
            <v>39532.409269116179</v>
          </cell>
          <cell r="G756">
            <v>27998.077063596986</v>
          </cell>
          <cell r="H756">
            <v>4005.0998848276772</v>
          </cell>
          <cell r="I756">
            <v>3817.0502883070412</v>
          </cell>
          <cell r="J756">
            <v>1424.2100604758987</v>
          </cell>
          <cell r="K756">
            <v>19205.817057720913</v>
          </cell>
          <cell r="L756">
            <v>15484.960899893686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</row>
        <row r="757">
          <cell r="D757" t="str">
            <v>SUPPREVREQ-D%</v>
          </cell>
          <cell r="E757">
            <v>111467.62452393839</v>
          </cell>
          <cell r="F757">
            <v>0.35465373410398948</v>
          </cell>
          <cell r="G757">
            <v>0.25117676260862831</v>
          </cell>
          <cell r="H757">
            <v>3.5930611259842149E-2</v>
          </cell>
          <cell r="I757">
            <v>3.4243577941210232E-2</v>
          </cell>
          <cell r="J757">
            <v>1.2776894336436142E-2</v>
          </cell>
          <cell r="K757">
            <v>0.17229950974326488</v>
          </cell>
          <cell r="L757">
            <v>0.13891891000662879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</row>
        <row r="759">
          <cell r="D759" t="str">
            <v>SUPPREVREQ-E</v>
          </cell>
          <cell r="E759" t="str">
            <v>INT</v>
          </cell>
          <cell r="F759">
            <v>57246116.15819782</v>
          </cell>
          <cell r="G759">
            <v>38537558.286371581</v>
          </cell>
          <cell r="H759">
            <v>5265734.7920527831</v>
          </cell>
          <cell r="I759">
            <v>5122500.1881618667</v>
          </cell>
          <cell r="J759">
            <v>1726910.9829736515</v>
          </cell>
          <cell r="K759">
            <v>100350.67626263789</v>
          </cell>
          <cell r="L759">
            <v>65573.061888513723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</row>
        <row r="760">
          <cell r="D760" t="str">
            <v>SUPPREVREQ-E%</v>
          </cell>
          <cell r="E760">
            <v>108064744.14590885</v>
          </cell>
          <cell r="F760">
            <v>0.52973906162128326</v>
          </cell>
          <cell r="G760">
            <v>0.35661545854713012</v>
          </cell>
          <cell r="H760">
            <v>4.872759227508091E-2</v>
          </cell>
          <cell r="I760">
            <v>4.7402140528325087E-2</v>
          </cell>
          <cell r="J760">
            <v>1.5980336571583226E-2</v>
          </cell>
          <cell r="K760">
            <v>9.286162388645881E-4</v>
          </cell>
          <cell r="L760">
            <v>6.067942177328165E-4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</row>
        <row r="762">
          <cell r="D762" t="str">
            <v>SUPPREVREQ-C</v>
          </cell>
          <cell r="E762" t="str">
            <v>INT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</row>
        <row r="763">
          <cell r="D763" t="str">
            <v>SUPPREVREQ-C%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</row>
        <row r="765">
          <cell r="D765" t="str">
            <v>STORREVREQ-D</v>
          </cell>
          <cell r="E765" t="str">
            <v>INT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</row>
        <row r="766">
          <cell r="D766" t="str">
            <v>STORREVREQ-D%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</row>
        <row r="768">
          <cell r="D768" t="str">
            <v>STORREVREQ-E</v>
          </cell>
          <cell r="E768" t="str">
            <v>INT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</row>
        <row r="769">
          <cell r="D769" t="str">
            <v>STORREVREQ-E%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</row>
        <row r="771">
          <cell r="D771" t="str">
            <v>STORREVREQ-C</v>
          </cell>
          <cell r="E771" t="str">
            <v>INT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</row>
        <row r="772">
          <cell r="D772" t="str">
            <v>STORREVREQ-C%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</row>
        <row r="774">
          <cell r="D774" t="str">
            <v>TRANREVREQ-D</v>
          </cell>
          <cell r="E774" t="str">
            <v>INT</v>
          </cell>
          <cell r="F774">
            <v>136305.29129926406</v>
          </cell>
          <cell r="G774">
            <v>80755.707667965311</v>
          </cell>
          <cell r="H774">
            <v>10016.476841681204</v>
          </cell>
          <cell r="I774">
            <v>6942.552972650692</v>
          </cell>
          <cell r="J774">
            <v>1834.4733718807838</v>
          </cell>
          <cell r="K774">
            <v>131991.90843142339</v>
          </cell>
          <cell r="L774">
            <v>124319.00775883556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</row>
        <row r="775">
          <cell r="D775" t="str">
            <v>TRANREVREQ-D%</v>
          </cell>
          <cell r="E775">
            <v>492165.41834370105</v>
          </cell>
          <cell r="F775">
            <v>0.27695015988318789</v>
          </cell>
          <cell r="G775">
            <v>0.16408245004237579</v>
          </cell>
          <cell r="H775">
            <v>2.0351850147029737E-2</v>
          </cell>
          <cell r="I775">
            <v>1.4106137314593684E-2</v>
          </cell>
          <cell r="J775">
            <v>3.727351218731279E-3</v>
          </cell>
          <cell r="K775">
            <v>0.26818606816305723</v>
          </cell>
          <cell r="L775">
            <v>0.25259598323102428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</row>
        <row r="777">
          <cell r="D777" t="str">
            <v>TRANREVREQ-E</v>
          </cell>
          <cell r="E777" t="str">
            <v>INT</v>
          </cell>
          <cell r="F777">
            <v>126926.35229347972</v>
          </cell>
          <cell r="G777">
            <v>70896.121106810009</v>
          </cell>
          <cell r="H777">
            <v>9951.1479371055248</v>
          </cell>
          <cell r="I777">
            <v>9680.4642074231269</v>
          </cell>
          <cell r="J777">
            <v>3354.565482547996</v>
          </cell>
          <cell r="K777">
            <v>382765.07713312609</v>
          </cell>
          <cell r="L777">
            <v>275426.76435104251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</row>
        <row r="778">
          <cell r="D778" t="str">
            <v>TRANREVREQ-E%</v>
          </cell>
          <cell r="E778">
            <v>879000.49251153506</v>
          </cell>
          <cell r="F778">
            <v>0.1443984996308908</v>
          </cell>
          <cell r="G778">
            <v>8.0655382688400085E-2</v>
          </cell>
          <cell r="H778">
            <v>1.1320981070980386E-2</v>
          </cell>
          <cell r="I778">
            <v>1.1013036158561754E-2</v>
          </cell>
          <cell r="J778">
            <v>3.816340845228792E-3</v>
          </cell>
          <cell r="K778">
            <v>0.43545490633283473</v>
          </cell>
          <cell r="L778">
            <v>0.3133408532731034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</row>
        <row r="780">
          <cell r="D780" t="str">
            <v>DISTREVREQ-D</v>
          </cell>
          <cell r="E780" t="str">
            <v>INT</v>
          </cell>
          <cell r="F780">
            <v>8655316.3176801074</v>
          </cell>
          <cell r="G780">
            <v>5336121.0118775815</v>
          </cell>
          <cell r="H780">
            <v>615257.67857872811</v>
          </cell>
          <cell r="I780">
            <v>426881.97090494109</v>
          </cell>
          <cell r="J780">
            <v>50956.23828906141</v>
          </cell>
          <cell r="K780">
            <v>3624221.8454155698</v>
          </cell>
          <cell r="L780">
            <v>1508643.3718873523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</row>
        <row r="781">
          <cell r="D781" t="str">
            <v>DISTREVREQ-D%</v>
          </cell>
          <cell r="E781">
            <v>20217398.434633341</v>
          </cell>
          <cell r="F781">
            <v>0.42811226902731209</v>
          </cell>
          <cell r="G781">
            <v>0.26393707524389287</v>
          </cell>
          <cell r="H781">
            <v>3.0432089497962469E-2</v>
          </cell>
          <cell r="I781">
            <v>2.111458466256828E-2</v>
          </cell>
          <cell r="J781">
            <v>2.52041519851392E-3</v>
          </cell>
          <cell r="K781">
            <v>0.17926252267982759</v>
          </cell>
          <cell r="L781">
            <v>7.4621043689922853E-2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</row>
        <row r="783">
          <cell r="D783" t="str">
            <v>DISTREVREQ-E</v>
          </cell>
          <cell r="E783" t="str">
            <v>INT</v>
          </cell>
          <cell r="F783">
            <v>6808736.0091161765</v>
          </cell>
          <cell r="G783">
            <v>4258016.1553192139</v>
          </cell>
          <cell r="H783">
            <v>543278.35380737018</v>
          </cell>
          <cell r="I783">
            <v>528149.68292911327</v>
          </cell>
          <cell r="J783">
            <v>90482.712793416606</v>
          </cell>
          <cell r="K783">
            <v>7978799.1074715983</v>
          </cell>
          <cell r="L783">
            <v>1806436.7494462975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</row>
        <row r="784">
          <cell r="D784" t="str">
            <v>DISTREVREQ-E%</v>
          </cell>
          <cell r="E784">
            <v>22013898.770883191</v>
          </cell>
          <cell r="F784">
            <v>0.30929260100540618</v>
          </cell>
          <cell r="G784">
            <v>0.19342399089029624</v>
          </cell>
          <cell r="H784">
            <v>2.467887944165258E-2</v>
          </cell>
          <cell r="I784">
            <v>2.3991646751263956E-2</v>
          </cell>
          <cell r="J784">
            <v>4.110253878022465E-3</v>
          </cell>
          <cell r="K784">
            <v>0.36244370842773216</v>
          </cell>
          <cell r="L784">
            <v>8.205891960562621E-2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</row>
        <row r="786">
          <cell r="D786" t="str">
            <v>DISTREVREQ-C</v>
          </cell>
          <cell r="E786" t="str">
            <v>INT</v>
          </cell>
          <cell r="F786">
            <v>42628971.409539446</v>
          </cell>
          <cell r="G786">
            <v>9002588.9169392399</v>
          </cell>
          <cell r="H786">
            <v>450542.37025714351</v>
          </cell>
          <cell r="I786">
            <v>188839.53056773776</v>
          </cell>
          <cell r="J786">
            <v>66164.565148898429</v>
          </cell>
          <cell r="K786">
            <v>1132309.2553852089</v>
          </cell>
          <cell r="L786">
            <v>393736.12216262566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</row>
        <row r="787">
          <cell r="D787" t="str">
            <v>DISTREVREQ-C%</v>
          </cell>
          <cell r="E787">
            <v>53863152.1700003</v>
          </cell>
          <cell r="F787">
            <v>0.79143105615126141</v>
          </cell>
          <cell r="G787">
            <v>0.1671381743223215</v>
          </cell>
          <cell r="H787">
            <v>8.3645748922224848E-3</v>
          </cell>
          <cell r="I787">
            <v>3.5059130956861099E-3</v>
          </cell>
          <cell r="J787">
            <v>1.2283827158884612E-3</v>
          </cell>
          <cell r="K787">
            <v>2.1021964177132979E-2</v>
          </cell>
          <cell r="L787">
            <v>7.3099346454870403E-3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</row>
        <row r="789">
          <cell r="D789" t="str">
            <v>BBAREVREQ-D</v>
          </cell>
          <cell r="E789" t="str">
            <v>INT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</row>
        <row r="790">
          <cell r="D790" t="str">
            <v>BBAREVREQ-D%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</row>
        <row r="792">
          <cell r="D792" t="str">
            <v>BBAREVREQ-E</v>
          </cell>
          <cell r="E792" t="str">
            <v>INT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</row>
        <row r="793">
          <cell r="D793" t="str">
            <v>BBAREVREQ-E%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</row>
        <row r="795">
          <cell r="D795" t="str">
            <v>COMMCOLLREVREQ-C</v>
          </cell>
          <cell r="E795" t="str">
            <v>INT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</row>
        <row r="796">
          <cell r="D796" t="str">
            <v>COMMCOLLREVREQ-C%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</row>
        <row r="798">
          <cell r="D798" t="str">
            <v>BBAREVREQ-C</v>
          </cell>
          <cell r="E798" t="str">
            <v>INT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</row>
        <row r="799">
          <cell r="D799" t="str">
            <v>BBAREVREQ-C%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</row>
        <row r="804">
          <cell r="D804" t="str">
            <v>LAST Line of Afactor and Afirst Range</v>
          </cell>
          <cell r="E804" t="str">
            <v>END</v>
          </cell>
        </row>
      </sheetData>
      <sheetData sheetId="84" refreshError="1"/>
      <sheetData sheetId="85">
        <row r="77">
          <cell r="E77">
            <v>1</v>
          </cell>
        </row>
        <row r="81">
          <cell r="E81">
            <v>2</v>
          </cell>
        </row>
        <row r="89">
          <cell r="E89">
            <v>1</v>
          </cell>
        </row>
        <row r="95">
          <cell r="E95" t="str">
            <v>HISTORIC YEAR ENDING DEC 31, 2016</v>
          </cell>
        </row>
        <row r="117">
          <cell r="E117" t="b">
            <v>1</v>
          </cell>
        </row>
        <row r="119">
          <cell r="E119">
            <v>0.5</v>
          </cell>
        </row>
        <row r="134">
          <cell r="E134" t="str">
            <v>$E:$I</v>
          </cell>
        </row>
        <row r="135">
          <cell r="E135" t="str">
            <v>$K:$O</v>
          </cell>
        </row>
        <row r="136">
          <cell r="E136" t="str">
            <v>$Q:$U</v>
          </cell>
        </row>
        <row r="137">
          <cell r="E137" t="str">
            <v>$W:$AA</v>
          </cell>
        </row>
        <row r="138">
          <cell r="E138" t="str">
            <v>$AC:$AG</v>
          </cell>
        </row>
        <row r="139">
          <cell r="E139" t="str">
            <v>$AI:$AM</v>
          </cell>
        </row>
        <row r="140">
          <cell r="E140" t="str">
            <v>$AO:$AS</v>
          </cell>
        </row>
        <row r="141">
          <cell r="E141" t="str">
            <v>$AU:$AY</v>
          </cell>
        </row>
      </sheetData>
      <sheetData sheetId="86" refreshError="1"/>
      <sheetData sheetId="87" refreshError="1"/>
      <sheetData sheetId="88" refreshError="1"/>
      <sheetData sheetId="89">
        <row r="61">
          <cell r="D61">
            <v>6.3829096908015401E-2</v>
          </cell>
          <cell r="E61">
            <v>7.5980000000000006E-2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0.43215512</v>
          </cell>
        </row>
        <row r="70">
          <cell r="E70">
            <v>9.7891000000000006E-2</v>
          </cell>
        </row>
        <row r="71">
          <cell r="E71">
            <v>9.7891000000000006E-2</v>
          </cell>
        </row>
        <row r="72">
          <cell r="E72">
            <v>9.7891000000000006E-2</v>
          </cell>
        </row>
        <row r="73">
          <cell r="E73">
            <v>9.7891000000000006E-2</v>
          </cell>
        </row>
        <row r="74">
          <cell r="E74">
            <v>9.7891000000000006E-2</v>
          </cell>
        </row>
        <row r="75">
          <cell r="E75">
            <v>9.7891000000000006E-2</v>
          </cell>
        </row>
        <row r="76">
          <cell r="E76">
            <v>9.7891000000000006E-2</v>
          </cell>
        </row>
        <row r="77">
          <cell r="E77">
            <v>9.7891000000000006E-2</v>
          </cell>
        </row>
        <row r="83">
          <cell r="E83" t="str">
            <v>Using Target for System</v>
          </cell>
        </row>
      </sheetData>
      <sheetData sheetId="90" refreshError="1"/>
      <sheetData sheetId="91"/>
      <sheetData sheetId="92"/>
      <sheetData sheetId="93"/>
      <sheetData sheetId="94" refreshError="1"/>
      <sheetData sheetId="95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6530-F413-407A-9B79-CC1B60C3F763}">
  <sheetPr>
    <tabColor theme="5"/>
  </sheetPr>
  <dimension ref="A1:M18"/>
  <sheetViews>
    <sheetView showGridLines="0" zoomScale="80" zoomScaleNormal="80" workbookViewId="0">
      <selection activeCell="B2" sqref="B2:M18"/>
    </sheetView>
  </sheetViews>
  <sheetFormatPr defaultColWidth="8.85546875" defaultRowHeight="15" x14ac:dyDescent="0.25"/>
  <sheetData>
    <row r="1" spans="1:13" x14ac:dyDescent="0.25">
      <c r="A1" s="1" t="str">
        <f ca="1">MID(CELL("filename",A1),FIND("]",CELL("filename",A1))+1,255)</f>
        <v>Rate Design ---&gt;</v>
      </c>
    </row>
    <row r="2" spans="1:13" x14ac:dyDescent="0.25"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x14ac:dyDescent="0.2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x14ac:dyDescent="0.25"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3" x14ac:dyDescent="0.25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</row>
    <row r="8" spans="1:13" x14ac:dyDescent="0.25"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3" x14ac:dyDescent="0.2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 x14ac:dyDescent="0.25"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3" x14ac:dyDescent="0.25"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x14ac:dyDescent="0.25"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x14ac:dyDescent="0.25"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x14ac:dyDescent="0.25"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2:13" x14ac:dyDescent="0.25"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2:13" x14ac:dyDescent="0.25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</sheetData>
  <mergeCells count="1">
    <mergeCell ref="B2:M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E458-8862-44E4-B0FC-F6975C026376}">
  <sheetPr>
    <tabColor theme="5"/>
  </sheetPr>
  <dimension ref="A1:J41"/>
  <sheetViews>
    <sheetView zoomScaleNormal="100" workbookViewId="0">
      <selection activeCell="I2" sqref="I2"/>
    </sheetView>
  </sheetViews>
  <sheetFormatPr defaultColWidth="8.85546875" defaultRowHeight="15" x14ac:dyDescent="0.25"/>
  <cols>
    <col min="1" max="1" width="2.7109375" style="3" customWidth="1"/>
    <col min="2" max="2" width="29.85546875" style="3" customWidth="1"/>
    <col min="3" max="6" width="16.85546875" style="3" customWidth="1"/>
    <col min="7" max="7" width="2.7109375" style="3" customWidth="1"/>
    <col min="8" max="16384" width="8.85546875" style="3"/>
  </cols>
  <sheetData>
    <row r="1" spans="1:10" x14ac:dyDescent="0.25">
      <c r="A1" s="2" t="s">
        <v>1</v>
      </c>
      <c r="G1" s="4"/>
      <c r="H1" s="3" t="s">
        <v>2</v>
      </c>
      <c r="J1" s="3" t="s">
        <v>2</v>
      </c>
    </row>
    <row r="2" spans="1:10" x14ac:dyDescent="0.25">
      <c r="A2" s="2" t="s">
        <v>3</v>
      </c>
      <c r="G2" s="4"/>
    </row>
    <row r="3" spans="1:10" x14ac:dyDescent="0.25">
      <c r="A3" s="2" t="s">
        <v>4</v>
      </c>
      <c r="G3" s="5" t="s">
        <v>5</v>
      </c>
    </row>
    <row r="4" spans="1:10" x14ac:dyDescent="0.25">
      <c r="A4" s="2"/>
      <c r="G4" s="5" t="s">
        <v>6</v>
      </c>
    </row>
    <row r="5" spans="1:10" ht="5.25" customHeight="1" thickBot="1" x14ac:dyDescent="0.3">
      <c r="A5" s="2"/>
      <c r="G5" s="5"/>
    </row>
    <row r="6" spans="1:10" x14ac:dyDescent="0.25">
      <c r="B6" s="6"/>
      <c r="C6" s="7" t="s">
        <v>7</v>
      </c>
      <c r="D6" s="8"/>
      <c r="E6" s="8"/>
      <c r="F6" s="9"/>
    </row>
    <row r="7" spans="1:10" ht="15.75" thickBot="1" x14ac:dyDescent="0.3">
      <c r="B7" s="10" t="s">
        <v>8</v>
      </c>
      <c r="C7" s="11" t="s">
        <v>9</v>
      </c>
      <c r="D7" s="12" t="s">
        <v>10</v>
      </c>
      <c r="E7" s="12" t="s">
        <v>11</v>
      </c>
      <c r="F7" s="13" t="s">
        <v>12</v>
      </c>
    </row>
    <row r="8" spans="1:10" ht="5.45" customHeight="1" x14ac:dyDescent="0.25">
      <c r="B8" s="14"/>
      <c r="C8" s="15"/>
      <c r="D8" s="15"/>
      <c r="E8" s="15"/>
      <c r="F8" s="16"/>
    </row>
    <row r="9" spans="1:10" ht="17.25" x14ac:dyDescent="0.4">
      <c r="B9" s="17" t="s">
        <v>13</v>
      </c>
      <c r="F9" s="18"/>
    </row>
    <row r="10" spans="1:10" x14ac:dyDescent="0.25">
      <c r="B10" s="19" t="s">
        <v>14</v>
      </c>
      <c r="C10" s="20">
        <f>'Exh 18, Class Rates'!F9</f>
        <v>11886052.59</v>
      </c>
      <c r="D10" s="20">
        <f>'Exh 18, Class Rates'!I9</f>
        <v>11886052.59</v>
      </c>
      <c r="E10" s="20">
        <f>D10-C10</f>
        <v>0</v>
      </c>
      <c r="F10" s="21">
        <f>IFERROR(E10/C10,"")</f>
        <v>0</v>
      </c>
    </row>
    <row r="11" spans="1:10" x14ac:dyDescent="0.25">
      <c r="B11" s="19" t="s">
        <v>15</v>
      </c>
      <c r="C11" s="22">
        <f>'Exh 18, Class Rates'!F10</f>
        <v>41510635.270000003</v>
      </c>
      <c r="D11" s="22">
        <f>'Exh 18, Class Rates'!I10</f>
        <v>48552588.68</v>
      </c>
      <c r="E11" s="22">
        <f>D11-C11</f>
        <v>7041953.4099999964</v>
      </c>
      <c r="F11" s="21">
        <f>E11/C11</f>
        <v>0.16964214987789553</v>
      </c>
    </row>
    <row r="12" spans="1:10" ht="18" thickBot="1" x14ac:dyDescent="0.45">
      <c r="B12" s="23" t="str">
        <f>"Total "&amp;RIGHT(B9,3)&amp;" Revenue"</f>
        <v>Total 503 Revenue</v>
      </c>
      <c r="C12" s="24">
        <f>SUM(C10:C11)</f>
        <v>53396687.859999999</v>
      </c>
      <c r="D12" s="24">
        <f>SUM(D10:D11)</f>
        <v>60438641.269999996</v>
      </c>
      <c r="E12" s="24">
        <f>ROUND(D12-C12,2)</f>
        <v>7041953.4100000001</v>
      </c>
      <c r="F12" s="25">
        <f>E12/C12</f>
        <v>0.13187996657139475</v>
      </c>
    </row>
    <row r="13" spans="1:10" ht="5.45" customHeight="1" x14ac:dyDescent="0.25">
      <c r="B13" s="14"/>
      <c r="C13" s="15"/>
      <c r="D13" s="15"/>
      <c r="E13" s="15"/>
      <c r="F13" s="26"/>
    </row>
    <row r="14" spans="1:10" ht="17.25" x14ac:dyDescent="0.4">
      <c r="B14" s="17" t="s">
        <v>16</v>
      </c>
      <c r="F14" s="27"/>
    </row>
    <row r="15" spans="1:10" x14ac:dyDescent="0.25">
      <c r="B15" s="19" t="s">
        <v>14</v>
      </c>
      <c r="C15" s="20">
        <f>'Exh 18, Class Rates'!F15</f>
        <v>4232612.84</v>
      </c>
      <c r="D15" s="20">
        <f>'Exh 18, Class Rates'!I15</f>
        <v>4232612.84</v>
      </c>
      <c r="E15" s="20">
        <f>D15-C15</f>
        <v>0</v>
      </c>
      <c r="F15" s="21">
        <f>IFERROR(E15/C15,"")</f>
        <v>0</v>
      </c>
    </row>
    <row r="16" spans="1:10" x14ac:dyDescent="0.25">
      <c r="B16" s="19" t="s">
        <v>15</v>
      </c>
      <c r="C16" s="22">
        <f>'Exh 18, Class Rates'!F16</f>
        <v>24687981.170000002</v>
      </c>
      <c r="D16" s="22">
        <f>'Exh 18, Class Rates'!I16</f>
        <v>28876103.370000001</v>
      </c>
      <c r="E16" s="22">
        <f>D16-C16</f>
        <v>4188122.1999999993</v>
      </c>
      <c r="F16" s="21">
        <f>E16/C16</f>
        <v>0.16964214980402137</v>
      </c>
    </row>
    <row r="17" spans="2:6" ht="18" thickBot="1" x14ac:dyDescent="0.45">
      <c r="B17" s="23" t="str">
        <f>"Total "&amp;RIGHT(B14,3)&amp;" Revenue"</f>
        <v>Total 504 Revenue</v>
      </c>
      <c r="C17" s="24">
        <f>SUM(C15:C16)</f>
        <v>28920594.010000002</v>
      </c>
      <c r="D17" s="24">
        <f>SUM(D15:D16)</f>
        <v>33108716.210000001</v>
      </c>
      <c r="E17" s="24">
        <f>ROUND(D17-C17,2)</f>
        <v>4188122.2</v>
      </c>
      <c r="F17" s="25">
        <f>E17/C17</f>
        <v>0.1448145290014394</v>
      </c>
    </row>
    <row r="18" spans="2:6" ht="5.45" customHeight="1" x14ac:dyDescent="0.25">
      <c r="B18" s="14"/>
      <c r="C18" s="15"/>
      <c r="D18" s="15"/>
      <c r="E18" s="15"/>
      <c r="F18" s="26"/>
    </row>
    <row r="19" spans="2:6" ht="17.25" x14ac:dyDescent="0.4">
      <c r="B19" s="17" t="s">
        <v>17</v>
      </c>
      <c r="F19" s="27"/>
    </row>
    <row r="20" spans="2:6" x14ac:dyDescent="0.25">
      <c r="B20" s="19" t="s">
        <v>14</v>
      </c>
      <c r="C20" s="20">
        <f>'Exh 18, Class Rates'!F21</f>
        <v>353671.58</v>
      </c>
      <c r="D20" s="20">
        <f>'Exh 18, Class Rates'!I21</f>
        <v>353671.58</v>
      </c>
      <c r="E20" s="20">
        <f>D20-C20</f>
        <v>0</v>
      </c>
      <c r="F20" s="21">
        <f>IFERROR(E20/C20,"")</f>
        <v>0</v>
      </c>
    </row>
    <row r="21" spans="2:6" x14ac:dyDescent="0.25">
      <c r="B21" s="19" t="s">
        <v>15</v>
      </c>
      <c r="C21" s="22">
        <f>SUM('Exh 18, Class Rates'!F22:F24)</f>
        <v>2244175.27</v>
      </c>
      <c r="D21" s="22">
        <f>SUM('Exh 18, Class Rates'!I22:I24)</f>
        <v>2624881.9900000002</v>
      </c>
      <c r="E21" s="22">
        <f>D21-C21</f>
        <v>380706.7200000002</v>
      </c>
      <c r="F21" s="21">
        <f>E21/C21</f>
        <v>0.16964215098939228</v>
      </c>
    </row>
    <row r="22" spans="2:6" ht="18" thickBot="1" x14ac:dyDescent="0.45">
      <c r="B22" s="23" t="str">
        <f>"Total "&amp;RIGHT(B19,3)&amp;" Revenue"</f>
        <v>Total 505 Revenue</v>
      </c>
      <c r="C22" s="24">
        <f>SUM(C20:C21)</f>
        <v>2597846.85</v>
      </c>
      <c r="D22" s="24">
        <f>SUM(D20:D21)</f>
        <v>2978553.5700000003</v>
      </c>
      <c r="E22" s="24">
        <f>ROUND(D22-C22,2)</f>
        <v>380706.72</v>
      </c>
      <c r="F22" s="25">
        <f>E22/C22</f>
        <v>0.14654702220032714</v>
      </c>
    </row>
    <row r="23" spans="2:6" ht="5.45" customHeight="1" x14ac:dyDescent="0.25">
      <c r="B23" s="14"/>
      <c r="C23" s="15"/>
      <c r="D23" s="15"/>
      <c r="E23" s="15"/>
      <c r="F23" s="26"/>
    </row>
    <row r="24" spans="2:6" ht="17.25" x14ac:dyDescent="0.4">
      <c r="B24" s="17" t="s">
        <v>18</v>
      </c>
      <c r="F24" s="27"/>
    </row>
    <row r="25" spans="2:6" x14ac:dyDescent="0.25">
      <c r="B25" s="19" t="s">
        <v>14</v>
      </c>
      <c r="C25" s="20">
        <f>'Exh 18, Class Rates'!F29</f>
        <v>136569.76999999999</v>
      </c>
      <c r="D25" s="20">
        <f>'Exh 18, Class Rates'!I29</f>
        <v>136569.76999999999</v>
      </c>
      <c r="E25" s="20">
        <f>D25-C25</f>
        <v>0</v>
      </c>
      <c r="F25" s="21" t="s">
        <v>19</v>
      </c>
    </row>
    <row r="26" spans="2:6" x14ac:dyDescent="0.25">
      <c r="B26" s="19" t="s">
        <v>15</v>
      </c>
      <c r="C26" s="22">
        <f>SUM('Exh 18, Class Rates'!F30:F32)</f>
        <v>2192482.12</v>
      </c>
      <c r="D26" s="22">
        <f>SUM('Exh 18, Class Rates'!I30:I32)</f>
        <v>2564419.5</v>
      </c>
      <c r="E26" s="22">
        <f>D26-C26</f>
        <v>371937.37999999989</v>
      </c>
      <c r="F26" s="21">
        <f>E26/C26</f>
        <v>0.16964214969287864</v>
      </c>
    </row>
    <row r="27" spans="2:6" ht="18" thickBot="1" x14ac:dyDescent="0.45">
      <c r="B27" s="23" t="str">
        <f>"Total "&amp;RIGHT(B24,3)&amp;" Revenue"</f>
        <v>Total 511 Revenue</v>
      </c>
      <c r="C27" s="24">
        <f>SUM(C25:C26)</f>
        <v>2329051.89</v>
      </c>
      <c r="D27" s="24">
        <f>SUM(D25:D26)</f>
        <v>2700989.27</v>
      </c>
      <c r="E27" s="24">
        <f>ROUND(D27-C27,2)</f>
        <v>371937.38</v>
      </c>
      <c r="F27" s="25">
        <f>E27/C27</f>
        <v>0.15969475888319518</v>
      </c>
    </row>
    <row r="28" spans="2:6" ht="5.45" customHeight="1" x14ac:dyDescent="0.25">
      <c r="B28" s="14"/>
      <c r="C28" s="15"/>
      <c r="D28" s="15"/>
      <c r="E28" s="15"/>
      <c r="F28" s="26"/>
    </row>
    <row r="29" spans="2:6" ht="17.25" x14ac:dyDescent="0.4">
      <c r="B29" s="17" t="s">
        <v>20</v>
      </c>
      <c r="F29" s="27"/>
    </row>
    <row r="30" spans="2:6" x14ac:dyDescent="0.25">
      <c r="B30" s="19" t="s">
        <v>14</v>
      </c>
      <c r="C30" s="20">
        <f>'Exh 18, Class Rates'!F37</f>
        <v>1412500</v>
      </c>
      <c r="D30" s="20">
        <f>'Exh 18, Class Rates'!I37</f>
        <v>1412500</v>
      </c>
      <c r="E30" s="20">
        <f>D30-C30</f>
        <v>0</v>
      </c>
      <c r="F30" s="21">
        <f>IFERROR(E30/C30,"")</f>
        <v>0</v>
      </c>
    </row>
    <row r="31" spans="2:6" x14ac:dyDescent="0.25">
      <c r="B31" s="19" t="s">
        <v>21</v>
      </c>
      <c r="C31" s="20">
        <f>'Exh 18, Class Rates'!F38</f>
        <v>6070830.4000000004</v>
      </c>
      <c r="D31" s="20">
        <f>'Exh 18, Class Rates'!I38</f>
        <v>6070830.4000000004</v>
      </c>
      <c r="E31" s="20">
        <f>D31-C31</f>
        <v>0</v>
      </c>
      <c r="F31" s="21" t="s">
        <v>19</v>
      </c>
    </row>
    <row r="32" spans="2:6" x14ac:dyDescent="0.25">
      <c r="B32" s="19" t="s">
        <v>15</v>
      </c>
      <c r="C32" s="22">
        <f>SUM('Exh 18, Class Rates'!F50:F51)</f>
        <v>145753.08000000002</v>
      </c>
      <c r="D32" s="22">
        <f>SUM('Exh 18, Class Rates'!I50:I51)</f>
        <v>170478.95</v>
      </c>
      <c r="E32" s="22">
        <f>D32-C32</f>
        <v>24725.869999999995</v>
      </c>
      <c r="F32" s="21">
        <f>E32/C32</f>
        <v>0.16964217840199325</v>
      </c>
    </row>
    <row r="33" spans="2:6" ht="18" thickBot="1" x14ac:dyDescent="0.45">
      <c r="B33" s="23" t="str">
        <f>"Total "&amp;RIGHT(B29,3)&amp;" Revenue"</f>
        <v>Total 570 Revenue</v>
      </c>
      <c r="C33" s="24">
        <f>SUM(C30:C32)</f>
        <v>7629083.4800000004</v>
      </c>
      <c r="D33" s="24">
        <f>SUM(D30:D32)</f>
        <v>7653809.3500000006</v>
      </c>
      <c r="E33" s="24">
        <f>ROUND(D33-C33,2)</f>
        <v>24725.87</v>
      </c>
      <c r="F33" s="25">
        <f>E33/C33</f>
        <v>3.2410013686204934E-3</v>
      </c>
    </row>
    <row r="34" spans="2:6" ht="17.25" x14ac:dyDescent="0.4">
      <c r="B34" s="17" t="s">
        <v>22</v>
      </c>
      <c r="F34" s="27"/>
    </row>
    <row r="35" spans="2:6" x14ac:dyDescent="0.25">
      <c r="B35" s="19" t="s">
        <v>14</v>
      </c>
      <c r="C35" s="20">
        <f>'Exh 18, Class Rates'!$F$37</f>
        <v>1412500</v>
      </c>
      <c r="D35" s="20">
        <f>'Exh 18, Class Rates'!$I$37</f>
        <v>1412500</v>
      </c>
      <c r="E35" s="20">
        <f>D35-C35</f>
        <v>0</v>
      </c>
      <c r="F35" s="21">
        <f>IFERROR(E35/C35,"")</f>
        <v>0</v>
      </c>
    </row>
    <row r="36" spans="2:6" x14ac:dyDescent="0.25">
      <c r="B36" s="19" t="s">
        <v>21</v>
      </c>
      <c r="C36" s="20">
        <f>'Exh 18, Class Rates'!$F$38</f>
        <v>6070830.4000000004</v>
      </c>
      <c r="D36" s="20">
        <f>'Exh 18, Class Rates'!$I$38</f>
        <v>6070830.4000000004</v>
      </c>
      <c r="E36" s="20">
        <f>D36-C36</f>
        <v>0</v>
      </c>
      <c r="F36" s="21" t="s">
        <v>19</v>
      </c>
    </row>
    <row r="37" spans="2:6" x14ac:dyDescent="0.25">
      <c r="B37" s="19" t="s">
        <v>15</v>
      </c>
      <c r="C37" s="22">
        <f>SUM('Exh 18, Class Rates'!F40:F43)</f>
        <v>13346954.9</v>
      </c>
      <c r="D37" s="22">
        <f>SUM('Exh 18, Class Rates'!I40:I43)</f>
        <v>15611161.029999999</v>
      </c>
      <c r="E37" s="20">
        <f>D37-C37</f>
        <v>2264206.129999999</v>
      </c>
      <c r="F37" s="21">
        <f>E37/C37</f>
        <v>0.16964215036045405</v>
      </c>
    </row>
    <row r="38" spans="2:6" ht="18" thickBot="1" x14ac:dyDescent="0.45">
      <c r="B38" s="23" t="str">
        <f>"Total "&amp;RIGHT(B34,3)&amp;" Revenue"</f>
        <v>Total 663 Revenue</v>
      </c>
      <c r="C38" s="24">
        <f>SUM(C35:C37)</f>
        <v>20830285.300000001</v>
      </c>
      <c r="D38" s="24">
        <f>SUM(D35:D37)</f>
        <v>23094491.43</v>
      </c>
      <c r="E38" s="24">
        <f>ROUND(D38-C38,2)</f>
        <v>2264206.13</v>
      </c>
      <c r="F38" s="25">
        <f>E38/C38</f>
        <v>0.10869779733645799</v>
      </c>
    </row>
    <row r="39" spans="2:6" ht="15.75" thickBot="1" x14ac:dyDescent="0.3">
      <c r="B39" s="28" t="s">
        <v>23</v>
      </c>
      <c r="C39" s="29">
        <f>SUM(C12,C17,C22,C27,C33, C38)</f>
        <v>115703549.39</v>
      </c>
      <c r="D39" s="29">
        <f>SUM(D12,D17,D22,D27,D33, D38)</f>
        <v>129975201.09999996</v>
      </c>
      <c r="E39" s="29">
        <f>SUM(E12,E17,E22,E27,E33, E38)</f>
        <v>14271651.710000001</v>
      </c>
      <c r="F39" s="30"/>
    </row>
    <row r="40" spans="2:6" x14ac:dyDescent="0.25">
      <c r="D40" s="31"/>
      <c r="E40" s="31"/>
    </row>
    <row r="41" spans="2:6" x14ac:dyDescent="0.25">
      <c r="E41" s="32">
        <f>E39/C39</f>
        <v>0.12334670617488826</v>
      </c>
      <c r="F41" s="3" t="s">
        <v>120</v>
      </c>
    </row>
  </sheetData>
  <printOptions horizontalCentered="1"/>
  <pageMargins left="0.7" right="0.7" top="0.5" bottom="0.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F905-CD0B-426E-8A71-64E279F9C9F6}">
  <sheetPr>
    <tabColor theme="5"/>
    <pageSetUpPr fitToPage="1"/>
  </sheetPr>
  <dimension ref="A1:AA57"/>
  <sheetViews>
    <sheetView topLeftCell="A10" zoomScale="85" zoomScaleNormal="85" workbookViewId="0">
      <selection activeCell="L1" sqref="L1:L2"/>
    </sheetView>
  </sheetViews>
  <sheetFormatPr defaultColWidth="8.85546875" defaultRowHeight="15" x14ac:dyDescent="0.25"/>
  <cols>
    <col min="1" max="1" width="8" style="98" bestFit="1" customWidth="1"/>
    <col min="2" max="2" width="1.5703125" style="3" customWidth="1"/>
    <col min="3" max="3" width="35.5703125" style="3" bestFit="1" customWidth="1"/>
    <col min="4" max="4" width="13" style="3" customWidth="1"/>
    <col min="5" max="5" width="15.85546875" style="3" customWidth="1"/>
    <col min="6" max="6" width="14.5703125" style="3" bestFit="1" customWidth="1"/>
    <col min="7" max="7" width="14.5703125" style="22" customWidth="1"/>
    <col min="8" max="8" width="15.42578125" style="3" bestFit="1" customWidth="1"/>
    <col min="9" max="9" width="13.42578125" style="3" bestFit="1" customWidth="1"/>
    <col min="10" max="10" width="12.42578125" style="3" bestFit="1" customWidth="1"/>
    <col min="11" max="11" width="10.7109375" style="3" bestFit="1" customWidth="1"/>
    <col min="12" max="12" width="10" style="3" customWidth="1"/>
    <col min="13" max="13" width="16.140625" style="3" customWidth="1"/>
    <col min="14" max="14" width="30" style="3" customWidth="1"/>
    <col min="15" max="15" width="17.28515625" style="3" bestFit="1" customWidth="1"/>
    <col min="16" max="16" width="35.7109375" style="3" bestFit="1" customWidth="1"/>
    <col min="17" max="17" width="12.85546875" style="3" bestFit="1" customWidth="1"/>
    <col min="18" max="18" width="8.85546875" style="3"/>
    <col min="19" max="19" width="13" style="3" customWidth="1"/>
    <col min="20" max="20" width="14.5703125" style="3" bestFit="1" customWidth="1"/>
    <col min="21" max="21" width="13.42578125" style="3" bestFit="1" customWidth="1"/>
    <col min="22" max="23" width="11.85546875" style="3" bestFit="1" customWidth="1"/>
    <col min="24" max="24" width="13.28515625" style="3" bestFit="1" customWidth="1"/>
    <col min="25" max="25" width="11.85546875" style="3" bestFit="1" customWidth="1"/>
    <col min="26" max="26" width="14.5703125" style="3" bestFit="1" customWidth="1"/>
    <col min="27" max="27" width="12.85546875" style="3" bestFit="1" customWidth="1"/>
    <col min="28" max="16384" width="8.85546875" style="3"/>
  </cols>
  <sheetData>
    <row r="1" spans="2:27" x14ac:dyDescent="0.25">
      <c r="B1" s="2" t="str">
        <f>'Exh 17, Class Revenue'!A1</f>
        <v>Cascade Natural Gas Corporation</v>
      </c>
      <c r="I1" s="3" t="s">
        <v>2</v>
      </c>
      <c r="K1" s="3" t="s">
        <v>2</v>
      </c>
      <c r="L1" s="33"/>
    </row>
    <row r="2" spans="2:27" x14ac:dyDescent="0.25">
      <c r="B2" s="2" t="str">
        <f>'Exh 17, Class Revenue'!A2</f>
        <v>Washington Jurisdiction</v>
      </c>
      <c r="L2" s="33"/>
      <c r="P2" s="34"/>
      <c r="Q2" s="35"/>
      <c r="S2" s="2"/>
    </row>
    <row r="3" spans="2:27" x14ac:dyDescent="0.25">
      <c r="B3" s="2" t="str">
        <f>'Exh 17, Class Revenue'!A3</f>
        <v>Test Year Ended December 31, 2019</v>
      </c>
      <c r="L3" s="34" t="s">
        <v>24</v>
      </c>
      <c r="M3" s="2"/>
      <c r="N3" s="2"/>
      <c r="P3" s="34"/>
      <c r="Q3" s="35"/>
    </row>
    <row r="4" spans="2:27" x14ac:dyDescent="0.25">
      <c r="B4" s="2"/>
      <c r="M4" s="22"/>
      <c r="N4" s="2"/>
      <c r="P4" s="34"/>
      <c r="Q4" s="32"/>
      <c r="T4" s="36"/>
      <c r="U4" s="36"/>
      <c r="V4" s="36"/>
      <c r="W4" s="36"/>
      <c r="X4" s="36"/>
      <c r="Y4" s="36"/>
      <c r="Z4" s="36"/>
    </row>
    <row r="5" spans="2:27" x14ac:dyDescent="0.25">
      <c r="C5" s="37"/>
      <c r="D5" s="146" t="s">
        <v>25</v>
      </c>
      <c r="E5" s="147"/>
      <c r="F5" s="148"/>
      <c r="G5" s="146" t="s">
        <v>26</v>
      </c>
      <c r="H5" s="147"/>
      <c r="I5" s="148"/>
      <c r="J5" s="38" t="s">
        <v>27</v>
      </c>
      <c r="K5" s="39"/>
      <c r="P5" s="34"/>
      <c r="Q5" s="35"/>
      <c r="T5" s="35"/>
      <c r="U5" s="35"/>
      <c r="V5" s="35"/>
      <c r="W5" s="35"/>
      <c r="X5" s="35"/>
      <c r="Y5" s="35"/>
      <c r="Z5" s="35"/>
      <c r="AA5" s="35"/>
    </row>
    <row r="6" spans="2:27" ht="30.75" thickBot="1" x14ac:dyDescent="0.3">
      <c r="C6" s="40" t="s">
        <v>8</v>
      </c>
      <c r="D6" s="41" t="s">
        <v>28</v>
      </c>
      <c r="E6" s="42" t="s">
        <v>29</v>
      </c>
      <c r="F6" s="43" t="s">
        <v>30</v>
      </c>
      <c r="G6" s="44" t="s">
        <v>28</v>
      </c>
      <c r="H6" s="12" t="s">
        <v>31</v>
      </c>
      <c r="I6" s="13" t="s">
        <v>30</v>
      </c>
      <c r="J6" s="45" t="s">
        <v>32</v>
      </c>
      <c r="K6" s="12" t="s">
        <v>33</v>
      </c>
      <c r="T6" s="31"/>
      <c r="U6" s="31"/>
      <c r="V6" s="31"/>
      <c r="W6" s="31"/>
      <c r="X6" s="31"/>
      <c r="Y6" s="31"/>
      <c r="Z6" s="31"/>
    </row>
    <row r="7" spans="2:27" ht="6.95" customHeight="1" x14ac:dyDescent="0.25">
      <c r="C7" s="46"/>
      <c r="D7" s="15"/>
      <c r="E7" s="15"/>
      <c r="F7" s="15"/>
      <c r="G7" s="47"/>
      <c r="H7" s="15"/>
      <c r="I7" s="48"/>
      <c r="J7" s="15"/>
      <c r="K7" s="49"/>
    </row>
    <row r="8" spans="2:27" ht="17.25" x14ac:dyDescent="0.4">
      <c r="C8" s="50" t="s">
        <v>13</v>
      </c>
      <c r="D8" s="51"/>
      <c r="G8" s="47"/>
      <c r="I8" s="52"/>
      <c r="K8" s="53"/>
    </row>
    <row r="9" spans="2:27" x14ac:dyDescent="0.25">
      <c r="C9" s="54" t="s">
        <v>14</v>
      </c>
      <c r="D9" s="55">
        <v>2377210.5179602341</v>
      </c>
      <c r="E9" s="56">
        <v>5</v>
      </c>
      <c r="F9" s="57">
        <f>ROUND(D9*E9,2)</f>
        <v>11886052.59</v>
      </c>
      <c r="G9" s="47">
        <f>D9</f>
        <v>2377210.5179602341</v>
      </c>
      <c r="H9" s="58">
        <f>E9</f>
        <v>5</v>
      </c>
      <c r="I9" s="59">
        <f>ROUND(G9*H9,2)</f>
        <v>11886052.59</v>
      </c>
      <c r="J9" s="57">
        <f>I9-F9</f>
        <v>0</v>
      </c>
      <c r="K9" s="60">
        <f>J9/F9</f>
        <v>0</v>
      </c>
    </row>
    <row r="10" spans="2:27" x14ac:dyDescent="0.25">
      <c r="C10" s="54" t="s">
        <v>15</v>
      </c>
      <c r="D10" s="55">
        <v>133590690.53149468</v>
      </c>
      <c r="E10" s="61">
        <v>0.31073000000000001</v>
      </c>
      <c r="F10" s="57">
        <f>ROUND(D10*E10,2)</f>
        <v>41510635.270000003</v>
      </c>
      <c r="G10" s="47">
        <f>D10</f>
        <v>133590690.53149468</v>
      </c>
      <c r="H10" s="62">
        <v>0.36344290521131306</v>
      </c>
      <c r="I10" s="59">
        <f>ROUND(G10*H10,2)</f>
        <v>48552588.68</v>
      </c>
      <c r="J10" s="57">
        <f>I10-F10</f>
        <v>7041953.4099999964</v>
      </c>
      <c r="K10" s="60">
        <f>J10/F10</f>
        <v>0.16964214987789553</v>
      </c>
      <c r="M10" s="63"/>
    </row>
    <row r="11" spans="2:27" ht="18" thickBot="1" x14ac:dyDescent="0.45">
      <c r="C11" s="64" t="str">
        <f>"Total "&amp;RIGHT(C8,3)&amp;" Revenue"</f>
        <v>Total 503 Revenue</v>
      </c>
      <c r="D11" s="65"/>
      <c r="E11" s="65"/>
      <c r="F11" s="66">
        <f>SUM(F9:F10)</f>
        <v>53396687.859999999</v>
      </c>
      <c r="G11" s="67"/>
      <c r="H11" s="68"/>
      <c r="I11" s="69">
        <f>SUM(I9:I10)</f>
        <v>60438641.269999996</v>
      </c>
      <c r="J11" s="70">
        <f>SUM(J9:J10)</f>
        <v>7041953.4099999964</v>
      </c>
      <c r="K11" s="60">
        <f>J11/F11</f>
        <v>0.1318799665713947</v>
      </c>
      <c r="M11" s="20"/>
      <c r="O11" s="31"/>
    </row>
    <row r="12" spans="2:27" ht="6.95" customHeight="1" thickTop="1" thickBot="1" x14ac:dyDescent="0.45">
      <c r="C12" s="64"/>
      <c r="D12" s="71"/>
      <c r="E12" s="71"/>
      <c r="F12" s="71"/>
      <c r="G12" s="72"/>
      <c r="H12" s="24"/>
      <c r="I12" s="73"/>
      <c r="J12" s="71"/>
      <c r="K12" s="60"/>
    </row>
    <row r="13" spans="2:27" ht="8.1" customHeight="1" x14ac:dyDescent="0.25">
      <c r="C13" s="46"/>
      <c r="D13" s="15"/>
      <c r="E13" s="15"/>
      <c r="F13" s="15"/>
      <c r="G13" s="47"/>
      <c r="H13" s="15"/>
      <c r="I13" s="48"/>
      <c r="J13" s="15"/>
      <c r="K13" s="74"/>
    </row>
    <row r="14" spans="2:27" ht="17.25" x14ac:dyDescent="0.4">
      <c r="C14" s="50" t="s">
        <v>34</v>
      </c>
      <c r="D14" s="51"/>
      <c r="G14" s="47"/>
      <c r="I14" s="52"/>
      <c r="K14" s="75"/>
    </row>
    <row r="15" spans="2:27" x14ac:dyDescent="0.25">
      <c r="C15" s="54" t="s">
        <v>14</v>
      </c>
      <c r="D15" s="55">
        <v>325585.60335617326</v>
      </c>
      <c r="E15" s="56">
        <v>13</v>
      </c>
      <c r="F15" s="57">
        <f>ROUND(D15*E15,2)</f>
        <v>4232612.84</v>
      </c>
      <c r="G15" s="47">
        <f>D15</f>
        <v>325585.60335617326</v>
      </c>
      <c r="H15" s="58">
        <f>E15</f>
        <v>13</v>
      </c>
      <c r="I15" s="59">
        <f>ROUND(G15*H15,2)</f>
        <v>4232612.84</v>
      </c>
      <c r="J15" s="57">
        <f>I15-F15</f>
        <v>0</v>
      </c>
      <c r="K15" s="60">
        <f>J15/F15</f>
        <v>0</v>
      </c>
    </row>
    <row r="16" spans="2:27" x14ac:dyDescent="0.25">
      <c r="C16" s="54" t="s">
        <v>15</v>
      </c>
      <c r="D16" s="55">
        <v>94300921.185979769</v>
      </c>
      <c r="E16" s="61">
        <v>0.26179999999999998</v>
      </c>
      <c r="F16" s="57">
        <f>ROUND(D16*E16,2)</f>
        <v>24687981.170000002</v>
      </c>
      <c r="G16" s="47">
        <f>D16</f>
        <v>94300921.185979769</v>
      </c>
      <c r="H16" s="62">
        <v>0.30621231482097561</v>
      </c>
      <c r="I16" s="59">
        <f>ROUND(G16*H16,2)</f>
        <v>28876103.370000001</v>
      </c>
      <c r="J16" s="57">
        <f>I16-F16</f>
        <v>4188122.1999999993</v>
      </c>
      <c r="K16" s="60">
        <f>J16/F16</f>
        <v>0.16964214980402137</v>
      </c>
      <c r="M16" s="63"/>
    </row>
    <row r="17" spans="3:15" ht="18" thickBot="1" x14ac:dyDescent="0.45">
      <c r="C17" s="64" t="str">
        <f>"Total "&amp;RIGHT(C14,3)&amp;" Revenue"</f>
        <v>Total 504 Revenue</v>
      </c>
      <c r="D17" s="65"/>
      <c r="E17" s="65"/>
      <c r="F17" s="66">
        <f>SUM(F15:F16)</f>
        <v>28920594.010000002</v>
      </c>
      <c r="G17" s="67"/>
      <c r="H17" s="68"/>
      <c r="I17" s="69">
        <f>SUM(I15:I16)</f>
        <v>33108716.210000001</v>
      </c>
      <c r="J17" s="70">
        <f>SUM(J15:J16)</f>
        <v>4188122.1999999993</v>
      </c>
      <c r="K17" s="60">
        <f>J17/F17</f>
        <v>0.14481452900143937</v>
      </c>
      <c r="M17" s="20"/>
      <c r="O17" s="31"/>
    </row>
    <row r="18" spans="3:15" ht="7.5" customHeight="1" thickTop="1" thickBot="1" x14ac:dyDescent="0.45">
      <c r="C18" s="64"/>
      <c r="D18" s="71"/>
      <c r="E18" s="71"/>
      <c r="F18" s="71"/>
      <c r="G18" s="72"/>
      <c r="H18" s="24"/>
      <c r="I18" s="73"/>
      <c r="J18" s="71"/>
      <c r="K18" s="60"/>
    </row>
    <row r="19" spans="3:15" ht="7.5" customHeight="1" x14ac:dyDescent="0.25">
      <c r="C19" s="46"/>
      <c r="D19" s="15"/>
      <c r="E19" s="15"/>
      <c r="F19" s="15"/>
      <c r="G19" s="47"/>
      <c r="H19" s="15"/>
      <c r="I19" s="48"/>
      <c r="J19" s="15"/>
      <c r="K19" s="74"/>
    </row>
    <row r="20" spans="3:15" ht="17.25" x14ac:dyDescent="0.4">
      <c r="C20" s="50" t="s">
        <v>35</v>
      </c>
      <c r="D20" s="51"/>
      <c r="G20" s="47"/>
      <c r="I20" s="52"/>
      <c r="K20" s="75"/>
    </row>
    <row r="21" spans="3:15" x14ac:dyDescent="0.25">
      <c r="C21" s="54" t="s">
        <v>14</v>
      </c>
      <c r="D21" s="55">
        <v>5894.5263157894724</v>
      </c>
      <c r="E21" s="56">
        <v>60</v>
      </c>
      <c r="F21" s="57">
        <f>ROUND(D21*E21,2)</f>
        <v>353671.58</v>
      </c>
      <c r="G21" s="47">
        <f>D21</f>
        <v>5894.5263157894724</v>
      </c>
      <c r="H21" s="58">
        <f>E21</f>
        <v>60</v>
      </c>
      <c r="I21" s="59">
        <f>ROUND(G21*H21,2)</f>
        <v>353671.58</v>
      </c>
      <c r="J21" s="57">
        <f>I21-F21</f>
        <v>0</v>
      </c>
      <c r="K21" s="60">
        <f>J21/F21</f>
        <v>0</v>
      </c>
    </row>
    <row r="22" spans="3:15" x14ac:dyDescent="0.25">
      <c r="C22" s="54" t="s">
        <v>36</v>
      </c>
      <c r="D22" s="55">
        <v>1807870.4697614266</v>
      </c>
      <c r="E22" s="61">
        <v>0.20175999999999999</v>
      </c>
      <c r="F22" s="57">
        <f>ROUND(D22*E22,2)</f>
        <v>364755.95</v>
      </c>
      <c r="G22" s="47">
        <f>D22</f>
        <v>1807870.4697614266</v>
      </c>
      <c r="H22" s="62">
        <v>0.23598700014621865</v>
      </c>
      <c r="I22" s="59">
        <f>ROUND(G22*H22,2)</f>
        <v>426633.93</v>
      </c>
      <c r="J22" s="57">
        <f>I22-F22</f>
        <v>61877.979999999981</v>
      </c>
      <c r="K22" s="60">
        <f>J22/F22</f>
        <v>0.16964214017619172</v>
      </c>
      <c r="M22" s="63"/>
    </row>
    <row r="23" spans="3:15" x14ac:dyDescent="0.25">
      <c r="C23" s="54" t="s">
        <v>37</v>
      </c>
      <c r="D23" s="55">
        <v>5994769.6446317015</v>
      </c>
      <c r="E23" s="61">
        <v>0.16481000000000001</v>
      </c>
      <c r="F23" s="57">
        <f>ROUND(D23*E23,2)</f>
        <v>987997.99</v>
      </c>
      <c r="G23" s="47">
        <f>D23</f>
        <v>5994769.6446317015</v>
      </c>
      <c r="H23" s="62">
        <v>0.19276872271063789</v>
      </c>
      <c r="I23" s="59">
        <f>ROUND(G23*H23,2)</f>
        <v>1155604.0900000001</v>
      </c>
      <c r="J23" s="57">
        <f>I23-F23</f>
        <v>167606.10000000009</v>
      </c>
      <c r="K23" s="60">
        <f>J23/F23</f>
        <v>0.16964214674161443</v>
      </c>
      <c r="M23" s="63"/>
    </row>
    <row r="24" spans="3:15" x14ac:dyDescent="0.25">
      <c r="C24" s="54" t="s">
        <v>38</v>
      </c>
      <c r="D24" s="55">
        <v>5598325.2774641337</v>
      </c>
      <c r="E24" s="61">
        <v>0.15923000000000001</v>
      </c>
      <c r="F24" s="57">
        <f>ROUND(D24*E24,2)</f>
        <v>891421.33</v>
      </c>
      <c r="G24" s="47">
        <f>D24</f>
        <v>5598325.2774641337</v>
      </c>
      <c r="H24" s="62">
        <v>0.18624211951468278</v>
      </c>
      <c r="I24" s="59">
        <f>ROUND(G24*H24,2)</f>
        <v>1042643.97</v>
      </c>
      <c r="J24" s="57">
        <f>I24-F24</f>
        <v>151222.64000000001</v>
      </c>
      <c r="K24" s="60">
        <f>J24/F24</f>
        <v>0.16964216012197064</v>
      </c>
      <c r="M24" s="63"/>
    </row>
    <row r="25" spans="3:15" ht="18" thickBot="1" x14ac:dyDescent="0.45">
      <c r="C25" s="64" t="str">
        <f>"Total "&amp;RIGHT(C20,3)&amp;" Revenue"</f>
        <v>Total 505 Revenue</v>
      </c>
      <c r="D25" s="65"/>
      <c r="E25" s="65"/>
      <c r="F25" s="66">
        <f>SUM(F21:F24)</f>
        <v>2597846.85</v>
      </c>
      <c r="G25" s="67"/>
      <c r="H25" s="68"/>
      <c r="I25" s="69">
        <f>SUM(I21:I24)</f>
        <v>2978553.5700000003</v>
      </c>
      <c r="J25" s="70">
        <f>SUM(J21:J24)</f>
        <v>380706.72000000009</v>
      </c>
      <c r="K25" s="60">
        <f>J25/F25</f>
        <v>0.1465470222003272</v>
      </c>
      <c r="M25" s="20"/>
      <c r="O25" s="31"/>
    </row>
    <row r="26" spans="3:15" ht="7.5" customHeight="1" thickTop="1" thickBot="1" x14ac:dyDescent="0.45">
      <c r="C26" s="64"/>
      <c r="D26" s="71"/>
      <c r="E26" s="71"/>
      <c r="F26" s="71"/>
      <c r="G26" s="72"/>
      <c r="H26" s="24"/>
      <c r="I26" s="73"/>
      <c r="J26" s="71"/>
      <c r="K26" s="60"/>
    </row>
    <row r="27" spans="3:15" ht="7.5" customHeight="1" x14ac:dyDescent="0.25">
      <c r="C27" s="46"/>
      <c r="D27" s="15"/>
      <c r="E27" s="15"/>
      <c r="F27" s="15"/>
      <c r="G27" s="47"/>
      <c r="H27" s="15"/>
      <c r="I27" s="48"/>
      <c r="J27" s="15"/>
      <c r="K27" s="74"/>
    </row>
    <row r="28" spans="3:15" ht="17.25" x14ac:dyDescent="0.4">
      <c r="C28" s="50" t="s">
        <v>39</v>
      </c>
      <c r="D28" s="36"/>
      <c r="G28" s="47"/>
      <c r="I28" s="52"/>
      <c r="K28" s="75"/>
    </row>
    <row r="29" spans="3:15" x14ac:dyDescent="0.25">
      <c r="C29" s="54" t="s">
        <v>14</v>
      </c>
      <c r="D29" s="55">
        <v>1092.5581395348836</v>
      </c>
      <c r="E29" s="56">
        <v>125</v>
      </c>
      <c r="F29" s="57">
        <f>ROUND(D29*E29,2)</f>
        <v>136569.76999999999</v>
      </c>
      <c r="G29" s="47">
        <f>D29</f>
        <v>1092.5581395348836</v>
      </c>
      <c r="H29" s="58">
        <f>E29</f>
        <v>125</v>
      </c>
      <c r="I29" s="59">
        <f>ROUND(G29*H29,2)</f>
        <v>136569.76999999999</v>
      </c>
      <c r="J29" s="57">
        <f>I29-F29</f>
        <v>0</v>
      </c>
      <c r="K29" s="60">
        <f>IFERROR(J29/F29,"")</f>
        <v>0</v>
      </c>
    </row>
    <row r="30" spans="3:15" x14ac:dyDescent="0.25">
      <c r="C30" s="76" t="s">
        <v>40</v>
      </c>
      <c r="D30" s="55">
        <v>9502541.2263458036</v>
      </c>
      <c r="E30" s="61">
        <v>0.16113</v>
      </c>
      <c r="F30" s="57">
        <f>ROUND(D30*E30,2)</f>
        <v>1531144.47</v>
      </c>
      <c r="G30" s="47">
        <f>D30</f>
        <v>9502541.2263458036</v>
      </c>
      <c r="H30" s="62">
        <v>0.18846443959932699</v>
      </c>
      <c r="I30" s="59">
        <f>ROUND(G30*H30,2)</f>
        <v>1790891.11</v>
      </c>
      <c r="J30" s="57">
        <f>I30-F30</f>
        <v>259746.64000000013</v>
      </c>
      <c r="K30" s="60">
        <f>J30/F30</f>
        <v>0.16964215009704481</v>
      </c>
      <c r="M30" s="63"/>
    </row>
    <row r="31" spans="3:15" x14ac:dyDescent="0.25">
      <c r="C31" s="76" t="s">
        <v>41</v>
      </c>
      <c r="D31" s="55">
        <v>4964679.1046109656</v>
      </c>
      <c r="E31" s="61">
        <v>0.12471</v>
      </c>
      <c r="F31" s="57">
        <f>ROUND(D31*E31,2)</f>
        <v>619145.13</v>
      </c>
      <c r="G31" s="47">
        <f>D31</f>
        <v>4964679.1046109656</v>
      </c>
      <c r="H31" s="62">
        <v>0.14586607250314695</v>
      </c>
      <c r="I31" s="59">
        <f>ROUND(G31*H31,2)</f>
        <v>724178.24</v>
      </c>
      <c r="J31" s="57">
        <f>I31-F31</f>
        <v>105033.10999999999</v>
      </c>
      <c r="K31" s="60">
        <f>J31/F31</f>
        <v>0.16964214836027214</v>
      </c>
      <c r="M31" s="63"/>
    </row>
    <row r="32" spans="3:15" x14ac:dyDescent="0.25">
      <c r="C32" s="76" t="s">
        <v>42</v>
      </c>
      <c r="D32" s="55">
        <v>1218028.9753001041</v>
      </c>
      <c r="E32" s="61">
        <v>3.4639999999999997E-2</v>
      </c>
      <c r="F32" s="57">
        <f>ROUND(D32*E32,2)</f>
        <v>42192.52</v>
      </c>
      <c r="G32" s="47">
        <f>D32</f>
        <v>1218028.9753001041</v>
      </c>
      <c r="H32" s="62">
        <v>4.0516404069513352E-2</v>
      </c>
      <c r="I32" s="59">
        <f>ROUND(G32*H32,2)</f>
        <v>49350.15</v>
      </c>
      <c r="J32" s="57">
        <f>I32-F32</f>
        <v>7157.6300000000047</v>
      </c>
      <c r="K32" s="60">
        <f>J32/F32</f>
        <v>0.16964215458095427</v>
      </c>
      <c r="M32" s="63"/>
    </row>
    <row r="33" spans="3:18" ht="18" thickBot="1" x14ac:dyDescent="0.45">
      <c r="C33" s="64" t="str">
        <f>"Total "&amp;RIGHT(C28,3)&amp;" Revenue"</f>
        <v>Total 511 Revenue</v>
      </c>
      <c r="D33" s="65"/>
      <c r="E33" s="65"/>
      <c r="F33" s="66">
        <f>SUM(F29:F32)</f>
        <v>2329051.89</v>
      </c>
      <c r="G33" s="67"/>
      <c r="H33" s="68"/>
      <c r="I33" s="69">
        <f>SUM(I29:I32)</f>
        <v>2700989.27</v>
      </c>
      <c r="J33" s="70">
        <f>SUM(J29:J32)</f>
        <v>371937.38000000012</v>
      </c>
      <c r="K33" s="60">
        <f>J33/F33</f>
        <v>0.1596947588831952</v>
      </c>
      <c r="M33" s="20"/>
      <c r="O33" s="31"/>
    </row>
    <row r="34" spans="3:18" ht="7.5" customHeight="1" thickTop="1" thickBot="1" x14ac:dyDescent="0.45">
      <c r="C34" s="64"/>
      <c r="D34" s="71"/>
      <c r="E34" s="71"/>
      <c r="F34" s="71"/>
      <c r="G34" s="72"/>
      <c r="H34" s="24"/>
      <c r="I34" s="73"/>
      <c r="J34" s="71"/>
      <c r="K34" s="60"/>
    </row>
    <row r="35" spans="3:18" ht="7.5" customHeight="1" x14ac:dyDescent="0.25">
      <c r="C35" s="46"/>
      <c r="D35" s="15"/>
      <c r="E35" s="15"/>
      <c r="F35" s="15"/>
      <c r="G35" s="47"/>
      <c r="H35" s="15"/>
      <c r="I35" s="48"/>
      <c r="J35" s="15"/>
      <c r="K35" s="74"/>
    </row>
    <row r="36" spans="3:18" ht="17.25" x14ac:dyDescent="0.4">
      <c r="C36" s="50" t="s">
        <v>43</v>
      </c>
      <c r="D36" s="51"/>
      <c r="G36" s="47"/>
      <c r="I36" s="52"/>
      <c r="K36" s="75"/>
    </row>
    <row r="37" spans="3:18" x14ac:dyDescent="0.25">
      <c r="C37" s="76" t="s">
        <v>44</v>
      </c>
      <c r="D37" s="55">
        <v>2260</v>
      </c>
      <c r="E37" s="77">
        <v>625</v>
      </c>
      <c r="F37" s="57">
        <f t="shared" ref="F37:F42" si="0">ROUND(D37*E37,2)</f>
        <v>1412500</v>
      </c>
      <c r="G37" s="47">
        <f t="shared" ref="G37:G43" si="1">D37</f>
        <v>2260</v>
      </c>
      <c r="H37" s="58">
        <f>E37</f>
        <v>625</v>
      </c>
      <c r="I37" s="59">
        <f t="shared" ref="I37:I43" si="2">ROUND(G37*H37,2)</f>
        <v>1412500</v>
      </c>
      <c r="J37" s="57">
        <f>I37-F37</f>
        <v>0</v>
      </c>
      <c r="K37" s="60">
        <f>J37/F37</f>
        <v>0</v>
      </c>
      <c r="M37" s="63"/>
    </row>
    <row r="38" spans="3:18" x14ac:dyDescent="0.25">
      <c r="C38" s="76" t="s">
        <v>45</v>
      </c>
      <c r="D38" s="55">
        <v>30354152</v>
      </c>
      <c r="E38" s="78">
        <v>0.2</v>
      </c>
      <c r="F38" s="57">
        <f t="shared" si="0"/>
        <v>6070830.4000000004</v>
      </c>
      <c r="G38" s="47">
        <f t="shared" si="1"/>
        <v>30354152</v>
      </c>
      <c r="H38" s="62">
        <f>E38</f>
        <v>0.2</v>
      </c>
      <c r="I38" s="59">
        <f t="shared" si="2"/>
        <v>6070830.4000000004</v>
      </c>
      <c r="J38" s="57">
        <f>I38-F38</f>
        <v>0</v>
      </c>
      <c r="K38" s="60" t="s">
        <v>19</v>
      </c>
      <c r="M38" s="32"/>
    </row>
    <row r="39" spans="3:18" x14ac:dyDescent="0.25">
      <c r="C39" s="76" t="s">
        <v>46</v>
      </c>
      <c r="D39" s="55">
        <v>641617734.59945512</v>
      </c>
      <c r="E39" s="78">
        <v>4.0000000000000002E-4</v>
      </c>
      <c r="F39" s="57">
        <f t="shared" si="0"/>
        <v>256647.09</v>
      </c>
      <c r="G39" s="47">
        <f t="shared" si="1"/>
        <v>641617734.59945512</v>
      </c>
      <c r="H39" s="62">
        <f>E39</f>
        <v>4.0000000000000002E-4</v>
      </c>
      <c r="I39" s="59">
        <f t="shared" si="2"/>
        <v>256647.09</v>
      </c>
      <c r="J39" s="57">
        <f t="shared" ref="J39:J44" si="3">I39-F39</f>
        <v>0</v>
      </c>
      <c r="K39" s="60">
        <f t="shared" ref="K39:K44" si="4">J39/F39</f>
        <v>0</v>
      </c>
      <c r="M39" s="32"/>
    </row>
    <row r="40" spans="3:18" x14ac:dyDescent="0.25">
      <c r="C40" s="54" t="s">
        <v>47</v>
      </c>
      <c r="D40" s="55">
        <v>125402945.77158709</v>
      </c>
      <c r="E40" s="78">
        <v>5.9889999999999999E-2</v>
      </c>
      <c r="F40" s="57">
        <f t="shared" si="0"/>
        <v>7510382.4199999999</v>
      </c>
      <c r="G40" s="47">
        <f t="shared" si="1"/>
        <v>125402945.77158709</v>
      </c>
      <c r="H40" s="62">
        <v>7.0049868352285063E-2</v>
      </c>
      <c r="I40" s="59">
        <f t="shared" si="2"/>
        <v>8784459.8399999999</v>
      </c>
      <c r="J40" s="57">
        <f t="shared" si="3"/>
        <v>1274077.42</v>
      </c>
      <c r="K40" s="60">
        <f t="shared" si="4"/>
        <v>0.16964214986005999</v>
      </c>
      <c r="M40" s="32"/>
      <c r="O40" s="79"/>
      <c r="P40" s="79"/>
      <c r="Q40" s="80"/>
      <c r="R40" s="80"/>
    </row>
    <row r="41" spans="3:18" x14ac:dyDescent="0.25">
      <c r="C41" s="54" t="s">
        <v>48</v>
      </c>
      <c r="D41" s="55">
        <v>98562895.00321956</v>
      </c>
      <c r="E41" s="78">
        <v>2.3029999999999998E-2</v>
      </c>
      <c r="F41" s="57">
        <f t="shared" si="0"/>
        <v>2269903.4700000002</v>
      </c>
      <c r="G41" s="47">
        <f t="shared" si="1"/>
        <v>98562895.00321956</v>
      </c>
      <c r="H41" s="62">
        <v>2.6936858710187427E-2</v>
      </c>
      <c r="I41" s="59">
        <f t="shared" si="2"/>
        <v>2654974.7799999998</v>
      </c>
      <c r="J41" s="57">
        <f t="shared" si="3"/>
        <v>385071.30999999959</v>
      </c>
      <c r="K41" s="60">
        <f t="shared" si="4"/>
        <v>0.16964215222773307</v>
      </c>
      <c r="M41" s="32"/>
      <c r="O41" s="79"/>
      <c r="P41" s="79"/>
      <c r="Q41" s="80"/>
      <c r="R41" s="80"/>
    </row>
    <row r="42" spans="3:18" x14ac:dyDescent="0.25">
      <c r="C42" s="54" t="s">
        <v>48</v>
      </c>
      <c r="D42" s="55">
        <v>34638058.781353638</v>
      </c>
      <c r="E42" s="78">
        <v>1.473E-2</v>
      </c>
      <c r="F42" s="57">
        <f t="shared" si="0"/>
        <v>510218.61</v>
      </c>
      <c r="G42" s="47">
        <f t="shared" si="1"/>
        <v>34638058.781353638</v>
      </c>
      <c r="H42" s="62">
        <v>1.7228828866741677E-2</v>
      </c>
      <c r="I42" s="59">
        <f t="shared" si="2"/>
        <v>596773.18999999994</v>
      </c>
      <c r="J42" s="57">
        <f t="shared" si="3"/>
        <v>86554.579999999958</v>
      </c>
      <c r="K42" s="60">
        <f t="shared" si="4"/>
        <v>0.16964214613810336</v>
      </c>
      <c r="M42" s="32"/>
      <c r="O42" s="79"/>
      <c r="P42" s="79"/>
      <c r="Q42" s="80"/>
      <c r="R42" s="80"/>
    </row>
    <row r="43" spans="3:18" x14ac:dyDescent="0.25">
      <c r="C43" s="54" t="s">
        <v>49</v>
      </c>
      <c r="D43" s="55">
        <v>383013835.04329479</v>
      </c>
      <c r="E43" s="78">
        <v>7.9799999999999992E-3</v>
      </c>
      <c r="F43" s="57">
        <f>ROUND(D43*E43,2)</f>
        <v>3056450.4</v>
      </c>
      <c r="G43" s="47">
        <f t="shared" si="1"/>
        <v>383013835.04329479</v>
      </c>
      <c r="H43" s="62">
        <v>9.3337443555056732E-3</v>
      </c>
      <c r="I43" s="59">
        <f t="shared" si="2"/>
        <v>3574953.22</v>
      </c>
      <c r="J43" s="57">
        <f t="shared" si="3"/>
        <v>518502.8200000003</v>
      </c>
      <c r="K43" s="60">
        <f t="shared" si="4"/>
        <v>0.16964215090812543</v>
      </c>
      <c r="M43" s="32"/>
      <c r="N43" s="81"/>
      <c r="O43" s="79"/>
      <c r="P43" s="79"/>
      <c r="Q43" s="80"/>
      <c r="R43" s="80"/>
    </row>
    <row r="44" spans="3:18" ht="18" thickBot="1" x14ac:dyDescent="0.45">
      <c r="C44" s="64" t="str">
        <f>"Total "&amp;RIGHT(C36,3)&amp;" Revenue"</f>
        <v>Total 663 Revenue</v>
      </c>
      <c r="D44" s="82"/>
      <c r="E44" s="65"/>
      <c r="F44" s="66">
        <f>SUM(F37:F43)</f>
        <v>21086932.389999997</v>
      </c>
      <c r="G44" s="67"/>
      <c r="H44" s="68"/>
      <c r="I44" s="69">
        <f>SUM(I37:I43)</f>
        <v>23351138.52</v>
      </c>
      <c r="J44" s="70">
        <f t="shared" si="3"/>
        <v>2264206.1300000027</v>
      </c>
      <c r="K44" s="60">
        <f t="shared" si="4"/>
        <v>0.10737484656961065</v>
      </c>
      <c r="M44" s="20"/>
      <c r="O44" s="83"/>
    </row>
    <row r="45" spans="3:18" ht="7.5" customHeight="1" thickTop="1" thickBot="1" x14ac:dyDescent="0.45">
      <c r="C45" s="64"/>
      <c r="D45" s="71"/>
      <c r="E45" s="71"/>
      <c r="F45" s="71"/>
      <c r="G45" s="72"/>
      <c r="H45" s="24"/>
      <c r="I45" s="73"/>
      <c r="J45" s="71"/>
      <c r="K45" s="60"/>
    </row>
    <row r="46" spans="3:18" ht="6.75" customHeight="1" thickBot="1" x14ac:dyDescent="0.3">
      <c r="C46" s="46"/>
      <c r="D46" s="15"/>
      <c r="E46" s="15"/>
      <c r="F46" s="15"/>
      <c r="G46" s="84"/>
      <c r="H46" s="15"/>
      <c r="I46" s="48"/>
      <c r="J46" s="15"/>
      <c r="K46" s="74"/>
      <c r="M46" s="20"/>
    </row>
    <row r="47" spans="3:18" ht="7.5" customHeight="1" x14ac:dyDescent="0.25">
      <c r="C47" s="46"/>
      <c r="D47" s="15"/>
      <c r="E47" s="15"/>
      <c r="F47" s="15"/>
      <c r="G47" s="47"/>
      <c r="H47" s="15"/>
      <c r="I47" s="48"/>
      <c r="J47" s="15"/>
      <c r="K47" s="74"/>
    </row>
    <row r="48" spans="3:18" ht="17.25" x14ac:dyDescent="0.4">
      <c r="C48" s="50" t="s">
        <v>50</v>
      </c>
      <c r="D48" s="51"/>
      <c r="G48" s="47"/>
      <c r="I48" s="52"/>
      <c r="K48" s="75"/>
    </row>
    <row r="49" spans="3:15" x14ac:dyDescent="0.25">
      <c r="C49" s="54" t="s">
        <v>14</v>
      </c>
      <c r="D49" s="55">
        <v>96</v>
      </c>
      <c r="E49" s="56">
        <v>163</v>
      </c>
      <c r="F49" s="57">
        <f>ROUND(D49*E49,2)</f>
        <v>15648</v>
      </c>
      <c r="G49" s="47">
        <f>D49</f>
        <v>96</v>
      </c>
      <c r="H49" s="58">
        <f>E49</f>
        <v>163</v>
      </c>
      <c r="I49" s="59">
        <f>ROUND(G49*H49,2)</f>
        <v>15648</v>
      </c>
      <c r="J49" s="57">
        <f>I49-F49</f>
        <v>0</v>
      </c>
      <c r="K49" s="60">
        <f>J49/F49</f>
        <v>0</v>
      </c>
    </row>
    <row r="50" spans="3:15" ht="13.9" customHeight="1" x14ac:dyDescent="0.25">
      <c r="C50" s="76" t="s">
        <v>51</v>
      </c>
      <c r="D50" s="55">
        <v>1301512.7114810457</v>
      </c>
      <c r="E50" s="61">
        <v>8.9639999999999997E-2</v>
      </c>
      <c r="F50" s="57">
        <f>ROUND(D50*E50,2)</f>
        <v>116667.6</v>
      </c>
      <c r="G50" s="47">
        <f>D50</f>
        <v>1301512.7114810457</v>
      </c>
      <c r="H50" s="62">
        <v>0.10484672230921412</v>
      </c>
      <c r="I50" s="59">
        <f>ROUND(G50*H50,2)</f>
        <v>136459.34</v>
      </c>
      <c r="J50" s="57">
        <f>I50-F50</f>
        <v>19791.739999999991</v>
      </c>
      <c r="K50" s="60">
        <f>J50/F50</f>
        <v>0.169642128577257</v>
      </c>
      <c r="M50" s="32"/>
    </row>
    <row r="51" spans="3:15" ht="13.9" customHeight="1" x14ac:dyDescent="0.25">
      <c r="C51" s="76" t="s">
        <v>52</v>
      </c>
      <c r="D51" s="55">
        <v>1032498.538383325</v>
      </c>
      <c r="E51" s="61">
        <v>2.8170000000000001E-2</v>
      </c>
      <c r="F51" s="57">
        <f>ROUND(D51*E51,2)</f>
        <v>29085.48</v>
      </c>
      <c r="G51" s="47">
        <f>D51</f>
        <v>1032498.538383325</v>
      </c>
      <c r="H51" s="62">
        <v>3.2948819360224917E-2</v>
      </c>
      <c r="I51" s="59">
        <f>ROUND(G51*H51,2)</f>
        <v>34019.61</v>
      </c>
      <c r="J51" s="57">
        <f>I51-F51</f>
        <v>4934.130000000001</v>
      </c>
      <c r="K51" s="60">
        <f>J51/F51</f>
        <v>0.1696423782588426</v>
      </c>
      <c r="M51" s="63"/>
    </row>
    <row r="52" spans="3:15" ht="18" thickBot="1" x14ac:dyDescent="0.45">
      <c r="C52" s="64" t="str">
        <f>"Total "&amp;RIGHT(C48,3)&amp;" Revenue"</f>
        <v>Total 570 Revenue</v>
      </c>
      <c r="D52" s="65"/>
      <c r="E52" s="65"/>
      <c r="F52" s="66">
        <f>SUM(F49:F51)</f>
        <v>161401.08000000002</v>
      </c>
      <c r="G52" s="67"/>
      <c r="H52" s="68"/>
      <c r="I52" s="69">
        <f>SUM(I49:I51)</f>
        <v>186126.95</v>
      </c>
      <c r="J52" s="70">
        <f>I52-F52</f>
        <v>24725.869999999995</v>
      </c>
      <c r="K52" s="60">
        <f>J52/F52</f>
        <v>0.15319519547205007</v>
      </c>
      <c r="M52" s="20"/>
      <c r="O52" s="35"/>
    </row>
    <row r="53" spans="3:15" ht="7.5" customHeight="1" thickTop="1" x14ac:dyDescent="0.4">
      <c r="C53" s="85"/>
      <c r="D53" s="86"/>
      <c r="E53" s="86"/>
      <c r="F53" s="86"/>
      <c r="G53" s="87"/>
      <c r="H53" s="88"/>
      <c r="I53" s="89"/>
      <c r="J53" s="86"/>
      <c r="K53" s="90"/>
    </row>
    <row r="54" spans="3:15" ht="17.25" x14ac:dyDescent="0.4">
      <c r="C54" s="91" t="s">
        <v>53</v>
      </c>
      <c r="D54" s="71"/>
      <c r="E54" s="71"/>
      <c r="F54" s="71"/>
      <c r="G54" s="92"/>
      <c r="H54" s="71"/>
      <c r="I54" s="71"/>
      <c r="J54" s="71"/>
      <c r="K54" s="93"/>
      <c r="M54" s="20"/>
    </row>
    <row r="55" spans="3:15" ht="18" thickBot="1" x14ac:dyDescent="0.45">
      <c r="C55" s="94"/>
      <c r="D55" s="24"/>
      <c r="E55" s="24"/>
      <c r="F55" s="24"/>
      <c r="G55" s="95"/>
      <c r="H55" s="24"/>
      <c r="I55" s="24"/>
      <c r="J55" s="24"/>
      <c r="K55" s="96"/>
      <c r="M55" s="20"/>
    </row>
    <row r="57" spans="3:15" ht="16.5" customHeight="1" x14ac:dyDescent="0.25">
      <c r="F57" s="35">
        <f>F52+F44+F33+F25+F17+F11</f>
        <v>108492514.08</v>
      </c>
      <c r="J57" s="35">
        <f>J52+J44+J33+J25+J17+J11</f>
        <v>14271651.709999999</v>
      </c>
      <c r="K57" s="97">
        <f>J57/F57</f>
        <v>0.13154503636514864</v>
      </c>
    </row>
  </sheetData>
  <mergeCells count="2">
    <mergeCell ref="D5:F5"/>
    <mergeCell ref="G5:I5"/>
  </mergeCells>
  <printOptions horizontalCentered="1"/>
  <pageMargins left="0.45" right="0.45" top="0.5" bottom="0.5" header="0.3" footer="0.3"/>
  <pageSetup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3282-25DA-4DB6-9A5E-91551B545865}">
  <sheetPr>
    <tabColor theme="5"/>
  </sheetPr>
  <dimension ref="A1:K37"/>
  <sheetViews>
    <sheetView topLeftCell="A2" workbookViewId="0">
      <selection activeCell="O15" sqref="O15"/>
    </sheetView>
  </sheetViews>
  <sheetFormatPr defaultColWidth="8.85546875" defaultRowHeight="15" x14ac:dyDescent="0.25"/>
  <cols>
    <col min="1" max="1" width="6" style="3" customWidth="1"/>
    <col min="2" max="2" width="19.140625" style="3" bestFit="1" customWidth="1"/>
    <col min="3" max="3" width="12.7109375" style="3" customWidth="1"/>
    <col min="4" max="5" width="18.7109375" style="3" customWidth="1"/>
    <col min="6" max="7" width="14.7109375" style="3" customWidth="1"/>
    <col min="8" max="8" width="6" style="3" customWidth="1"/>
    <col min="9" max="9" width="18.7109375" style="3" customWidth="1"/>
    <col min="10" max="10" width="10.85546875" style="3" customWidth="1"/>
    <col min="11" max="11" width="13.140625" style="3" customWidth="1"/>
    <col min="12" max="12" width="10.5703125" style="3" bestFit="1" customWidth="1"/>
    <col min="13" max="16384" width="8.85546875" style="3"/>
  </cols>
  <sheetData>
    <row r="1" spans="1:11" x14ac:dyDescent="0.25">
      <c r="A1" s="2" t="str">
        <f>'Exh 17, Class Revenue'!A1</f>
        <v>Cascade Natural Gas Corporation</v>
      </c>
      <c r="H1" s="4"/>
      <c r="J1" s="3" t="s">
        <v>2</v>
      </c>
    </row>
    <row r="2" spans="1:11" x14ac:dyDescent="0.25">
      <c r="A2" s="2" t="str">
        <f>'Exh 17, Class Revenue'!A2</f>
        <v>Washington Jurisdiction</v>
      </c>
      <c r="H2" s="4"/>
    </row>
    <row r="3" spans="1:11" x14ac:dyDescent="0.25">
      <c r="A3" s="99" t="s">
        <v>4</v>
      </c>
      <c r="H3" s="5"/>
    </row>
    <row r="4" spans="1:11" x14ac:dyDescent="0.25">
      <c r="A4" s="99"/>
    </row>
    <row r="5" spans="1:11" x14ac:dyDescent="0.25">
      <c r="A5" s="99"/>
    </row>
    <row r="6" spans="1:11" x14ac:dyDescent="0.25">
      <c r="A6" s="100" t="str">
        <f>'Exh 18, Class Rates'!C8</f>
        <v>Residential - 503</v>
      </c>
    </row>
    <row r="8" spans="1:11" x14ac:dyDescent="0.25">
      <c r="A8" s="101" t="s">
        <v>54</v>
      </c>
    </row>
    <row r="9" spans="1:11" ht="17.25" x14ac:dyDescent="0.4">
      <c r="A9" s="102" t="s">
        <v>55</v>
      </c>
      <c r="B9" s="102" t="s">
        <v>56</v>
      </c>
      <c r="C9" s="102" t="s">
        <v>57</v>
      </c>
      <c r="D9" s="102" t="s">
        <v>58</v>
      </c>
      <c r="E9" s="102" t="s">
        <v>59</v>
      </c>
      <c r="F9" s="102" t="s">
        <v>60</v>
      </c>
      <c r="G9" s="102" t="s">
        <v>61</v>
      </c>
    </row>
    <row r="10" spans="1:11" x14ac:dyDescent="0.25">
      <c r="A10" s="101"/>
      <c r="B10" s="103"/>
      <c r="C10" s="104"/>
      <c r="D10" s="105" t="s">
        <v>62</v>
      </c>
      <c r="E10" s="106" t="s">
        <v>10</v>
      </c>
    </row>
    <row r="11" spans="1:11" ht="17.25" x14ac:dyDescent="0.4">
      <c r="A11" s="101"/>
      <c r="B11" s="76"/>
      <c r="D11" s="102" t="s">
        <v>63</v>
      </c>
      <c r="E11" s="107" t="s">
        <v>63</v>
      </c>
      <c r="I11" s="108" t="s">
        <v>64</v>
      </c>
      <c r="J11" s="109" t="s">
        <v>65</v>
      </c>
      <c r="K11" s="108" t="s">
        <v>66</v>
      </c>
    </row>
    <row r="12" spans="1:11" x14ac:dyDescent="0.25">
      <c r="A12" s="101">
        <f>MAX(A1:A11)+1</f>
        <v>1</v>
      </c>
      <c r="B12" s="76" t="s">
        <v>14</v>
      </c>
      <c r="D12" s="110">
        <f>'Exh 18, Class Rates'!E9</f>
        <v>5</v>
      </c>
      <c r="E12" s="111">
        <f>'Exh 18, Class Rates'!H9</f>
        <v>5</v>
      </c>
      <c r="I12" s="108" t="s">
        <v>67</v>
      </c>
      <c r="J12" s="108">
        <v>0.43465999999999999</v>
      </c>
      <c r="K12" s="112">
        <v>44136</v>
      </c>
    </row>
    <row r="13" spans="1:11" x14ac:dyDescent="0.25">
      <c r="A13" s="101"/>
      <c r="B13" s="76"/>
      <c r="D13" s="110"/>
      <c r="E13" s="111"/>
      <c r="I13" s="108" t="s">
        <v>68</v>
      </c>
      <c r="J13" s="108">
        <v>-9.1000000000000004E-3</v>
      </c>
      <c r="K13" s="112">
        <v>44136</v>
      </c>
    </row>
    <row r="14" spans="1:11" x14ac:dyDescent="0.25">
      <c r="A14" s="101">
        <f>MAX(A3:A13)+1</f>
        <v>2</v>
      </c>
      <c r="B14" s="76" t="s">
        <v>15</v>
      </c>
      <c r="D14" s="79">
        <f>'Exh 18, Class Rates'!E10</f>
        <v>0.31073000000000001</v>
      </c>
      <c r="E14" s="113">
        <f>'Exh 18, Class Rates'!H10</f>
        <v>0.36344290521131306</v>
      </c>
      <c r="I14" s="108" t="s">
        <v>69</v>
      </c>
      <c r="J14" s="108">
        <v>-1.093E-2</v>
      </c>
      <c r="K14" s="112">
        <v>44136</v>
      </c>
    </row>
    <row r="15" spans="1:11" x14ac:dyDescent="0.25">
      <c r="A15" s="101"/>
      <c r="B15" s="76"/>
      <c r="D15" s="110"/>
      <c r="E15" s="52"/>
      <c r="I15" s="108" t="s">
        <v>70</v>
      </c>
      <c r="J15" s="108">
        <v>0.1867</v>
      </c>
      <c r="K15" s="112">
        <v>44136</v>
      </c>
    </row>
    <row r="16" spans="1:11" x14ac:dyDescent="0.25">
      <c r="A16" s="101">
        <f>MAX(A7:A15)+1</f>
        <v>3</v>
      </c>
      <c r="B16" s="114" t="s">
        <v>71</v>
      </c>
      <c r="C16" s="115"/>
      <c r="D16" s="116">
        <f>J18</f>
        <v>0.60133000000000003</v>
      </c>
      <c r="E16" s="117">
        <f>D16</f>
        <v>0.60133000000000003</v>
      </c>
      <c r="I16" s="108" t="s">
        <v>72</v>
      </c>
      <c r="J16" s="108"/>
      <c r="K16" s="108"/>
    </row>
    <row r="17" spans="1:11" x14ac:dyDescent="0.25">
      <c r="A17" s="101"/>
      <c r="D17" s="79"/>
      <c r="E17" s="79"/>
      <c r="I17" s="108"/>
      <c r="J17" s="108"/>
      <c r="K17" s="108"/>
    </row>
    <row r="18" spans="1:11" x14ac:dyDescent="0.25">
      <c r="A18" s="101"/>
      <c r="I18" s="108" t="s">
        <v>73</v>
      </c>
      <c r="J18" s="108">
        <f>SUM(J12:J17)</f>
        <v>0.60133000000000003</v>
      </c>
      <c r="K18" s="108"/>
    </row>
    <row r="19" spans="1:11" ht="17.25" x14ac:dyDescent="0.4">
      <c r="A19" s="101"/>
      <c r="B19" s="101"/>
      <c r="C19" s="101" t="s">
        <v>74</v>
      </c>
      <c r="D19" s="101" t="s">
        <v>75</v>
      </c>
      <c r="E19" s="101" t="s">
        <v>75</v>
      </c>
      <c r="F19" s="118" t="s">
        <v>76</v>
      </c>
      <c r="G19" s="118"/>
    </row>
    <row r="20" spans="1:11" x14ac:dyDescent="0.25">
      <c r="A20" s="101"/>
      <c r="B20" s="101"/>
      <c r="C20" s="101" t="s">
        <v>77</v>
      </c>
      <c r="D20" s="101" t="s">
        <v>62</v>
      </c>
      <c r="E20" s="101" t="s">
        <v>10</v>
      </c>
      <c r="F20" s="101"/>
      <c r="G20" s="101"/>
    </row>
    <row r="21" spans="1:11" ht="17.25" x14ac:dyDescent="0.4">
      <c r="A21" s="101"/>
      <c r="B21" s="102" t="s">
        <v>78</v>
      </c>
      <c r="C21" s="102" t="s">
        <v>79</v>
      </c>
      <c r="D21" s="102" t="s">
        <v>63</v>
      </c>
      <c r="E21" s="102" t="s">
        <v>63</v>
      </c>
      <c r="F21" s="102" t="s">
        <v>80</v>
      </c>
      <c r="G21" s="102" t="s">
        <v>81</v>
      </c>
      <c r="I21" s="2"/>
    </row>
    <row r="22" spans="1:11" x14ac:dyDescent="0.25">
      <c r="A22" s="101"/>
      <c r="I22" s="3" t="s">
        <v>82</v>
      </c>
      <c r="J22" s="3" t="s">
        <v>83</v>
      </c>
    </row>
    <row r="23" spans="1:11" x14ac:dyDescent="0.25">
      <c r="A23" s="101">
        <f>MAX(A13:A22)+1</f>
        <v>4</v>
      </c>
      <c r="B23" s="119" t="s">
        <v>84</v>
      </c>
      <c r="C23" s="120">
        <f>ROUND(I23/$J$23,0)</f>
        <v>109</v>
      </c>
      <c r="D23" s="121">
        <f>D$12+(D$14+D$16)*$C23</f>
        <v>104.41454000000002</v>
      </c>
      <c r="E23" s="121">
        <f>E$12+(E$14+E$16)*$C23</f>
        <v>110.16024666803312</v>
      </c>
      <c r="F23" s="121">
        <f>E23-D23</f>
        <v>5.7457066680331081</v>
      </c>
      <c r="G23" s="32">
        <f>F23/D23</f>
        <v>5.5027840643966895E-2</v>
      </c>
      <c r="I23" s="122">
        <v>21127127.921285022</v>
      </c>
      <c r="J23" s="123">
        <v>193477.59333333335</v>
      </c>
    </row>
    <row r="24" spans="1:11" x14ac:dyDescent="0.25">
      <c r="A24" s="101">
        <f>MAX(A14:A23)+1</f>
        <v>5</v>
      </c>
      <c r="B24" s="119" t="s">
        <v>85</v>
      </c>
      <c r="C24" s="120">
        <f t="shared" ref="C24:C34" si="0">ROUND(I24/$J$23,0)</f>
        <v>88</v>
      </c>
      <c r="D24" s="121">
        <f t="shared" ref="D24:E34" si="1">D$12+(D$14+D$16)*$C24</f>
        <v>85.261280000000014</v>
      </c>
      <c r="E24" s="121">
        <f t="shared" si="1"/>
        <v>89.900015658595549</v>
      </c>
      <c r="F24" s="121">
        <f t="shared" ref="F24:F34" si="2">E24-D24</f>
        <v>4.6387356585955359</v>
      </c>
      <c r="G24" s="32">
        <f t="shared" ref="G24:G34" si="3">F24/D24</f>
        <v>5.4406122668995062E-2</v>
      </c>
      <c r="I24" s="124">
        <v>17020957.494531143</v>
      </c>
      <c r="J24" s="125"/>
    </row>
    <row r="25" spans="1:11" x14ac:dyDescent="0.25">
      <c r="A25" s="101">
        <f>MAX(A15:A24)+1</f>
        <v>6</v>
      </c>
      <c r="B25" s="119" t="s">
        <v>86</v>
      </c>
      <c r="C25" s="120">
        <f t="shared" si="0"/>
        <v>74</v>
      </c>
      <c r="D25" s="121">
        <f t="shared" si="1"/>
        <v>72.492440000000002</v>
      </c>
      <c r="E25" s="121">
        <f t="shared" si="1"/>
        <v>76.393194985637166</v>
      </c>
      <c r="F25" s="121">
        <f t="shared" si="2"/>
        <v>3.9007549856371639</v>
      </c>
      <c r="G25" s="32">
        <f t="shared" si="3"/>
        <v>5.380912803648441E-2</v>
      </c>
      <c r="I25" s="124">
        <v>14382332.729983674</v>
      </c>
      <c r="J25" s="125"/>
    </row>
    <row r="26" spans="1:11" x14ac:dyDescent="0.25">
      <c r="A26" s="101">
        <f>MAX(A16:A25)+1</f>
        <v>7</v>
      </c>
      <c r="B26" s="119" t="s">
        <v>87</v>
      </c>
      <c r="C26" s="120">
        <f t="shared" si="0"/>
        <v>49</v>
      </c>
      <c r="D26" s="121">
        <f t="shared" si="1"/>
        <v>49.690940000000005</v>
      </c>
      <c r="E26" s="121">
        <f t="shared" si="1"/>
        <v>52.273872355354342</v>
      </c>
      <c r="F26" s="121">
        <f t="shared" si="2"/>
        <v>2.5829323553543375</v>
      </c>
      <c r="G26" s="32">
        <f t="shared" si="3"/>
        <v>5.1979945546498763E-2</v>
      </c>
      <c r="I26" s="124">
        <v>9454438.0865489114</v>
      </c>
      <c r="J26" s="125"/>
    </row>
    <row r="27" spans="1:11" x14ac:dyDescent="0.25">
      <c r="A27" s="101">
        <f t="shared" ref="A27:A35" si="4">MAX(A18:A26)+1</f>
        <v>8</v>
      </c>
      <c r="B27" s="119" t="s">
        <v>88</v>
      </c>
      <c r="C27" s="120">
        <f t="shared" si="0"/>
        <v>31</v>
      </c>
      <c r="D27" s="121">
        <f t="shared" si="1"/>
        <v>33.273859999999999</v>
      </c>
      <c r="E27" s="121">
        <f t="shared" si="1"/>
        <v>34.90796006155071</v>
      </c>
      <c r="F27" s="121">
        <f t="shared" si="2"/>
        <v>1.6341000615507113</v>
      </c>
      <c r="G27" s="32">
        <f t="shared" si="3"/>
        <v>4.9110625023688605E-2</v>
      </c>
      <c r="I27" s="124">
        <v>6001953.0208063405</v>
      </c>
      <c r="J27" s="125"/>
    </row>
    <row r="28" spans="1:11" x14ac:dyDescent="0.25">
      <c r="A28" s="101">
        <f t="shared" si="4"/>
        <v>9</v>
      </c>
      <c r="B28" s="119" t="s">
        <v>89</v>
      </c>
      <c r="C28" s="120">
        <f t="shared" si="0"/>
        <v>19</v>
      </c>
      <c r="D28" s="121">
        <f t="shared" si="1"/>
        <v>22.329140000000002</v>
      </c>
      <c r="E28" s="121">
        <f t="shared" si="1"/>
        <v>23.330685199014948</v>
      </c>
      <c r="F28" s="121">
        <f t="shared" si="2"/>
        <v>1.0015451990149451</v>
      </c>
      <c r="G28" s="32">
        <f t="shared" si="3"/>
        <v>4.4853729208332471E-2</v>
      </c>
      <c r="I28" s="124">
        <v>3673706.3233785499</v>
      </c>
      <c r="J28" s="125"/>
    </row>
    <row r="29" spans="1:11" x14ac:dyDescent="0.25">
      <c r="A29" s="101">
        <f t="shared" si="4"/>
        <v>10</v>
      </c>
      <c r="B29" s="119" t="s">
        <v>90</v>
      </c>
      <c r="C29" s="120">
        <f t="shared" si="0"/>
        <v>16</v>
      </c>
      <c r="D29" s="121">
        <f t="shared" si="1"/>
        <v>19.592960000000001</v>
      </c>
      <c r="E29" s="121">
        <f t="shared" si="1"/>
        <v>20.436366483381008</v>
      </c>
      <c r="F29" s="121">
        <f t="shared" si="2"/>
        <v>0.84340648338100621</v>
      </c>
      <c r="G29" s="32">
        <f t="shared" si="3"/>
        <v>4.3046404595375384E-2</v>
      </c>
      <c r="I29" s="124">
        <v>3078408.4761805134</v>
      </c>
      <c r="J29" s="125"/>
    </row>
    <row r="30" spans="1:11" x14ac:dyDescent="0.25">
      <c r="A30" s="101">
        <f t="shared" si="4"/>
        <v>11</v>
      </c>
      <c r="B30" s="119" t="s">
        <v>91</v>
      </c>
      <c r="C30" s="120">
        <f t="shared" si="0"/>
        <v>16</v>
      </c>
      <c r="D30" s="121">
        <f t="shared" si="1"/>
        <v>19.592960000000001</v>
      </c>
      <c r="E30" s="121">
        <f t="shared" si="1"/>
        <v>20.436366483381008</v>
      </c>
      <c r="F30" s="121">
        <f t="shared" si="2"/>
        <v>0.84340648338100621</v>
      </c>
      <c r="G30" s="32">
        <f t="shared" si="3"/>
        <v>4.3046404595375384E-2</v>
      </c>
      <c r="I30" s="124">
        <v>3078938.801196483</v>
      </c>
      <c r="J30" s="125"/>
    </row>
    <row r="31" spans="1:11" x14ac:dyDescent="0.25">
      <c r="A31" s="101">
        <f t="shared" si="4"/>
        <v>12</v>
      </c>
      <c r="B31" s="119" t="s">
        <v>92</v>
      </c>
      <c r="C31" s="120">
        <f t="shared" si="0"/>
        <v>20</v>
      </c>
      <c r="D31" s="121">
        <f t="shared" si="1"/>
        <v>23.241200000000003</v>
      </c>
      <c r="E31" s="121">
        <f t="shared" si="1"/>
        <v>24.295458104226263</v>
      </c>
      <c r="F31" s="121">
        <f t="shared" si="2"/>
        <v>1.0542581042262604</v>
      </c>
      <c r="G31" s="32">
        <f t="shared" si="3"/>
        <v>4.5361603713502757E-2</v>
      </c>
      <c r="I31" s="124">
        <v>3922180.1070021633</v>
      </c>
      <c r="J31" s="125"/>
    </row>
    <row r="32" spans="1:11" x14ac:dyDescent="0.25">
      <c r="A32" s="101">
        <f t="shared" si="4"/>
        <v>13</v>
      </c>
      <c r="B32" s="119" t="s">
        <v>93</v>
      </c>
      <c r="C32" s="120">
        <f t="shared" si="0"/>
        <v>47</v>
      </c>
      <c r="D32" s="121">
        <f t="shared" si="1"/>
        <v>47.866820000000004</v>
      </c>
      <c r="E32" s="121">
        <f t="shared" si="1"/>
        <v>50.344326544931718</v>
      </c>
      <c r="F32" s="121">
        <f t="shared" si="2"/>
        <v>2.477506544931714</v>
      </c>
      <c r="G32" s="32">
        <f t="shared" si="3"/>
        <v>5.1758327478861429E-2</v>
      </c>
      <c r="I32" s="124">
        <v>9041686.1170839723</v>
      </c>
      <c r="J32" s="125"/>
    </row>
    <row r="33" spans="1:10" x14ac:dyDescent="0.25">
      <c r="A33" s="101">
        <f t="shared" si="4"/>
        <v>14</v>
      </c>
      <c r="B33" s="119" t="s">
        <v>94</v>
      </c>
      <c r="C33" s="120">
        <f t="shared" si="0"/>
        <v>88</v>
      </c>
      <c r="D33" s="121">
        <f t="shared" si="1"/>
        <v>85.261280000000014</v>
      </c>
      <c r="E33" s="121">
        <f t="shared" si="1"/>
        <v>89.900015658595549</v>
      </c>
      <c r="F33" s="121">
        <f t="shared" si="2"/>
        <v>4.6387356585955359</v>
      </c>
      <c r="G33" s="32">
        <f t="shared" si="3"/>
        <v>5.4406122668995062E-2</v>
      </c>
      <c r="I33" s="124">
        <v>16939826.735064078</v>
      </c>
      <c r="J33" s="125"/>
    </row>
    <row r="34" spans="1:10" ht="17.25" x14ac:dyDescent="0.4">
      <c r="A34" s="101">
        <f t="shared" si="4"/>
        <v>15</v>
      </c>
      <c r="B34" s="119" t="s">
        <v>95</v>
      </c>
      <c r="C34" s="126">
        <f t="shared" si="0"/>
        <v>118</v>
      </c>
      <c r="D34" s="127">
        <f t="shared" si="1"/>
        <v>112.62308000000002</v>
      </c>
      <c r="E34" s="127">
        <f t="shared" si="1"/>
        <v>118.84320281493494</v>
      </c>
      <c r="F34" s="127">
        <f t="shared" si="2"/>
        <v>6.2201228149349248</v>
      </c>
      <c r="G34" s="32">
        <f t="shared" si="3"/>
        <v>5.5229556987208342E-2</v>
      </c>
      <c r="I34" s="128">
        <v>22806992.536832273</v>
      </c>
      <c r="J34" s="129"/>
    </row>
    <row r="35" spans="1:10" ht="17.25" x14ac:dyDescent="0.4">
      <c r="A35" s="101">
        <f t="shared" si="4"/>
        <v>16</v>
      </c>
      <c r="B35" s="3" t="s">
        <v>73</v>
      </c>
      <c r="C35" s="130">
        <f>SUM(C23:C34)</f>
        <v>675</v>
      </c>
      <c r="D35" s="131">
        <f>SUM(D23:D34)</f>
        <v>675.6405000000002</v>
      </c>
      <c r="E35" s="131">
        <f>SUM(E23:E34)</f>
        <v>711.22171101763638</v>
      </c>
      <c r="F35" s="131">
        <f>SUM(F23:F34)</f>
        <v>35.581211017636249</v>
      </c>
      <c r="G35" s="32"/>
      <c r="I35" s="51">
        <v>130528548.34989311</v>
      </c>
    </row>
    <row r="36" spans="1:10" x14ac:dyDescent="0.25">
      <c r="A36" s="101"/>
      <c r="I36" s="51">
        <f>ROUND(I35/J23, 0)-C35</f>
        <v>0</v>
      </c>
    </row>
    <row r="37" spans="1:10" x14ac:dyDescent="0.25">
      <c r="A37" s="101">
        <f>MAX(A28:A36)+1</f>
        <v>17</v>
      </c>
      <c r="B37" s="3" t="s">
        <v>96</v>
      </c>
      <c r="C37" s="36">
        <f>C35/12</f>
        <v>56.25</v>
      </c>
      <c r="D37" s="132">
        <f>D35/12</f>
        <v>56.303375000000017</v>
      </c>
      <c r="E37" s="132">
        <f>E35/12</f>
        <v>59.268475918136367</v>
      </c>
      <c r="F37" s="132">
        <f>F35/12</f>
        <v>2.9651009181363541</v>
      </c>
      <c r="G37" s="32">
        <f>F37/D37</f>
        <v>5.2662933938442472E-2</v>
      </c>
    </row>
  </sheetData>
  <printOptions horizontalCentered="1"/>
  <pageMargins left="0.7" right="0.7" top="0.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B7702-B21D-40CD-8143-50766586580E}">
  <sheetPr>
    <tabColor theme="5"/>
  </sheetPr>
  <dimension ref="A1:L37"/>
  <sheetViews>
    <sheetView topLeftCell="A2" workbookViewId="0">
      <selection activeCell="I11" sqref="I11:K18"/>
    </sheetView>
  </sheetViews>
  <sheetFormatPr defaultRowHeight="15" x14ac:dyDescent="0.25"/>
  <cols>
    <col min="2" max="2" width="17" customWidth="1"/>
    <col min="4" max="4" width="10.28515625" customWidth="1"/>
    <col min="5" max="5" width="11.28515625" customWidth="1"/>
    <col min="9" max="9" width="18.5703125" customWidth="1"/>
    <col min="11" max="11" width="13.140625" customWidth="1"/>
  </cols>
  <sheetData>
    <row r="1" spans="1:12" x14ac:dyDescent="0.25">
      <c r="A1" s="2" t="str">
        <f>'Exh 17, Class Revenue'!A1</f>
        <v>Cascade Natural Gas Corporation</v>
      </c>
      <c r="B1" s="3"/>
      <c r="C1" s="3"/>
      <c r="D1" s="3"/>
      <c r="E1" s="3"/>
      <c r="F1" s="3"/>
      <c r="G1" s="3"/>
      <c r="H1" s="4" t="s">
        <v>2</v>
      </c>
      <c r="I1" s="3"/>
      <c r="J1" s="3" t="s">
        <v>2</v>
      </c>
      <c r="K1" s="3"/>
      <c r="L1" s="3"/>
    </row>
    <row r="2" spans="1:12" x14ac:dyDescent="0.25">
      <c r="A2" s="2" t="str">
        <f>'Exh 17, Class Revenue'!A2</f>
        <v>Washington Jurisdiction</v>
      </c>
      <c r="B2" s="3"/>
      <c r="C2" s="3"/>
      <c r="D2" s="3"/>
      <c r="E2" s="3"/>
      <c r="F2" s="3"/>
      <c r="G2" s="3"/>
      <c r="H2" s="4" t="s">
        <v>2</v>
      </c>
      <c r="I2" s="3"/>
      <c r="J2" s="3"/>
      <c r="K2" s="3"/>
      <c r="L2" s="3"/>
    </row>
    <row r="3" spans="1:12" x14ac:dyDescent="0.25">
      <c r="A3" s="99" t="s">
        <v>4</v>
      </c>
      <c r="B3" s="3"/>
      <c r="C3" s="3"/>
      <c r="D3" s="3"/>
      <c r="E3" s="3"/>
      <c r="F3" s="3"/>
      <c r="G3" s="3"/>
      <c r="H3" s="5" t="s">
        <v>97</v>
      </c>
      <c r="I3" s="3"/>
      <c r="J3" s="3"/>
      <c r="K3" s="3"/>
      <c r="L3" s="3"/>
    </row>
    <row r="4" spans="1:12" x14ac:dyDescent="0.25">
      <c r="A4" s="99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99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100" t="str">
        <f>'Exh 18, Class Rates'!C14</f>
        <v>General Commercial - 504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101" t="s">
        <v>54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7.25" x14ac:dyDescent="0.4">
      <c r="A9" s="102" t="s">
        <v>55</v>
      </c>
      <c r="B9" s="102" t="s">
        <v>56</v>
      </c>
      <c r="C9" s="102" t="s">
        <v>57</v>
      </c>
      <c r="D9" s="102" t="s">
        <v>58</v>
      </c>
      <c r="E9" s="102" t="s">
        <v>59</v>
      </c>
      <c r="F9" s="102" t="s">
        <v>60</v>
      </c>
      <c r="G9" s="102" t="s">
        <v>61</v>
      </c>
      <c r="H9" s="3"/>
      <c r="I9" s="3"/>
      <c r="J9" s="3"/>
      <c r="K9" s="3"/>
      <c r="L9" s="3"/>
    </row>
    <row r="10" spans="1:12" x14ac:dyDescent="0.25">
      <c r="A10" s="101"/>
      <c r="B10" s="103"/>
      <c r="C10" s="104"/>
      <c r="D10" s="105" t="s">
        <v>62</v>
      </c>
      <c r="E10" s="106" t="s">
        <v>10</v>
      </c>
      <c r="F10" s="3"/>
      <c r="G10" s="3"/>
      <c r="H10" s="3"/>
      <c r="I10" s="3"/>
      <c r="J10" s="3"/>
      <c r="K10" s="3"/>
      <c r="L10" s="3"/>
    </row>
    <row r="11" spans="1:12" ht="17.25" x14ac:dyDescent="0.4">
      <c r="A11" s="101"/>
      <c r="B11" s="76"/>
      <c r="C11" s="3"/>
      <c r="D11" s="102" t="s">
        <v>63</v>
      </c>
      <c r="E11" s="107" t="s">
        <v>63</v>
      </c>
      <c r="F11" s="3"/>
      <c r="G11" s="3"/>
      <c r="H11" s="3"/>
      <c r="I11" s="108" t="s">
        <v>64</v>
      </c>
      <c r="J11" s="108" t="s">
        <v>65</v>
      </c>
      <c r="K11" s="108" t="s">
        <v>66</v>
      </c>
      <c r="L11" s="3"/>
    </row>
    <row r="12" spans="1:12" x14ac:dyDescent="0.25">
      <c r="A12" s="101">
        <f>MAX(A1:A11)+1</f>
        <v>1</v>
      </c>
      <c r="B12" s="76" t="s">
        <v>14</v>
      </c>
      <c r="C12" s="3"/>
      <c r="D12" s="110">
        <f>'Exh 18, Class Rates'!E15</f>
        <v>13</v>
      </c>
      <c r="E12" s="111">
        <f>'Exh 18, Class Rates'!H15</f>
        <v>13</v>
      </c>
      <c r="F12" s="3"/>
      <c r="G12" s="3"/>
      <c r="H12" s="3"/>
      <c r="I12" s="108" t="s">
        <v>67</v>
      </c>
      <c r="J12" s="108">
        <v>0.43203999999999998</v>
      </c>
      <c r="K12" s="112">
        <v>44136</v>
      </c>
      <c r="L12" s="3"/>
    </row>
    <row r="13" spans="1:12" x14ac:dyDescent="0.25">
      <c r="A13" s="101"/>
      <c r="B13" s="76"/>
      <c r="C13" s="3"/>
      <c r="D13" s="110"/>
      <c r="E13" s="111"/>
      <c r="F13" s="3"/>
      <c r="G13" s="3"/>
      <c r="H13" s="3"/>
      <c r="I13" s="108" t="s">
        <v>68</v>
      </c>
      <c r="J13" s="108">
        <v>-2.4140000000000002E-2</v>
      </c>
      <c r="K13" s="112">
        <v>44136</v>
      </c>
      <c r="L13" s="3"/>
    </row>
    <row r="14" spans="1:12" x14ac:dyDescent="0.25">
      <c r="A14" s="101">
        <f>MAX(A3:A13)+1</f>
        <v>2</v>
      </c>
      <c r="B14" s="76" t="s">
        <v>15</v>
      </c>
      <c r="C14" s="3"/>
      <c r="D14" s="79">
        <f>'Exh 18, Class Rates'!E16</f>
        <v>0.26179999999999998</v>
      </c>
      <c r="E14" s="113">
        <f>'Exh 18, Class Rates'!H16</f>
        <v>0.30621231482097561</v>
      </c>
      <c r="F14" s="3"/>
      <c r="G14" s="3"/>
      <c r="H14" s="3"/>
      <c r="I14" s="108" t="s">
        <v>69</v>
      </c>
      <c r="J14" s="108">
        <v>-8.3899999999999999E-3</v>
      </c>
      <c r="K14" s="112">
        <v>44136</v>
      </c>
      <c r="L14" s="3"/>
    </row>
    <row r="15" spans="1:12" x14ac:dyDescent="0.25">
      <c r="A15" s="101"/>
      <c r="B15" s="76"/>
      <c r="C15" s="3"/>
      <c r="D15" s="110"/>
      <c r="E15" s="52"/>
      <c r="F15" s="3"/>
      <c r="G15" s="3"/>
      <c r="H15" s="3"/>
      <c r="I15" s="108" t="s">
        <v>70</v>
      </c>
      <c r="J15" s="108">
        <v>0.18332000000000001</v>
      </c>
      <c r="K15" s="112">
        <v>44136</v>
      </c>
      <c r="L15" s="3"/>
    </row>
    <row r="16" spans="1:12" x14ac:dyDescent="0.25">
      <c r="A16" s="101">
        <f>MAX(A7:A15)+1</f>
        <v>3</v>
      </c>
      <c r="B16" s="114" t="s">
        <v>71</v>
      </c>
      <c r="C16" s="115"/>
      <c r="D16" s="116">
        <f>J18</f>
        <v>0.58282999999999996</v>
      </c>
      <c r="E16" s="117">
        <f>D16</f>
        <v>0.58282999999999996</v>
      </c>
      <c r="F16" s="3"/>
      <c r="G16" s="3"/>
      <c r="H16" s="3"/>
      <c r="I16" s="108" t="s">
        <v>72</v>
      </c>
      <c r="J16" s="108"/>
      <c r="K16" s="108"/>
      <c r="L16" s="3"/>
    </row>
    <row r="17" spans="1:12" x14ac:dyDescent="0.25">
      <c r="A17" s="101"/>
      <c r="B17" s="3"/>
      <c r="C17" s="3"/>
      <c r="D17" s="79"/>
      <c r="E17" s="79"/>
      <c r="F17" s="3"/>
      <c r="G17" s="3"/>
      <c r="H17" s="3"/>
      <c r="I17" s="108"/>
      <c r="J17" s="108"/>
      <c r="K17" s="108"/>
      <c r="L17" s="3"/>
    </row>
    <row r="18" spans="1:12" x14ac:dyDescent="0.25">
      <c r="A18" s="101"/>
      <c r="B18" s="3"/>
      <c r="C18" s="3"/>
      <c r="D18" s="3"/>
      <c r="E18" s="3"/>
      <c r="F18" s="3"/>
      <c r="G18" s="3"/>
      <c r="H18" s="3"/>
      <c r="I18" s="108" t="s">
        <v>73</v>
      </c>
      <c r="J18" s="108">
        <f>SUM(J12:J17)</f>
        <v>0.58282999999999996</v>
      </c>
      <c r="K18" s="108"/>
      <c r="L18" s="3"/>
    </row>
    <row r="19" spans="1:12" ht="17.25" x14ac:dyDescent="0.4">
      <c r="A19" s="101"/>
      <c r="B19" s="101"/>
      <c r="C19" s="101" t="s">
        <v>74</v>
      </c>
      <c r="D19" s="101" t="s">
        <v>75</v>
      </c>
      <c r="E19" s="101" t="s">
        <v>75</v>
      </c>
      <c r="F19" s="118" t="s">
        <v>76</v>
      </c>
      <c r="G19" s="118"/>
      <c r="H19" s="3"/>
      <c r="I19" s="3"/>
      <c r="J19" s="3"/>
      <c r="K19" s="3"/>
      <c r="L19" s="3"/>
    </row>
    <row r="20" spans="1:12" x14ac:dyDescent="0.25">
      <c r="A20" s="101"/>
      <c r="B20" s="101"/>
      <c r="C20" s="101" t="s">
        <v>77</v>
      </c>
      <c r="D20" s="101" t="s">
        <v>62</v>
      </c>
      <c r="E20" s="101" t="s">
        <v>10</v>
      </c>
      <c r="F20" s="101"/>
      <c r="G20" s="101"/>
      <c r="H20" s="3"/>
      <c r="I20" s="3"/>
      <c r="J20" s="3"/>
      <c r="K20" s="3"/>
      <c r="L20" s="3"/>
    </row>
    <row r="21" spans="1:12" ht="17.25" x14ac:dyDescent="0.4">
      <c r="A21" s="101"/>
      <c r="B21" s="102" t="s">
        <v>78</v>
      </c>
      <c r="C21" s="102" t="s">
        <v>79</v>
      </c>
      <c r="D21" s="102" t="s">
        <v>63</v>
      </c>
      <c r="E21" s="102" t="s">
        <v>63</v>
      </c>
      <c r="F21" s="102" t="s">
        <v>80</v>
      </c>
      <c r="G21" s="102" t="s">
        <v>81</v>
      </c>
      <c r="H21" s="3"/>
      <c r="I21" s="2"/>
      <c r="J21" s="3"/>
      <c r="K21" s="3"/>
      <c r="L21" s="3"/>
    </row>
    <row r="22" spans="1:12" x14ac:dyDescent="0.25">
      <c r="A22" s="101"/>
      <c r="B22" s="3"/>
      <c r="C22" s="3"/>
      <c r="D22" s="3"/>
      <c r="E22" s="3"/>
      <c r="F22" s="3"/>
      <c r="G22" s="3"/>
      <c r="H22" s="3"/>
      <c r="I22" s="3" t="s">
        <v>82</v>
      </c>
      <c r="J22" s="3" t="s">
        <v>83</v>
      </c>
      <c r="K22" s="3"/>
      <c r="L22" s="3"/>
    </row>
    <row r="23" spans="1:12" x14ac:dyDescent="0.25">
      <c r="A23" s="101">
        <f>MAX(A13:A22)+1</f>
        <v>4</v>
      </c>
      <c r="B23" s="119" t="s">
        <v>84</v>
      </c>
      <c r="C23" s="120">
        <f>ROUND(I23/$J$23,0)</f>
        <v>558</v>
      </c>
      <c r="D23" s="121">
        <f>D$12+(D$14+D$16)*$C23</f>
        <v>484.30354</v>
      </c>
      <c r="E23" s="121">
        <f>E$12+(E$14+E$16)*$C23</f>
        <v>509.08561167010441</v>
      </c>
      <c r="F23" s="121">
        <f>E23-D23</f>
        <v>24.782071670104415</v>
      </c>
      <c r="G23" s="32">
        <f>F23/D23</f>
        <v>5.1170535879428873E-2</v>
      </c>
      <c r="H23" s="3"/>
      <c r="I23" s="122">
        <v>14853300.607932108</v>
      </c>
      <c r="J23" s="123">
        <v>26611.292948717946</v>
      </c>
      <c r="K23" s="3"/>
      <c r="L23" s="3"/>
    </row>
    <row r="24" spans="1:12" x14ac:dyDescent="0.25">
      <c r="A24" s="101">
        <f>MAX(A14:A23)+1</f>
        <v>5</v>
      </c>
      <c r="B24" s="119" t="s">
        <v>85</v>
      </c>
      <c r="C24" s="120">
        <f t="shared" ref="C24:C34" si="0">ROUND(I24/$J$23,0)</f>
        <v>446</v>
      </c>
      <c r="D24" s="121">
        <f t="shared" ref="D24:E34" si="1">D$12+(D$14+D$16)*$C24</f>
        <v>389.70497999999998</v>
      </c>
      <c r="E24" s="121">
        <f t="shared" si="1"/>
        <v>409.51287241015513</v>
      </c>
      <c r="F24" s="121">
        <f t="shared" ref="F24:F34" si="2">E24-D24</f>
        <v>19.807892410155148</v>
      </c>
      <c r="G24" s="32">
        <f t="shared" ref="G24:G34" si="3">F24/D24</f>
        <v>5.0827917082699708E-2</v>
      </c>
      <c r="H24" s="3"/>
      <c r="I24" s="124">
        <v>11872180.774175381</v>
      </c>
      <c r="J24" s="125"/>
      <c r="K24" s="3"/>
      <c r="L24" s="3"/>
    </row>
    <row r="25" spans="1:12" x14ac:dyDescent="0.25">
      <c r="A25" s="101">
        <f>MAX(A15:A24)+1</f>
        <v>6</v>
      </c>
      <c r="B25" s="119" t="s">
        <v>86</v>
      </c>
      <c r="C25" s="120">
        <f t="shared" si="0"/>
        <v>356</v>
      </c>
      <c r="D25" s="121">
        <f t="shared" si="1"/>
        <v>313.68828000000002</v>
      </c>
      <c r="E25" s="121">
        <f t="shared" si="1"/>
        <v>329.4990640762673</v>
      </c>
      <c r="F25" s="121">
        <f t="shared" si="2"/>
        <v>15.810784076267282</v>
      </c>
      <c r="G25" s="32">
        <f t="shared" si="3"/>
        <v>5.040285239941792E-2</v>
      </c>
      <c r="H25" s="3"/>
      <c r="I25" s="124">
        <v>9484536.818317553</v>
      </c>
      <c r="J25" s="125"/>
      <c r="K25" s="3"/>
      <c r="L25" s="3"/>
    </row>
    <row r="26" spans="1:12" x14ac:dyDescent="0.25">
      <c r="A26" s="101">
        <f>MAX(A16:A25)+1</f>
        <v>7</v>
      </c>
      <c r="B26" s="119" t="s">
        <v>87</v>
      </c>
      <c r="C26" s="120">
        <f t="shared" si="0"/>
        <v>232</v>
      </c>
      <c r="D26" s="121">
        <f t="shared" si="1"/>
        <v>208.95416</v>
      </c>
      <c r="E26" s="121">
        <f t="shared" si="1"/>
        <v>219.25781703846636</v>
      </c>
      <c r="F26" s="121">
        <f t="shared" si="2"/>
        <v>10.303657038466355</v>
      </c>
      <c r="G26" s="32">
        <f t="shared" si="3"/>
        <v>4.9310609745536318E-2</v>
      </c>
      <c r="H26" s="3"/>
      <c r="I26" s="124">
        <v>6162633.5881015919</v>
      </c>
      <c r="J26" s="125"/>
      <c r="K26" s="3"/>
      <c r="L26" s="3"/>
    </row>
    <row r="27" spans="1:12" x14ac:dyDescent="0.25">
      <c r="A27" s="101">
        <f t="shared" ref="A27:A35" si="4">MAX(A18:A26)+1</f>
        <v>8</v>
      </c>
      <c r="B27" s="119" t="s">
        <v>88</v>
      </c>
      <c r="C27" s="120">
        <f t="shared" si="0"/>
        <v>168</v>
      </c>
      <c r="D27" s="121">
        <f t="shared" si="1"/>
        <v>154.89784</v>
      </c>
      <c r="E27" s="121">
        <f t="shared" si="1"/>
        <v>162.3591088899239</v>
      </c>
      <c r="F27" s="121">
        <f t="shared" si="2"/>
        <v>7.4612688899239004</v>
      </c>
      <c r="G27" s="32">
        <f t="shared" si="3"/>
        <v>4.8168966655209006E-2</v>
      </c>
      <c r="H27" s="3"/>
      <c r="I27" s="124">
        <v>4478189.5980950147</v>
      </c>
      <c r="J27" s="125"/>
      <c r="K27" s="3"/>
      <c r="L27" s="3"/>
    </row>
    <row r="28" spans="1:12" x14ac:dyDescent="0.25">
      <c r="A28" s="101">
        <f t="shared" si="4"/>
        <v>9</v>
      </c>
      <c r="B28" s="119" t="s">
        <v>89</v>
      </c>
      <c r="C28" s="120">
        <f t="shared" si="0"/>
        <v>118</v>
      </c>
      <c r="D28" s="121">
        <f t="shared" si="1"/>
        <v>112.66634000000001</v>
      </c>
      <c r="E28" s="121">
        <f t="shared" si="1"/>
        <v>117.90699314887512</v>
      </c>
      <c r="F28" s="121">
        <f t="shared" si="2"/>
        <v>5.2406531488751114</v>
      </c>
      <c r="G28" s="32">
        <f t="shared" si="3"/>
        <v>4.6514807784428881E-2</v>
      </c>
      <c r="H28" s="3"/>
      <c r="I28" s="124">
        <v>3150663.1401956589</v>
      </c>
      <c r="J28" s="125"/>
      <c r="K28" s="3"/>
      <c r="L28" s="3"/>
    </row>
    <row r="29" spans="1:12" x14ac:dyDescent="0.25">
      <c r="A29" s="101">
        <f t="shared" si="4"/>
        <v>10</v>
      </c>
      <c r="B29" s="119" t="s">
        <v>90</v>
      </c>
      <c r="C29" s="120">
        <f t="shared" si="0"/>
        <v>117</v>
      </c>
      <c r="D29" s="121">
        <f t="shared" si="1"/>
        <v>111.82171</v>
      </c>
      <c r="E29" s="121">
        <f t="shared" si="1"/>
        <v>117.01795083405415</v>
      </c>
      <c r="F29" s="121">
        <f t="shared" si="2"/>
        <v>5.1962408340541515</v>
      </c>
      <c r="G29" s="32">
        <f t="shared" si="3"/>
        <v>4.6468980254855269E-2</v>
      </c>
      <c r="H29" s="3"/>
      <c r="I29" s="124">
        <v>3112806.7024267702</v>
      </c>
      <c r="J29" s="125"/>
      <c r="K29" s="3"/>
      <c r="L29" s="3"/>
    </row>
    <row r="30" spans="1:12" x14ac:dyDescent="0.25">
      <c r="A30" s="101">
        <f t="shared" si="4"/>
        <v>11</v>
      </c>
      <c r="B30" s="119" t="s">
        <v>91</v>
      </c>
      <c r="C30" s="120">
        <f t="shared" si="0"/>
        <v>117</v>
      </c>
      <c r="D30" s="121">
        <f t="shared" si="1"/>
        <v>111.82171</v>
      </c>
      <c r="E30" s="121">
        <f t="shared" si="1"/>
        <v>117.01795083405415</v>
      </c>
      <c r="F30" s="121">
        <f t="shared" si="2"/>
        <v>5.1962408340541515</v>
      </c>
      <c r="G30" s="32">
        <f t="shared" si="3"/>
        <v>4.6468980254855269E-2</v>
      </c>
      <c r="H30" s="3"/>
      <c r="I30" s="124">
        <v>3114703.9411617112</v>
      </c>
      <c r="J30" s="125"/>
      <c r="K30" s="3"/>
      <c r="L30" s="3"/>
    </row>
    <row r="31" spans="1:12" x14ac:dyDescent="0.25">
      <c r="A31" s="101">
        <f t="shared" si="4"/>
        <v>12</v>
      </c>
      <c r="B31" s="119" t="s">
        <v>92</v>
      </c>
      <c r="C31" s="120">
        <f t="shared" si="0"/>
        <v>142</v>
      </c>
      <c r="D31" s="121">
        <f t="shared" si="1"/>
        <v>132.93745999999999</v>
      </c>
      <c r="E31" s="121">
        <f t="shared" si="1"/>
        <v>139.24400870457853</v>
      </c>
      <c r="F31" s="121">
        <f t="shared" si="2"/>
        <v>6.306548704578546</v>
      </c>
      <c r="G31" s="32">
        <f t="shared" si="3"/>
        <v>4.7439966918117339E-2</v>
      </c>
      <c r="H31" s="3"/>
      <c r="I31" s="124">
        <v>3787984.9158109231</v>
      </c>
      <c r="J31" s="125"/>
      <c r="K31" s="3"/>
      <c r="L31" s="3"/>
    </row>
    <row r="32" spans="1:12" x14ac:dyDescent="0.25">
      <c r="A32" s="101">
        <f t="shared" si="4"/>
        <v>13</v>
      </c>
      <c r="B32" s="119" t="s">
        <v>93</v>
      </c>
      <c r="C32" s="120">
        <f t="shared" si="0"/>
        <v>269</v>
      </c>
      <c r="D32" s="121">
        <f t="shared" si="1"/>
        <v>240.20546999999999</v>
      </c>
      <c r="E32" s="121">
        <f t="shared" si="1"/>
        <v>252.15238268684243</v>
      </c>
      <c r="F32" s="121">
        <f t="shared" si="2"/>
        <v>11.946912686842438</v>
      </c>
      <c r="G32" s="32">
        <f t="shared" si="3"/>
        <v>4.973622243840841E-2</v>
      </c>
      <c r="H32" s="3"/>
      <c r="I32" s="124">
        <v>7163297.2456065919</v>
      </c>
      <c r="J32" s="125"/>
      <c r="K32" s="3"/>
      <c r="L32" s="3"/>
    </row>
    <row r="33" spans="1:12" x14ac:dyDescent="0.25">
      <c r="A33" s="101">
        <f t="shared" si="4"/>
        <v>14</v>
      </c>
      <c r="B33" s="119" t="s">
        <v>94</v>
      </c>
      <c r="C33" s="120">
        <f t="shared" si="0"/>
        <v>414</v>
      </c>
      <c r="D33" s="121">
        <f t="shared" si="1"/>
        <v>362.67682000000002</v>
      </c>
      <c r="E33" s="121">
        <f t="shared" si="1"/>
        <v>381.06351833588388</v>
      </c>
      <c r="F33" s="121">
        <f t="shared" si="2"/>
        <v>18.386698335883864</v>
      </c>
      <c r="G33" s="32">
        <f t="shared" si="3"/>
        <v>5.0697197399833444E-2</v>
      </c>
      <c r="H33" s="3"/>
      <c r="I33" s="124">
        <v>11025641.995172838</v>
      </c>
      <c r="J33" s="125"/>
      <c r="K33" s="3"/>
      <c r="L33" s="3"/>
    </row>
    <row r="34" spans="1:12" ht="17.25" x14ac:dyDescent="0.4">
      <c r="A34" s="101">
        <f t="shared" si="4"/>
        <v>15</v>
      </c>
      <c r="B34" s="119" t="s">
        <v>95</v>
      </c>
      <c r="C34" s="126">
        <f t="shared" si="0"/>
        <v>544</v>
      </c>
      <c r="D34" s="127">
        <f t="shared" si="1"/>
        <v>472.47872000000001</v>
      </c>
      <c r="E34" s="127">
        <f t="shared" si="1"/>
        <v>496.63901926261076</v>
      </c>
      <c r="F34" s="127">
        <f t="shared" si="2"/>
        <v>24.160299262610749</v>
      </c>
      <c r="G34" s="32">
        <f t="shared" si="3"/>
        <v>5.1135211470710783E-2</v>
      </c>
      <c r="H34" s="3"/>
      <c r="I34" s="124">
        <v>14473775.72704928</v>
      </c>
      <c r="J34" s="129"/>
      <c r="K34" s="3"/>
      <c r="L34" s="3"/>
    </row>
    <row r="35" spans="1:12" ht="17.25" x14ac:dyDescent="0.4">
      <c r="A35" s="101">
        <f t="shared" si="4"/>
        <v>16</v>
      </c>
      <c r="B35" s="3" t="s">
        <v>73</v>
      </c>
      <c r="C35" s="130">
        <f>SUM(C23:C34)</f>
        <v>3481</v>
      </c>
      <c r="D35" s="131">
        <f>SUM(D23:D34)</f>
        <v>3096.1570299999998</v>
      </c>
      <c r="E35" s="131">
        <f>SUM(E23:E34)</f>
        <v>3250.7562978918163</v>
      </c>
      <c r="F35" s="131">
        <f>SUM(F23:F34)</f>
        <v>154.59926789181611</v>
      </c>
      <c r="G35" s="32"/>
      <c r="H35" s="3"/>
      <c r="I35" s="124">
        <v>92679715.054045424</v>
      </c>
      <c r="J35" s="3"/>
      <c r="K35" s="3"/>
      <c r="L35" s="3"/>
    </row>
    <row r="36" spans="1:12" x14ac:dyDescent="0.25">
      <c r="A36" s="101"/>
      <c r="B36" s="3"/>
      <c r="C36" s="3"/>
      <c r="D36" s="3"/>
      <c r="E36" s="3"/>
      <c r="F36" s="3"/>
      <c r="G36" s="3"/>
      <c r="H36" s="3"/>
      <c r="I36" s="51" t="s">
        <v>2</v>
      </c>
      <c r="J36" s="3"/>
      <c r="K36" s="3"/>
      <c r="L36" s="3"/>
    </row>
    <row r="37" spans="1:12" x14ac:dyDescent="0.25">
      <c r="A37" s="101">
        <f>MAX(A28:A36)+1</f>
        <v>17</v>
      </c>
      <c r="B37" s="3" t="s">
        <v>96</v>
      </c>
      <c r="C37" s="36">
        <f>C35/12</f>
        <v>290.08333333333331</v>
      </c>
      <c r="D37" s="132">
        <f>D35/12</f>
        <v>258.01308583333332</v>
      </c>
      <c r="E37" s="132">
        <f>E35/12</f>
        <v>270.89635815765138</v>
      </c>
      <c r="F37" s="132">
        <f>F35/12</f>
        <v>12.883272324318009</v>
      </c>
      <c r="G37" s="32">
        <f>F37/D37</f>
        <v>4.9932631450484315E-2</v>
      </c>
      <c r="H37" s="3"/>
      <c r="I37" s="3"/>
      <c r="J37" s="3"/>
      <c r="K37" s="3"/>
      <c r="L37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BEAA-0C02-4725-BB6D-E9E8BA6D100B}">
  <sheetPr>
    <tabColor theme="5"/>
  </sheetPr>
  <dimension ref="A1:N417"/>
  <sheetViews>
    <sheetView tabSelected="1" zoomScaleNormal="100" workbookViewId="0">
      <selection activeCell="I277" sqref="I277"/>
    </sheetView>
  </sheetViews>
  <sheetFormatPr defaultColWidth="9.140625" defaultRowHeight="15" outlineLevelRow="1" x14ac:dyDescent="0.25"/>
  <cols>
    <col min="1" max="1" width="4.5703125" style="3" customWidth="1"/>
    <col min="2" max="2" width="6.7109375" style="3" customWidth="1"/>
    <col min="3" max="3" width="22.5703125" style="3" customWidth="1"/>
    <col min="4" max="7" width="20.7109375" style="3" customWidth="1"/>
    <col min="8" max="8" width="7.42578125" style="3" customWidth="1"/>
    <col min="9" max="9" width="9.140625" style="3" customWidth="1"/>
    <col min="10" max="10" width="17.5703125" style="133" customWidth="1"/>
    <col min="11" max="11" width="12.5703125" style="3" customWidth="1"/>
    <col min="12" max="12" width="18.85546875" style="3" customWidth="1"/>
    <col min="13" max="13" width="10.5703125" style="3" bestFit="1" customWidth="1"/>
    <col min="14" max="14" width="14.28515625" style="3" customWidth="1"/>
    <col min="15" max="16384" width="9.140625" style="3"/>
  </cols>
  <sheetData>
    <row r="1" spans="1:12" x14ac:dyDescent="0.25">
      <c r="A1" s="2" t="str">
        <f>'Exh 17, Class Revenue'!A1</f>
        <v>Cascade Natural Gas Corporation</v>
      </c>
      <c r="H1" s="33" t="s">
        <v>2</v>
      </c>
      <c r="J1" s="133" t="s">
        <v>2</v>
      </c>
    </row>
    <row r="2" spans="1:12" x14ac:dyDescent="0.25">
      <c r="A2" s="2" t="str">
        <f>'Exh 17, Class Revenue'!A2</f>
        <v>Washington Jurisdiction</v>
      </c>
      <c r="H2" s="33" t="s">
        <v>2</v>
      </c>
    </row>
    <row r="3" spans="1:12" x14ac:dyDescent="0.25">
      <c r="A3" s="2" t="s">
        <v>4</v>
      </c>
      <c r="H3" s="34" t="s">
        <v>2</v>
      </c>
    </row>
    <row r="4" spans="1:12" x14ac:dyDescent="0.25">
      <c r="A4" s="2"/>
    </row>
    <row r="5" spans="1:12" x14ac:dyDescent="0.25">
      <c r="B5" s="100" t="str">
        <f>'Exh 18, Class Rates'!C8</f>
        <v>Residential - 503</v>
      </c>
    </row>
    <row r="7" spans="1:12" x14ac:dyDescent="0.25">
      <c r="B7" s="101" t="s">
        <v>54</v>
      </c>
    </row>
    <row r="8" spans="1:12" ht="17.25" x14ac:dyDescent="0.4">
      <c r="B8" s="102" t="s">
        <v>55</v>
      </c>
      <c r="C8" s="102" t="s">
        <v>56</v>
      </c>
      <c r="D8" s="102" t="s">
        <v>57</v>
      </c>
      <c r="E8" s="102" t="s">
        <v>58</v>
      </c>
      <c r="F8" s="102" t="s">
        <v>59</v>
      </c>
      <c r="G8" s="102" t="s">
        <v>60</v>
      </c>
    </row>
    <row r="9" spans="1:12" x14ac:dyDescent="0.25">
      <c r="B9" s="101"/>
      <c r="C9" s="103"/>
      <c r="D9" s="105" t="s">
        <v>62</v>
      </c>
      <c r="E9" s="106" t="s">
        <v>10</v>
      </c>
      <c r="J9" s="108" t="s">
        <v>64</v>
      </c>
      <c r="K9" s="109" t="s">
        <v>65</v>
      </c>
      <c r="L9" s="109" t="s">
        <v>66</v>
      </c>
    </row>
    <row r="10" spans="1:12" ht="17.25" x14ac:dyDescent="0.4">
      <c r="B10" s="101"/>
      <c r="C10" s="76"/>
      <c r="D10" s="102" t="s">
        <v>63</v>
      </c>
      <c r="E10" s="107" t="s">
        <v>63</v>
      </c>
      <c r="J10" s="108" t="s">
        <v>67</v>
      </c>
      <c r="K10" s="108">
        <v>0.43465999999999999</v>
      </c>
      <c r="L10" s="112">
        <v>44136</v>
      </c>
    </row>
    <row r="11" spans="1:12" x14ac:dyDescent="0.25">
      <c r="B11" s="101">
        <f>MAX(B1:B10)+1</f>
        <v>1</v>
      </c>
      <c r="C11" s="76" t="s">
        <v>14</v>
      </c>
      <c r="D11" s="110">
        <f>'Exh 18, Class Rates'!E9</f>
        <v>5</v>
      </c>
      <c r="E11" s="111">
        <f>'Exh 18, Class Rates'!H9</f>
        <v>5</v>
      </c>
      <c r="J11" s="108" t="s">
        <v>68</v>
      </c>
      <c r="K11" s="108">
        <v>-9.1000000000000004E-3</v>
      </c>
      <c r="L11" s="112">
        <v>44136</v>
      </c>
    </row>
    <row r="12" spans="1:12" x14ac:dyDescent="0.25">
      <c r="B12" s="101"/>
      <c r="C12" s="76"/>
      <c r="D12" s="110"/>
      <c r="E12" s="111"/>
      <c r="J12" s="108" t="s">
        <v>69</v>
      </c>
      <c r="K12" s="108">
        <v>-1.093E-2</v>
      </c>
      <c r="L12" s="112">
        <v>44136</v>
      </c>
    </row>
    <row r="13" spans="1:12" x14ac:dyDescent="0.25">
      <c r="B13" s="101">
        <f>MAX(B3:B12)+1</f>
        <v>2</v>
      </c>
      <c r="C13" s="76" t="s">
        <v>15</v>
      </c>
      <c r="D13" s="79">
        <f>'Exh 18, Class Rates'!E10</f>
        <v>0.31073000000000001</v>
      </c>
      <c r="E13" s="113">
        <f>'Exh 18, Class Rates'!H10</f>
        <v>0.36344290521131306</v>
      </c>
      <c r="J13" s="108" t="s">
        <v>70</v>
      </c>
      <c r="K13" s="108">
        <v>0.1867</v>
      </c>
      <c r="L13" s="112">
        <v>44136</v>
      </c>
    </row>
    <row r="14" spans="1:12" x14ac:dyDescent="0.25">
      <c r="B14" s="101"/>
      <c r="C14" s="76"/>
      <c r="D14" s="110"/>
      <c r="E14" s="52"/>
      <c r="J14" s="108" t="s">
        <v>72</v>
      </c>
      <c r="K14" s="108"/>
      <c r="L14" s="108"/>
    </row>
    <row r="15" spans="1:12" x14ac:dyDescent="0.25">
      <c r="B15" s="101">
        <f>MAX(B6:B14)+1</f>
        <v>3</v>
      </c>
      <c r="C15" s="114" t="s">
        <v>71</v>
      </c>
      <c r="D15" s="134">
        <f>K16</f>
        <v>0.60133000000000003</v>
      </c>
      <c r="E15" s="117">
        <f>D15</f>
        <v>0.60133000000000003</v>
      </c>
      <c r="J15" s="108"/>
      <c r="K15" s="108"/>
      <c r="L15" s="108"/>
    </row>
    <row r="16" spans="1:12" x14ac:dyDescent="0.25">
      <c r="B16" s="101"/>
      <c r="J16" s="108" t="s">
        <v>73</v>
      </c>
      <c r="K16" s="108">
        <f>SUM(K10:K15)</f>
        <v>0.60133000000000003</v>
      </c>
      <c r="L16" s="108"/>
    </row>
    <row r="17" spans="2:7" x14ac:dyDescent="0.25">
      <c r="B17" s="101"/>
      <c r="C17" s="101"/>
      <c r="D17" s="101"/>
      <c r="E17" s="101"/>
    </row>
    <row r="18" spans="2:7" ht="17.25" x14ac:dyDescent="0.4">
      <c r="B18" s="101"/>
      <c r="C18" s="101" t="s">
        <v>98</v>
      </c>
      <c r="D18" s="101" t="s">
        <v>75</v>
      </c>
      <c r="E18" s="101" t="s">
        <v>75</v>
      </c>
      <c r="F18" s="118" t="s">
        <v>99</v>
      </c>
      <c r="G18" s="118"/>
    </row>
    <row r="19" spans="2:7" ht="17.25" x14ac:dyDescent="0.4">
      <c r="B19" s="101"/>
      <c r="C19" s="102" t="s">
        <v>100</v>
      </c>
      <c r="D19" s="102" t="s">
        <v>101</v>
      </c>
      <c r="E19" s="102" t="s">
        <v>31</v>
      </c>
      <c r="F19" s="102" t="s">
        <v>80</v>
      </c>
      <c r="G19" s="102" t="s">
        <v>81</v>
      </c>
    </row>
    <row r="20" spans="2:7" x14ac:dyDescent="0.25">
      <c r="B20" s="101"/>
      <c r="D20" s="101"/>
      <c r="E20" s="101"/>
      <c r="F20" s="101"/>
      <c r="G20" s="101"/>
    </row>
    <row r="21" spans="2:7" x14ac:dyDescent="0.25">
      <c r="B21" s="101">
        <f t="shared" ref="B21:B53" si="0">MAX(B12:B20)+1</f>
        <v>4</v>
      </c>
      <c r="C21" s="101">
        <v>0</v>
      </c>
      <c r="D21" s="135">
        <f>D$11+(D$13+D$15)*$C21</f>
        <v>5</v>
      </c>
      <c r="E21" s="135">
        <f>E$11+(E$13+E$15)*$C21</f>
        <v>5</v>
      </c>
      <c r="F21" s="135">
        <f>E21-D21</f>
        <v>0</v>
      </c>
      <c r="G21" s="136">
        <f>F21/D21</f>
        <v>0</v>
      </c>
    </row>
    <row r="22" spans="2:7" x14ac:dyDescent="0.25">
      <c r="B22" s="101"/>
      <c r="C22" s="101"/>
      <c r="D22" s="135"/>
      <c r="E22" s="135"/>
      <c r="F22" s="135"/>
      <c r="G22" s="136"/>
    </row>
    <row r="23" spans="2:7" x14ac:dyDescent="0.25">
      <c r="B23" s="101">
        <f t="shared" si="0"/>
        <v>5</v>
      </c>
      <c r="C23" s="101">
        <v>25</v>
      </c>
      <c r="D23" s="135">
        <f>D$11+(D$13+D$15)*$C23</f>
        <v>27.801500000000001</v>
      </c>
      <c r="E23" s="135">
        <f>E$11+(E$13+E$15)*$C23</f>
        <v>29.119322630282827</v>
      </c>
      <c r="F23" s="135">
        <f>E23-D23</f>
        <v>1.3178226302828264</v>
      </c>
      <c r="G23" s="136">
        <f>F23/D23</f>
        <v>4.7401134121641868E-2</v>
      </c>
    </row>
    <row r="24" spans="2:7" x14ac:dyDescent="0.25">
      <c r="B24" s="101"/>
      <c r="C24" s="101"/>
      <c r="D24" s="135"/>
      <c r="E24" s="135"/>
      <c r="F24" s="135"/>
      <c r="G24" s="136"/>
    </row>
    <row r="25" spans="2:7" x14ac:dyDescent="0.25">
      <c r="B25" s="101">
        <f t="shared" si="0"/>
        <v>6</v>
      </c>
      <c r="C25" s="101">
        <v>30</v>
      </c>
      <c r="D25" s="135">
        <f>D$11+(D$13+D$15)*$C25</f>
        <v>32.361800000000002</v>
      </c>
      <c r="E25" s="135">
        <f t="shared" ref="E25:E53" si="1">E$11+(E$13+E$15)*$C25</f>
        <v>33.943187156339391</v>
      </c>
      <c r="F25" s="135">
        <f>E25-D25</f>
        <v>1.5813871563393889</v>
      </c>
      <c r="G25" s="136">
        <f>F25/D25</f>
        <v>4.8865859017093879E-2</v>
      </c>
    </row>
    <row r="26" spans="2:7" x14ac:dyDescent="0.25">
      <c r="B26" s="101">
        <f t="shared" si="0"/>
        <v>7</v>
      </c>
      <c r="C26" s="101">
        <v>35</v>
      </c>
      <c r="D26" s="135">
        <f>D$11+(D$13+D$15)*$C26</f>
        <v>36.9221</v>
      </c>
      <c r="E26" s="135">
        <f t="shared" si="1"/>
        <v>38.767051682395959</v>
      </c>
      <c r="F26" s="135">
        <f>E26-D26</f>
        <v>1.8449516823959584</v>
      </c>
      <c r="G26" s="136">
        <f>F26/D26</f>
        <v>4.9968763488424502E-2</v>
      </c>
    </row>
    <row r="27" spans="2:7" x14ac:dyDescent="0.25">
      <c r="B27" s="101">
        <f t="shared" si="0"/>
        <v>8</v>
      </c>
      <c r="C27" s="101">
        <v>40</v>
      </c>
      <c r="D27" s="135">
        <f>D$11+(D$13+D$15)*$C27</f>
        <v>41.482400000000005</v>
      </c>
      <c r="E27" s="135">
        <f t="shared" si="1"/>
        <v>43.590916208452526</v>
      </c>
      <c r="F27" s="135">
        <f>E27-D27</f>
        <v>2.1085162084525209</v>
      </c>
      <c r="G27" s="136">
        <f>F27/D27</f>
        <v>5.0829175950584359E-2</v>
      </c>
    </row>
    <row r="28" spans="2:7" x14ac:dyDescent="0.25">
      <c r="B28" s="101">
        <f t="shared" si="0"/>
        <v>9</v>
      </c>
      <c r="C28" s="101">
        <v>45</v>
      </c>
      <c r="D28" s="135">
        <f>D$11+(D$13+D$15)*$C28</f>
        <v>46.042700000000004</v>
      </c>
      <c r="E28" s="135">
        <f t="shared" si="1"/>
        <v>48.414780734509087</v>
      </c>
      <c r="F28" s="135">
        <f>E28-D28</f>
        <v>2.3720807345090833</v>
      </c>
      <c r="G28" s="136">
        <f>F28/D28</f>
        <v>5.1519149279018892E-2</v>
      </c>
    </row>
    <row r="29" spans="2:7" x14ac:dyDescent="0.25">
      <c r="B29" s="101">
        <f t="shared" si="0"/>
        <v>10</v>
      </c>
      <c r="C29" s="101">
        <v>50</v>
      </c>
      <c r="D29" s="135">
        <f>D$11+(D$13+D$15)*$C29</f>
        <v>50.603000000000002</v>
      </c>
      <c r="E29" s="135">
        <f t="shared" si="1"/>
        <v>53.238645260565654</v>
      </c>
      <c r="F29" s="135">
        <f>E29-D29</f>
        <v>2.6356452605656528</v>
      </c>
      <c r="G29" s="136">
        <f>F29/D29</f>
        <v>5.2084762969896108E-2</v>
      </c>
    </row>
    <row r="30" spans="2:7" x14ac:dyDescent="0.25">
      <c r="B30" s="101"/>
      <c r="C30" s="101"/>
      <c r="D30" s="135"/>
      <c r="E30" s="135"/>
      <c r="F30" s="135"/>
      <c r="G30" s="136"/>
    </row>
    <row r="31" spans="2:7" x14ac:dyDescent="0.25">
      <c r="B31" s="101">
        <f t="shared" si="0"/>
        <v>11</v>
      </c>
      <c r="C31" s="101">
        <v>60</v>
      </c>
      <c r="D31" s="135">
        <f>D$11+(D$13+D$15)*$C31</f>
        <v>59.723600000000005</v>
      </c>
      <c r="E31" s="135">
        <f t="shared" si="1"/>
        <v>62.886374312678782</v>
      </c>
      <c r="F31" s="135">
        <f>E31-D31</f>
        <v>3.1627743126787777</v>
      </c>
      <c r="G31" s="136">
        <f>F31/D31</f>
        <v>5.2956859812181074E-2</v>
      </c>
    </row>
    <row r="32" spans="2:7" x14ac:dyDescent="0.25">
      <c r="B32" s="101">
        <f t="shared" si="0"/>
        <v>12</v>
      </c>
      <c r="C32" s="101">
        <v>70</v>
      </c>
      <c r="D32" s="135">
        <f>D$11+(D$13+D$15)*$C32</f>
        <v>68.844200000000001</v>
      </c>
      <c r="E32" s="135">
        <f t="shared" si="1"/>
        <v>72.534103364791918</v>
      </c>
      <c r="F32" s="135">
        <f>E32-D32</f>
        <v>3.6899033647919168</v>
      </c>
      <c r="G32" s="136">
        <f>F32/D32</f>
        <v>5.3597882825160537E-2</v>
      </c>
    </row>
    <row r="33" spans="2:7" x14ac:dyDescent="0.25">
      <c r="B33" s="101">
        <f t="shared" si="0"/>
        <v>13</v>
      </c>
      <c r="C33" s="101">
        <v>80</v>
      </c>
      <c r="D33" s="135">
        <f>D$11+(D$13+D$15)*$C33</f>
        <v>77.964800000000011</v>
      </c>
      <c r="E33" s="135">
        <f t="shared" si="1"/>
        <v>82.181832416905053</v>
      </c>
      <c r="F33" s="135">
        <f>E33-D33</f>
        <v>4.2170324169050417</v>
      </c>
      <c r="G33" s="136">
        <f>F33/D33</f>
        <v>5.408892752761555E-2</v>
      </c>
    </row>
    <row r="34" spans="2:7" x14ac:dyDescent="0.25">
      <c r="B34" s="101">
        <f t="shared" si="0"/>
        <v>14</v>
      </c>
      <c r="C34" s="101">
        <v>90</v>
      </c>
      <c r="D34" s="135">
        <f>D$11+(D$13+D$15)*$C34</f>
        <v>87.085400000000007</v>
      </c>
      <c r="E34" s="135">
        <f t="shared" si="1"/>
        <v>91.829561469018174</v>
      </c>
      <c r="F34" s="135">
        <f>E34-D34</f>
        <v>4.7441614690181666</v>
      </c>
      <c r="G34" s="136">
        <f>F34/D34</f>
        <v>5.4477116359552422E-2</v>
      </c>
    </row>
    <row r="35" spans="2:7" x14ac:dyDescent="0.25">
      <c r="B35" s="101">
        <f t="shared" si="0"/>
        <v>15</v>
      </c>
      <c r="C35" s="101">
        <v>100</v>
      </c>
      <c r="D35" s="135">
        <f>D$11+(D$13+D$15)*$C35</f>
        <v>96.206000000000003</v>
      </c>
      <c r="E35" s="135">
        <f t="shared" si="1"/>
        <v>101.47729052113131</v>
      </c>
      <c r="F35" s="135">
        <f>E35-D35</f>
        <v>5.2712905211313057</v>
      </c>
      <c r="G35" s="136">
        <f>F35/D35</f>
        <v>5.4791702400383613E-2</v>
      </c>
    </row>
    <row r="36" spans="2:7" x14ac:dyDescent="0.25">
      <c r="B36" s="101"/>
      <c r="C36" s="101"/>
      <c r="D36" s="135"/>
      <c r="E36" s="135"/>
      <c r="F36" s="135"/>
      <c r="G36" s="136"/>
    </row>
    <row r="37" spans="2:7" x14ac:dyDescent="0.25">
      <c r="B37" s="101">
        <f t="shared" si="0"/>
        <v>16</v>
      </c>
      <c r="C37" s="101">
        <v>110</v>
      </c>
      <c r="D37" s="135">
        <f>D$11+(D$13+D$15)*$C37</f>
        <v>105.32660000000001</v>
      </c>
      <c r="E37" s="135">
        <f t="shared" si="1"/>
        <v>111.12501957324444</v>
      </c>
      <c r="F37" s="135">
        <f>E37-D37</f>
        <v>5.7984195732444306</v>
      </c>
      <c r="G37" s="136">
        <f>F37/D37</f>
        <v>5.5051806222211959E-2</v>
      </c>
    </row>
    <row r="38" spans="2:7" x14ac:dyDescent="0.25">
      <c r="B38" s="101">
        <f t="shared" si="0"/>
        <v>17</v>
      </c>
      <c r="C38" s="101">
        <v>120</v>
      </c>
      <c r="D38" s="135">
        <f>D$11+(D$13+D$15)*$C38</f>
        <v>114.44720000000001</v>
      </c>
      <c r="E38" s="135">
        <f t="shared" si="1"/>
        <v>120.77274862535756</v>
      </c>
      <c r="F38" s="135">
        <f>E38-D38</f>
        <v>6.3255486253575555</v>
      </c>
      <c r="G38" s="136">
        <f>F38/D38</f>
        <v>5.5270453321335559E-2</v>
      </c>
    </row>
    <row r="39" spans="2:7" x14ac:dyDescent="0.25">
      <c r="B39" s="101">
        <f t="shared" si="0"/>
        <v>18</v>
      </c>
      <c r="C39" s="101">
        <v>130</v>
      </c>
      <c r="D39" s="135">
        <f>D$11+(D$13+D$15)*$C39</f>
        <v>123.56780000000001</v>
      </c>
      <c r="E39" s="135">
        <f t="shared" si="1"/>
        <v>130.4204776774707</v>
      </c>
      <c r="F39" s="135">
        <f>E39-D39</f>
        <v>6.8526776774706946</v>
      </c>
      <c r="G39" s="136">
        <f>F39/D39</f>
        <v>5.5456823520939065E-2</v>
      </c>
    </row>
    <row r="40" spans="2:7" x14ac:dyDescent="0.25">
      <c r="B40" s="101">
        <f t="shared" si="0"/>
        <v>19</v>
      </c>
      <c r="C40" s="101">
        <v>140</v>
      </c>
      <c r="D40" s="135">
        <f>D$11+(D$13+D$15)*$C40</f>
        <v>132.6884</v>
      </c>
      <c r="E40" s="135">
        <f t="shared" si="1"/>
        <v>140.06820672958384</v>
      </c>
      <c r="F40" s="135">
        <f>E40-D40</f>
        <v>7.3798067295838337</v>
      </c>
      <c r="G40" s="136">
        <f>F40/D40</f>
        <v>5.5617572670887835E-2</v>
      </c>
    </row>
    <row r="41" spans="2:7" x14ac:dyDescent="0.25">
      <c r="B41" s="101">
        <f t="shared" si="0"/>
        <v>20</v>
      </c>
      <c r="C41" s="101">
        <v>150</v>
      </c>
      <c r="D41" s="135">
        <f>D$11+(D$13+D$15)*$C41</f>
        <v>141.80900000000003</v>
      </c>
      <c r="E41" s="135">
        <f t="shared" si="1"/>
        <v>149.71593578169697</v>
      </c>
      <c r="F41" s="135">
        <f>E41-D41</f>
        <v>7.9069357816969443</v>
      </c>
      <c r="G41" s="136">
        <f>F41/D41</f>
        <v>5.5757644308167625E-2</v>
      </c>
    </row>
    <row r="42" spans="2:7" x14ac:dyDescent="0.25">
      <c r="B42" s="101"/>
      <c r="C42" s="101"/>
      <c r="D42" s="135"/>
      <c r="E42" s="135"/>
      <c r="F42" s="135"/>
      <c r="G42" s="136"/>
    </row>
    <row r="43" spans="2:7" x14ac:dyDescent="0.25">
      <c r="B43" s="101">
        <f t="shared" si="0"/>
        <v>21</v>
      </c>
      <c r="C43" s="101">
        <v>160</v>
      </c>
      <c r="D43" s="135">
        <f>D$11+(D$13+D$15)*$C43</f>
        <v>150.92960000000002</v>
      </c>
      <c r="E43" s="135">
        <f t="shared" si="1"/>
        <v>159.36366483381011</v>
      </c>
      <c r="F43" s="135">
        <f>E43-D43</f>
        <v>8.4340648338100834</v>
      </c>
      <c r="G43" s="136">
        <f>F43/D43</f>
        <v>5.5880787027926149E-2</v>
      </c>
    </row>
    <row r="44" spans="2:7" x14ac:dyDescent="0.25">
      <c r="B44" s="101">
        <f t="shared" si="0"/>
        <v>22</v>
      </c>
      <c r="C44" s="101">
        <v>170</v>
      </c>
      <c r="D44" s="135">
        <f>D$11+(D$13+D$15)*$C44</f>
        <v>160.05020000000002</v>
      </c>
      <c r="E44" s="135">
        <f t="shared" si="1"/>
        <v>169.01139388592321</v>
      </c>
      <c r="F44" s="135">
        <f>E44-D44</f>
        <v>8.9611938859231941</v>
      </c>
      <c r="G44" s="136">
        <f>F44/D44</f>
        <v>5.5989894957477047E-2</v>
      </c>
    </row>
    <row r="45" spans="2:7" x14ac:dyDescent="0.25">
      <c r="B45" s="101">
        <f t="shared" si="0"/>
        <v>23</v>
      </c>
      <c r="C45" s="101">
        <v>180</v>
      </c>
      <c r="D45" s="135">
        <f>D$11+(D$13+D$15)*$C45</f>
        <v>169.17080000000001</v>
      </c>
      <c r="E45" s="135">
        <f t="shared" si="1"/>
        <v>178.65912293803635</v>
      </c>
      <c r="F45" s="135">
        <f>E45-D45</f>
        <v>9.4883229380363332</v>
      </c>
      <c r="G45" s="136">
        <f>F45/D45</f>
        <v>5.6087238093313577E-2</v>
      </c>
    </row>
    <row r="46" spans="2:7" x14ac:dyDescent="0.25">
      <c r="B46" s="101">
        <f t="shared" si="0"/>
        <v>24</v>
      </c>
      <c r="C46" s="101">
        <v>190</v>
      </c>
      <c r="D46" s="135">
        <f>D$11+(D$13+D$15)*$C46</f>
        <v>178.29140000000001</v>
      </c>
      <c r="E46" s="135">
        <f t="shared" si="1"/>
        <v>188.30685199014948</v>
      </c>
      <c r="F46" s="135">
        <f>E46-D46</f>
        <v>10.015451990149472</v>
      </c>
      <c r="G46" s="136">
        <f>F46/D46</f>
        <v>5.6174621939978436E-2</v>
      </c>
    </row>
    <row r="47" spans="2:7" x14ac:dyDescent="0.25">
      <c r="B47" s="101">
        <f t="shared" si="0"/>
        <v>25</v>
      </c>
      <c r="C47" s="101">
        <v>200</v>
      </c>
      <c r="D47" s="135">
        <f>D$11+(D$13+D$15)*$C47</f>
        <v>187.41200000000001</v>
      </c>
      <c r="E47" s="135">
        <f t="shared" si="1"/>
        <v>197.95458104226262</v>
      </c>
      <c r="F47" s="135">
        <f>E47-D47</f>
        <v>10.542581042262611</v>
      </c>
      <c r="G47" s="136">
        <f>F47/D47</f>
        <v>5.6253500534985013E-2</v>
      </c>
    </row>
    <row r="48" spans="2:7" x14ac:dyDescent="0.25">
      <c r="B48" s="101"/>
      <c r="C48" s="101"/>
      <c r="D48" s="135"/>
      <c r="E48" s="135"/>
      <c r="F48" s="135"/>
      <c r="G48" s="136"/>
    </row>
    <row r="49" spans="1:8" x14ac:dyDescent="0.25">
      <c r="B49" s="101">
        <f t="shared" si="0"/>
        <v>26</v>
      </c>
      <c r="C49" s="101">
        <v>210</v>
      </c>
      <c r="D49" s="135">
        <f>D$11+(D$13+D$15)*$C49</f>
        <v>196.53260000000003</v>
      </c>
      <c r="E49" s="135">
        <f t="shared" si="1"/>
        <v>207.60231009437575</v>
      </c>
      <c r="F49" s="135">
        <f>E49-D49</f>
        <v>11.069710094375722</v>
      </c>
      <c r="G49" s="136">
        <f>F49/D49</f>
        <v>5.6325058002467378E-2</v>
      </c>
    </row>
    <row r="50" spans="1:8" x14ac:dyDescent="0.25">
      <c r="B50" s="101">
        <f t="shared" si="0"/>
        <v>27</v>
      </c>
      <c r="C50" s="101">
        <v>220</v>
      </c>
      <c r="D50" s="135">
        <f>D$11+(D$13+D$15)*$C50</f>
        <v>205.65320000000003</v>
      </c>
      <c r="E50" s="135">
        <f t="shared" si="1"/>
        <v>217.25003914648889</v>
      </c>
      <c r="F50" s="135">
        <f>E50-D50</f>
        <v>11.596839146488861</v>
      </c>
      <c r="G50" s="136">
        <f>F50/D50</f>
        <v>5.6390268405689094E-2</v>
      </c>
    </row>
    <row r="51" spans="1:8" x14ac:dyDescent="0.25">
      <c r="B51" s="101">
        <f t="shared" si="0"/>
        <v>28</v>
      </c>
      <c r="C51" s="101">
        <v>230</v>
      </c>
      <c r="D51" s="135">
        <f>D$11+(D$13+D$15)*$C51</f>
        <v>214.77380000000002</v>
      </c>
      <c r="E51" s="135">
        <f t="shared" si="1"/>
        <v>226.89776819860202</v>
      </c>
      <c r="F51" s="135">
        <f>E51-D51</f>
        <v>12.123968198602</v>
      </c>
      <c r="G51" s="136">
        <f>F51/D51</f>
        <v>5.644994034934428E-2</v>
      </c>
    </row>
    <row r="52" spans="1:8" x14ac:dyDescent="0.25">
      <c r="B52" s="101">
        <f t="shared" si="0"/>
        <v>29</v>
      </c>
      <c r="C52" s="101">
        <v>240</v>
      </c>
      <c r="D52" s="135">
        <f>D$11+(D$13+D$15)*$C52</f>
        <v>223.89440000000002</v>
      </c>
      <c r="E52" s="135">
        <f t="shared" si="1"/>
        <v>236.54549725071513</v>
      </c>
      <c r="F52" s="135">
        <f>E52-D52</f>
        <v>12.651097250715111</v>
      </c>
      <c r="G52" s="136">
        <f>F52/D52</f>
        <v>5.6504750680298879E-2</v>
      </c>
    </row>
    <row r="53" spans="1:8" x14ac:dyDescent="0.25">
      <c r="B53" s="101">
        <f t="shared" si="0"/>
        <v>30</v>
      </c>
      <c r="C53" s="101">
        <v>250</v>
      </c>
      <c r="D53" s="135">
        <f>D$11+(D$13+D$15)*$C53</f>
        <v>233.01500000000001</v>
      </c>
      <c r="E53" s="135">
        <f t="shared" si="1"/>
        <v>246.19322630282826</v>
      </c>
      <c r="F53" s="135">
        <f>E53-D53</f>
        <v>13.17822630282825</v>
      </c>
      <c r="G53" s="136">
        <f>F53/D53</f>
        <v>5.6555270273708769E-2</v>
      </c>
    </row>
    <row r="54" spans="1:8" x14ac:dyDescent="0.25">
      <c r="B54" s="101"/>
      <c r="C54" s="101"/>
      <c r="D54" s="135"/>
      <c r="E54" s="135"/>
      <c r="F54" s="135"/>
      <c r="G54" s="136"/>
    </row>
    <row r="55" spans="1:8" x14ac:dyDescent="0.25">
      <c r="B55" s="101"/>
      <c r="C55" s="101"/>
      <c r="D55" s="137"/>
      <c r="E55" s="137"/>
      <c r="F55" s="137"/>
      <c r="G55" s="32"/>
    </row>
    <row r="56" spans="1:8" x14ac:dyDescent="0.25">
      <c r="B56" s="101"/>
      <c r="C56" s="101"/>
      <c r="D56" s="137"/>
      <c r="E56" s="137"/>
      <c r="F56" s="137"/>
      <c r="G56" s="32"/>
    </row>
    <row r="57" spans="1:8" x14ac:dyDescent="0.25">
      <c r="B57" s="101"/>
      <c r="C57" s="101"/>
      <c r="D57" s="137"/>
      <c r="E57" s="137"/>
      <c r="F57" s="137"/>
      <c r="G57" s="32"/>
    </row>
    <row r="58" spans="1:8" x14ac:dyDescent="0.25">
      <c r="A58" s="2" t="str">
        <f>$A$1</f>
        <v>Cascade Natural Gas Corporation</v>
      </c>
      <c r="H58" s="33" t="str">
        <f>$H$1</f>
        <v xml:space="preserve"> </v>
      </c>
    </row>
    <row r="59" spans="1:8" x14ac:dyDescent="0.25">
      <c r="A59" s="2" t="str">
        <f>$A$2</f>
        <v>Washington Jurisdiction</v>
      </c>
      <c r="H59" s="33" t="s">
        <v>2</v>
      </c>
    </row>
    <row r="60" spans="1:8" x14ac:dyDescent="0.25">
      <c r="A60" s="2" t="str">
        <f>$A$3</f>
        <v>Test Year Ended December 31, 2019</v>
      </c>
      <c r="H60" s="34" t="str">
        <f>$H$3</f>
        <v xml:space="preserve"> </v>
      </c>
    </row>
    <row r="61" spans="1:8" x14ac:dyDescent="0.25">
      <c r="A61" s="2"/>
    </row>
    <row r="62" spans="1:8" x14ac:dyDescent="0.25">
      <c r="B62" s="100" t="str">
        <f>'Exh 18, Class Rates'!C14</f>
        <v>General Commercial - 504</v>
      </c>
    </row>
    <row r="64" spans="1:8" x14ac:dyDescent="0.25">
      <c r="B64" s="101" t="s">
        <v>54</v>
      </c>
    </row>
    <row r="65" spans="2:12" ht="17.25" x14ac:dyDescent="0.4">
      <c r="B65" s="102" t="s">
        <v>55</v>
      </c>
      <c r="C65" s="102" t="s">
        <v>56</v>
      </c>
      <c r="D65" s="102" t="s">
        <v>57</v>
      </c>
      <c r="E65" s="102" t="s">
        <v>59</v>
      </c>
      <c r="F65" s="102" t="s">
        <v>60</v>
      </c>
      <c r="G65" s="102" t="s">
        <v>61</v>
      </c>
    </row>
    <row r="66" spans="2:12" x14ac:dyDescent="0.25">
      <c r="B66" s="101"/>
      <c r="C66" s="103"/>
      <c r="D66" s="105" t="s">
        <v>62</v>
      </c>
      <c r="E66" s="106" t="s">
        <v>10</v>
      </c>
      <c r="J66" s="108" t="s">
        <v>64</v>
      </c>
      <c r="K66" s="109" t="s">
        <v>65</v>
      </c>
      <c r="L66" s="109" t="s">
        <v>66</v>
      </c>
    </row>
    <row r="67" spans="2:12" ht="17.25" x14ac:dyDescent="0.4">
      <c r="B67" s="101"/>
      <c r="C67" s="76"/>
      <c r="D67" s="102" t="s">
        <v>63</v>
      </c>
      <c r="E67" s="107" t="s">
        <v>63</v>
      </c>
      <c r="J67" s="108" t="s">
        <v>67</v>
      </c>
      <c r="K67" s="108">
        <v>0.43203999999999998</v>
      </c>
      <c r="L67" s="112">
        <v>44136</v>
      </c>
    </row>
    <row r="68" spans="2:12" x14ac:dyDescent="0.25">
      <c r="J68" s="108" t="s">
        <v>68</v>
      </c>
      <c r="K68" s="108">
        <v>-2.4140000000000002E-2</v>
      </c>
      <c r="L68" s="112">
        <v>44136</v>
      </c>
    </row>
    <row r="69" spans="2:12" x14ac:dyDescent="0.25">
      <c r="B69" s="101">
        <f>MAX(B58:B67)+1</f>
        <v>1</v>
      </c>
      <c r="C69" s="76" t="s">
        <v>14</v>
      </c>
      <c r="D69" s="110">
        <f>'Exh 18, Class Rates'!E15</f>
        <v>13</v>
      </c>
      <c r="E69" s="111">
        <f>'Exh 18, Class Rates'!H15</f>
        <v>13</v>
      </c>
      <c r="J69" s="108" t="s">
        <v>69</v>
      </c>
      <c r="K69" s="108">
        <v>-8.3899999999999999E-3</v>
      </c>
      <c r="L69" s="112">
        <v>44136</v>
      </c>
    </row>
    <row r="70" spans="2:12" x14ac:dyDescent="0.25">
      <c r="J70" s="108" t="s">
        <v>70</v>
      </c>
      <c r="K70" s="108">
        <v>0.18332000000000001</v>
      </c>
      <c r="L70" s="112">
        <v>44136</v>
      </c>
    </row>
    <row r="71" spans="2:12" x14ac:dyDescent="0.25">
      <c r="B71" s="101">
        <f>MAX(B60:B69)+1</f>
        <v>2</v>
      </c>
      <c r="C71" s="76" t="s">
        <v>15</v>
      </c>
      <c r="D71" s="79">
        <f>'Exh 18, Class Rates'!E16</f>
        <v>0.26179999999999998</v>
      </c>
      <c r="E71" s="113">
        <f>'Exh 18, Class Rates'!H16</f>
        <v>0.30621231482097561</v>
      </c>
      <c r="J71" s="108" t="s">
        <v>72</v>
      </c>
      <c r="K71" s="108"/>
      <c r="L71" s="108"/>
    </row>
    <row r="72" spans="2:12" x14ac:dyDescent="0.25">
      <c r="J72" s="108"/>
      <c r="K72" s="108"/>
      <c r="L72" s="108"/>
    </row>
    <row r="73" spans="2:12" x14ac:dyDescent="0.25">
      <c r="B73" s="101">
        <f>MAX(B63:B71)+1</f>
        <v>3</v>
      </c>
      <c r="C73" s="114" t="s">
        <v>102</v>
      </c>
      <c r="D73" s="134">
        <f>K73</f>
        <v>0.58282999999999996</v>
      </c>
      <c r="E73" s="117">
        <f>D73</f>
        <v>0.58282999999999996</v>
      </c>
      <c r="J73" s="108" t="s">
        <v>73</v>
      </c>
      <c r="K73" s="108">
        <f>SUM(K67:K72)</f>
        <v>0.58282999999999996</v>
      </c>
      <c r="L73" s="108"/>
    </row>
    <row r="74" spans="2:12" x14ac:dyDescent="0.25">
      <c r="B74" s="101"/>
      <c r="C74" s="101"/>
      <c r="D74" s="101"/>
      <c r="E74" s="101"/>
    </row>
    <row r="75" spans="2:12" ht="17.25" x14ac:dyDescent="0.4">
      <c r="B75" s="101"/>
      <c r="C75" s="101" t="s">
        <v>98</v>
      </c>
      <c r="D75" s="101" t="s">
        <v>75</v>
      </c>
      <c r="E75" s="101" t="s">
        <v>75</v>
      </c>
      <c r="F75" s="118" t="s">
        <v>99</v>
      </c>
      <c r="G75" s="118"/>
    </row>
    <row r="76" spans="2:12" ht="17.25" x14ac:dyDescent="0.4">
      <c r="B76" s="101"/>
      <c r="C76" s="102" t="s">
        <v>100</v>
      </c>
      <c r="D76" s="102" t="s">
        <v>101</v>
      </c>
      <c r="E76" s="102" t="s">
        <v>31</v>
      </c>
      <c r="F76" s="102" t="s">
        <v>80</v>
      </c>
      <c r="G76" s="102" t="s">
        <v>81</v>
      </c>
    </row>
    <row r="77" spans="2:12" x14ac:dyDescent="0.25">
      <c r="B77" s="101"/>
    </row>
    <row r="78" spans="2:12" x14ac:dyDescent="0.25">
      <c r="B78" s="101"/>
      <c r="C78" s="138"/>
      <c r="D78" s="135"/>
      <c r="E78" s="135"/>
      <c r="F78" s="135"/>
      <c r="G78" s="136"/>
    </row>
    <row r="79" spans="2:12" x14ac:dyDescent="0.25">
      <c r="B79" s="101">
        <f>IF(ISBLANK(C79),"",MAX($B$61:B78)+1)</f>
        <v>4</v>
      </c>
      <c r="C79" s="138">
        <v>0</v>
      </c>
      <c r="D79" s="135">
        <f>D$69+(D$71+D$73)*C79</f>
        <v>13</v>
      </c>
      <c r="E79" s="135">
        <f>E$69+(E$71+E$73)*C79</f>
        <v>13</v>
      </c>
      <c r="F79" s="135">
        <f>E79-D79</f>
        <v>0</v>
      </c>
      <c r="G79" s="136">
        <f>F79/D79</f>
        <v>0</v>
      </c>
    </row>
    <row r="80" spans="2:12" x14ac:dyDescent="0.25">
      <c r="B80" s="101" t="str">
        <f>IF(ISBLANK(C80),"",MAX($B$61:B79)+1)</f>
        <v/>
      </c>
      <c r="C80" s="138"/>
      <c r="D80" s="135"/>
      <c r="E80" s="135"/>
      <c r="F80" s="135"/>
      <c r="G80" s="136"/>
    </row>
    <row r="81" spans="2:11" x14ac:dyDescent="0.25">
      <c r="B81" s="101">
        <f>IF(ISBLANK(C81),"",MAX($B$61:B80)+1)</f>
        <v>5</v>
      </c>
      <c r="C81" s="138">
        <v>50</v>
      </c>
      <c r="D81" s="135">
        <f t="shared" ref="D81:D121" si="2">D$69+(D$71+D$73)*C81</f>
        <v>55.231499999999997</v>
      </c>
      <c r="E81" s="135">
        <f>E$69+(E$71+E$73)*C81</f>
        <v>57.452115741048779</v>
      </c>
      <c r="F81" s="135">
        <f>E81-D81</f>
        <v>2.2206157410487819</v>
      </c>
      <c r="G81" s="136">
        <f>F81/D81</f>
        <v>4.0205602618954436E-2</v>
      </c>
    </row>
    <row r="82" spans="2:11" x14ac:dyDescent="0.25">
      <c r="B82" s="101" t="str">
        <f>IF(ISBLANK(C82),"",MAX($B$61:B81)+1)</f>
        <v/>
      </c>
      <c r="C82" s="138"/>
      <c r="D82" s="135"/>
      <c r="E82" s="135"/>
      <c r="F82" s="135"/>
      <c r="G82" s="136"/>
      <c r="K82" s="110"/>
    </row>
    <row r="83" spans="2:11" x14ac:dyDescent="0.25">
      <c r="B83" s="101">
        <f>IF(ISBLANK(C83),"",MAX($B$61:B82)+1)</f>
        <v>6</v>
      </c>
      <c r="C83" s="138">
        <v>60</v>
      </c>
      <c r="D83" s="135">
        <f t="shared" si="2"/>
        <v>63.677799999999998</v>
      </c>
      <c r="E83" s="135">
        <f>E$69+(E$71+E$73)*C83</f>
        <v>66.342538889258535</v>
      </c>
      <c r="F83" s="135">
        <f>E83-D83</f>
        <v>2.6647388892585369</v>
      </c>
      <c r="G83" s="136">
        <f>F83/D83</f>
        <v>4.1847219741551013E-2</v>
      </c>
      <c r="K83" s="110"/>
    </row>
    <row r="84" spans="2:11" x14ac:dyDescent="0.25">
      <c r="B84" s="101">
        <f>IF(ISBLANK(C84),"",MAX($B$61:B83)+1)</f>
        <v>7</v>
      </c>
      <c r="C84" s="138">
        <v>70</v>
      </c>
      <c r="D84" s="135">
        <f t="shared" si="2"/>
        <v>72.124099999999999</v>
      </c>
      <c r="E84" s="135">
        <f>E$69+(E$71+E$73)*C84</f>
        <v>75.232962037468297</v>
      </c>
      <c r="F84" s="135">
        <f>E84-D84</f>
        <v>3.1088620374682989</v>
      </c>
      <c r="G84" s="136">
        <f>F84/D84</f>
        <v>4.3104344282539384E-2</v>
      </c>
      <c r="K84" s="110"/>
    </row>
    <row r="85" spans="2:11" x14ac:dyDescent="0.25">
      <c r="B85" s="101">
        <f>IF(ISBLANK(C85),"",MAX($B$61:B84)+1)</f>
        <v>8</v>
      </c>
      <c r="C85" s="138">
        <v>80</v>
      </c>
      <c r="D85" s="135">
        <f t="shared" si="2"/>
        <v>80.570400000000006</v>
      </c>
      <c r="E85" s="135">
        <f>E$69+(E$71+E$73)*C85</f>
        <v>84.123385185678046</v>
      </c>
      <c r="F85" s="135">
        <f>E85-D85</f>
        <v>3.5529851856780397</v>
      </c>
      <c r="G85" s="136">
        <f>F85/D85</f>
        <v>4.4097896816672616E-2</v>
      </c>
      <c r="K85" s="110"/>
    </row>
    <row r="86" spans="2:11" x14ac:dyDescent="0.25">
      <c r="B86" s="101">
        <f>IF(ISBLANK(C86),"",MAX($B$61:B85)+1)</f>
        <v>9</v>
      </c>
      <c r="C86" s="138">
        <v>90</v>
      </c>
      <c r="D86" s="135">
        <f t="shared" si="2"/>
        <v>89.0167</v>
      </c>
      <c r="E86" s="135">
        <f>E$69+(E$71+E$73)*C86</f>
        <v>93.013808333887809</v>
      </c>
      <c r="F86" s="135">
        <f>E86-D86</f>
        <v>3.9971083338878088</v>
      </c>
      <c r="G86" s="136">
        <f>F86/D86</f>
        <v>4.4902903993158688E-2</v>
      </c>
      <c r="K86" s="110"/>
    </row>
    <row r="87" spans="2:11" x14ac:dyDescent="0.25">
      <c r="B87" s="101">
        <f>IF(ISBLANK(C87),"",MAX($B$61:B86)+1)</f>
        <v>10</v>
      </c>
      <c r="C87" s="138">
        <v>100</v>
      </c>
      <c r="D87" s="135">
        <f t="shared" si="2"/>
        <v>97.462999999999994</v>
      </c>
      <c r="E87" s="135">
        <f>E$69+(E$71+E$73)*C87</f>
        <v>101.90423148209756</v>
      </c>
      <c r="F87" s="135">
        <f>E87-D87</f>
        <v>4.4412314820975638</v>
      </c>
      <c r="G87" s="136">
        <f>F87/D87</f>
        <v>4.5568384741877063E-2</v>
      </c>
    </row>
    <row r="88" spans="2:11" x14ac:dyDescent="0.25">
      <c r="B88" s="101" t="str">
        <f>IF(ISBLANK(C88),"",MAX($B$61:B87)+1)</f>
        <v/>
      </c>
      <c r="C88" s="138"/>
      <c r="D88" s="135"/>
      <c r="E88" s="135"/>
      <c r="F88" s="135"/>
      <c r="G88" s="136"/>
      <c r="K88" s="110"/>
    </row>
    <row r="89" spans="2:11" x14ac:dyDescent="0.25">
      <c r="B89" s="101">
        <f>IF(ISBLANK(C89),"",MAX($B$61:B88)+1)</f>
        <v>11</v>
      </c>
      <c r="C89" s="138">
        <v>110</v>
      </c>
      <c r="D89" s="135">
        <f t="shared" si="2"/>
        <v>105.9093</v>
      </c>
      <c r="E89" s="135">
        <f>E$69+(E$71+E$73)*C89</f>
        <v>110.79465463030732</v>
      </c>
      <c r="F89" s="135">
        <f>E89-D89</f>
        <v>4.8853546303073188</v>
      </c>
      <c r="G89" s="136">
        <f>F89/D89</f>
        <v>4.6127720892379785E-2</v>
      </c>
      <c r="K89" s="110"/>
    </row>
    <row r="90" spans="2:11" x14ac:dyDescent="0.25">
      <c r="B90" s="101">
        <f>IF(ISBLANK(C90),"",MAX($B$61:B89)+1)</f>
        <v>12</v>
      </c>
      <c r="C90" s="138">
        <v>120</v>
      </c>
      <c r="D90" s="135">
        <f t="shared" si="2"/>
        <v>114.3556</v>
      </c>
      <c r="E90" s="135">
        <f>E$69+(E$71+E$73)*C90</f>
        <v>119.68507777851707</v>
      </c>
      <c r="F90" s="135">
        <f>E90-D90</f>
        <v>5.3294777785170737</v>
      </c>
      <c r="G90" s="136">
        <f>F90/D90</f>
        <v>4.6604431951885822E-2</v>
      </c>
      <c r="K90" s="110"/>
    </row>
    <row r="91" spans="2:11" x14ac:dyDescent="0.25">
      <c r="B91" s="101">
        <f>IF(ISBLANK(C91),"",MAX($B$61:B90)+1)</f>
        <v>13</v>
      </c>
      <c r="C91" s="138">
        <v>130</v>
      </c>
      <c r="D91" s="135">
        <f t="shared" si="2"/>
        <v>122.8019</v>
      </c>
      <c r="E91" s="135">
        <f>E$69+(E$71+E$73)*C91</f>
        <v>128.57550092672682</v>
      </c>
      <c r="F91" s="135">
        <f>E91-D91</f>
        <v>5.7736009267268145</v>
      </c>
      <c r="G91" s="136">
        <f>F91/D91</f>
        <v>4.7015566752035713E-2</v>
      </c>
      <c r="K91" s="110"/>
    </row>
    <row r="92" spans="2:11" x14ac:dyDescent="0.25">
      <c r="B92" s="101">
        <f>IF(ISBLANK(C92),"",MAX($B$61:B91)+1)</f>
        <v>14</v>
      </c>
      <c r="C92" s="138">
        <v>140</v>
      </c>
      <c r="D92" s="135">
        <f t="shared" si="2"/>
        <v>131.2482</v>
      </c>
      <c r="E92" s="135">
        <f>E$69+(E$71+E$73)*C92</f>
        <v>137.46592407493659</v>
      </c>
      <c r="F92" s="135">
        <f>E92-D92</f>
        <v>6.2177240749365978</v>
      </c>
      <c r="G92" s="136">
        <f>F92/D92</f>
        <v>4.7373785506670554E-2</v>
      </c>
      <c r="K92" s="110"/>
    </row>
    <row r="93" spans="2:11" x14ac:dyDescent="0.25">
      <c r="B93" s="101">
        <f>IF(ISBLANK(C93),"",MAX($B$61:B92)+1)</f>
        <v>15</v>
      </c>
      <c r="C93" s="138">
        <v>150</v>
      </c>
      <c r="D93" s="135">
        <f t="shared" si="2"/>
        <v>139.69450000000001</v>
      </c>
      <c r="E93" s="135">
        <f>E$69+(E$71+E$73)*C93</f>
        <v>146.35634722314634</v>
      </c>
      <c r="F93" s="135">
        <f>E93-D93</f>
        <v>6.6618472231463386</v>
      </c>
      <c r="G93" s="136">
        <f>F93/D93</f>
        <v>4.7688686549193691E-2</v>
      </c>
      <c r="K93" s="110"/>
    </row>
    <row r="94" spans="2:11" x14ac:dyDescent="0.25">
      <c r="B94" s="101" t="str">
        <f>IF(ISBLANK(C94),"",MAX($B$61:B93)+1)</f>
        <v/>
      </c>
      <c r="C94" s="138"/>
      <c r="D94" s="135"/>
      <c r="E94" s="135"/>
      <c r="F94" s="135"/>
      <c r="G94" s="136"/>
      <c r="K94" s="110"/>
    </row>
    <row r="95" spans="2:11" x14ac:dyDescent="0.25">
      <c r="B95" s="101">
        <f>IF(ISBLANK(C95),"",MAX($B$61:B94)+1)</f>
        <v>16</v>
      </c>
      <c r="C95" s="138">
        <v>160</v>
      </c>
      <c r="D95" s="135">
        <f t="shared" si="2"/>
        <v>148.14080000000001</v>
      </c>
      <c r="E95" s="135">
        <f>E$69+(E$71+E$73)*C95</f>
        <v>155.24677037135609</v>
      </c>
      <c r="F95" s="135">
        <f>E95-D95</f>
        <v>7.1059703713560793</v>
      </c>
      <c r="G95" s="136">
        <f>F95/D95</f>
        <v>4.796767920354203E-2</v>
      </c>
      <c r="K95" s="110"/>
    </row>
    <row r="96" spans="2:11" x14ac:dyDescent="0.25">
      <c r="B96" s="101">
        <f>IF(ISBLANK(C96),"",MAX($B$61:B95)+1)</f>
        <v>17</v>
      </c>
      <c r="C96" s="138">
        <v>170</v>
      </c>
      <c r="D96" s="135">
        <f t="shared" si="2"/>
        <v>156.58709999999999</v>
      </c>
      <c r="E96" s="135">
        <f>E$69+(E$71+E$73)*C96</f>
        <v>164.13719351956587</v>
      </c>
      <c r="F96" s="135">
        <f>E96-D96</f>
        <v>7.5500935195658769</v>
      </c>
      <c r="G96" s="136">
        <f>F96/D96</f>
        <v>4.8216574159467014E-2</v>
      </c>
      <c r="K96" s="110"/>
    </row>
    <row r="97" spans="2:11" x14ac:dyDescent="0.25">
      <c r="B97" s="101">
        <f>IF(ISBLANK(C97),"",MAX($B$61:B96)+1)</f>
        <v>18</v>
      </c>
      <c r="C97" s="138">
        <v>180</v>
      </c>
      <c r="D97" s="135">
        <f t="shared" si="2"/>
        <v>165.0334</v>
      </c>
      <c r="E97" s="135">
        <f>E$69+(E$71+E$73)*C97</f>
        <v>173.02761666777562</v>
      </c>
      <c r="F97" s="135">
        <f>E97-D97</f>
        <v>7.9942166677756177</v>
      </c>
      <c r="G97" s="136">
        <f>F97/D97</f>
        <v>4.8439992557722363E-2</v>
      </c>
      <c r="K97" s="110"/>
    </row>
    <row r="98" spans="2:11" x14ac:dyDescent="0.25">
      <c r="B98" s="101">
        <f>IF(ISBLANK(C98),"",MAX($B$61:B97)+1)</f>
        <v>19</v>
      </c>
      <c r="C98" s="138">
        <v>190</v>
      </c>
      <c r="D98" s="135">
        <f t="shared" si="2"/>
        <v>173.47970000000001</v>
      </c>
      <c r="E98" s="135">
        <f>E$69+(E$71+E$73)*C98</f>
        <v>181.91803981598537</v>
      </c>
      <c r="F98" s="135">
        <f>E98-D98</f>
        <v>8.4383398159853584</v>
      </c>
      <c r="G98" s="136">
        <f>F98/D98</f>
        <v>4.8641655571143819E-2</v>
      </c>
      <c r="K98" s="110"/>
    </row>
    <row r="99" spans="2:11" x14ac:dyDescent="0.25">
      <c r="B99" s="101">
        <f>IF(ISBLANK(C99),"",MAX($B$61:B98)+1)</f>
        <v>20</v>
      </c>
      <c r="C99" s="138">
        <v>200</v>
      </c>
      <c r="D99" s="135">
        <f t="shared" si="2"/>
        <v>181.92599999999999</v>
      </c>
      <c r="E99" s="135">
        <f>E$69+(E$71+E$73)*C99</f>
        <v>190.80846296419512</v>
      </c>
      <c r="F99" s="135">
        <f>E99-D99</f>
        <v>8.8824629641951276</v>
      </c>
      <c r="G99" s="136">
        <f>F99/D99</f>
        <v>4.8824593319234902E-2</v>
      </c>
      <c r="K99" s="110"/>
    </row>
    <row r="100" spans="2:11" x14ac:dyDescent="0.25">
      <c r="B100" s="101" t="str">
        <f>IF(ISBLANK(C100),"",MAX($B$61:B99)+1)</f>
        <v/>
      </c>
      <c r="C100" s="138"/>
      <c r="D100" s="135"/>
      <c r="E100" s="135"/>
      <c r="F100" s="135"/>
      <c r="G100" s="136"/>
      <c r="K100" s="110"/>
    </row>
    <row r="101" spans="2:11" x14ac:dyDescent="0.25">
      <c r="B101" s="101">
        <f>IF(ISBLANK(C101),"",MAX($B$61:B100)+1)</f>
        <v>21</v>
      </c>
      <c r="C101" s="138">
        <v>250</v>
      </c>
      <c r="D101" s="135">
        <f t="shared" si="2"/>
        <v>224.1575</v>
      </c>
      <c r="E101" s="135">
        <f>E$69+(E$71+E$73)*C101</f>
        <v>235.26057870524392</v>
      </c>
      <c r="F101" s="135">
        <f>E101-D101</f>
        <v>11.103078705243917</v>
      </c>
      <c r="G101" s="136">
        <f>F101/D101</f>
        <v>4.9532488117702583E-2</v>
      </c>
      <c r="K101" s="110"/>
    </row>
    <row r="102" spans="2:11" x14ac:dyDescent="0.25">
      <c r="B102" s="101">
        <f>IF(ISBLANK(C102),"",MAX($B$61:B101)+1)</f>
        <v>22</v>
      </c>
      <c r="C102" s="138">
        <v>300</v>
      </c>
      <c r="D102" s="135">
        <f t="shared" si="2"/>
        <v>266.38900000000001</v>
      </c>
      <c r="E102" s="135">
        <f>E$69+(E$71+E$73)*C102</f>
        <v>279.71269444629269</v>
      </c>
      <c r="F102" s="135">
        <f>E102-D102</f>
        <v>13.323694446292677</v>
      </c>
      <c r="G102" s="136">
        <f>F102/D102</f>
        <v>5.0015933264108789E-2</v>
      </c>
      <c r="K102" s="110"/>
    </row>
    <row r="103" spans="2:11" x14ac:dyDescent="0.25">
      <c r="B103" s="101">
        <f>IF(ISBLANK(C103),"",MAX($B$61:B102)+1)</f>
        <v>23</v>
      </c>
      <c r="C103" s="138">
        <v>350</v>
      </c>
      <c r="D103" s="135">
        <f t="shared" si="2"/>
        <v>308.62049999999999</v>
      </c>
      <c r="E103" s="135">
        <f>E$69+(E$71+E$73)*C103</f>
        <v>324.16481018734146</v>
      </c>
      <c r="F103" s="135">
        <f>E103-D103</f>
        <v>15.544310187341466</v>
      </c>
      <c r="G103" s="136">
        <f>F103/D103</f>
        <v>5.0367069547685481E-2</v>
      </c>
      <c r="K103" s="110"/>
    </row>
    <row r="104" spans="2:11" x14ac:dyDescent="0.25">
      <c r="B104" s="101">
        <f>IF(ISBLANK(C104),"",MAX($B$61:B103)+1)</f>
        <v>24</v>
      </c>
      <c r="C104" s="138">
        <v>400</v>
      </c>
      <c r="D104" s="135">
        <f t="shared" si="2"/>
        <v>350.85199999999998</v>
      </c>
      <c r="E104" s="135">
        <f>E$69+(E$71+E$73)*C104</f>
        <v>368.61692592839023</v>
      </c>
      <c r="F104" s="135">
        <f>E104-D104</f>
        <v>17.764925928390255</v>
      </c>
      <c r="G104" s="136">
        <f>F104/D104</f>
        <v>5.0633674393733702E-2</v>
      </c>
      <c r="K104" s="110"/>
    </row>
    <row r="105" spans="2:11" x14ac:dyDescent="0.25">
      <c r="B105" s="101">
        <f>IF(ISBLANK(C105),"",MAX($B$61:B104)+1)</f>
        <v>25</v>
      </c>
      <c r="C105" s="138">
        <v>450</v>
      </c>
      <c r="D105" s="135">
        <f t="shared" si="2"/>
        <v>393.08350000000002</v>
      </c>
      <c r="E105" s="135">
        <f>E$69+(E$71+E$73)*C105</f>
        <v>413.069041669439</v>
      </c>
      <c r="F105" s="135">
        <f>E105-D105</f>
        <v>19.985541669438987</v>
      </c>
      <c r="G105" s="136">
        <f>F105/D105</f>
        <v>5.0842993077651409E-2</v>
      </c>
      <c r="K105" s="110"/>
    </row>
    <row r="106" spans="2:11" x14ac:dyDescent="0.25">
      <c r="B106" s="101" t="str">
        <f>IF(ISBLANK(C106),"",MAX($B$61:B105)+1)</f>
        <v/>
      </c>
      <c r="C106" s="138"/>
      <c r="D106" s="135"/>
      <c r="E106" s="135"/>
      <c r="F106" s="135"/>
      <c r="G106" s="136"/>
      <c r="K106" s="110"/>
    </row>
    <row r="107" spans="2:11" x14ac:dyDescent="0.25">
      <c r="B107" s="101">
        <f>IF(ISBLANK(C107),"",MAX($B$61:B106)+1)</f>
        <v>26</v>
      </c>
      <c r="C107" s="138">
        <v>500</v>
      </c>
      <c r="D107" s="135">
        <f t="shared" si="2"/>
        <v>435.315</v>
      </c>
      <c r="E107" s="135">
        <f>E$69+(E$71+E$73)*C107</f>
        <v>457.52115741048783</v>
      </c>
      <c r="F107" s="135">
        <f>E107-D107</f>
        <v>22.206157410487833</v>
      </c>
      <c r="G107" s="136">
        <f>F107/D107</f>
        <v>5.1011698219652055E-2</v>
      </c>
      <c r="K107" s="110"/>
    </row>
    <row r="108" spans="2:11" x14ac:dyDescent="0.25">
      <c r="B108" s="101">
        <f>IF(ISBLANK(C108),"",MAX($B$61:B107)+1)</f>
        <v>27</v>
      </c>
      <c r="C108" s="138">
        <v>600</v>
      </c>
      <c r="D108" s="135">
        <f t="shared" si="2"/>
        <v>519.77800000000002</v>
      </c>
      <c r="E108" s="135">
        <f>E$69+(E$71+E$73)*C108</f>
        <v>546.42538889258537</v>
      </c>
      <c r="F108" s="135">
        <f>E108-D108</f>
        <v>26.647388892585354</v>
      </c>
      <c r="G108" s="136">
        <f>F108/D108</f>
        <v>5.1266865647613701E-2</v>
      </c>
      <c r="K108" s="110"/>
    </row>
    <row r="109" spans="2:11" x14ac:dyDescent="0.25">
      <c r="B109" s="101">
        <f>IF(ISBLANK(C109),"",MAX($B$61:B108)+1)</f>
        <v>28</v>
      </c>
      <c r="C109" s="138">
        <v>700</v>
      </c>
      <c r="D109" s="135">
        <f t="shared" si="2"/>
        <v>604.24099999999999</v>
      </c>
      <c r="E109" s="135">
        <f>E$69+(E$71+E$73)*C109</f>
        <v>635.32962037468292</v>
      </c>
      <c r="F109" s="135">
        <f>E109-D109</f>
        <v>31.088620374682932</v>
      </c>
      <c r="G109" s="136">
        <f>F109/D109</f>
        <v>5.145069661721554E-2</v>
      </c>
      <c r="K109" s="110"/>
    </row>
    <row r="110" spans="2:11" x14ac:dyDescent="0.25">
      <c r="B110" s="101">
        <f>IF(ISBLANK(C110),"",MAX($B$61:B109)+1)</f>
        <v>29</v>
      </c>
      <c r="C110" s="138">
        <v>800</v>
      </c>
      <c r="D110" s="135">
        <f t="shared" si="2"/>
        <v>688.70399999999995</v>
      </c>
      <c r="E110" s="135">
        <f>E$69+(E$71+E$73)*C110</f>
        <v>724.23385185678046</v>
      </c>
      <c r="F110" s="135">
        <f>E110-D110</f>
        <v>35.52985185678051</v>
      </c>
      <c r="G110" s="136">
        <f>F110/D110</f>
        <v>5.1589437344317028E-2</v>
      </c>
      <c r="K110" s="110"/>
    </row>
    <row r="111" spans="2:11" x14ac:dyDescent="0.25">
      <c r="B111" s="101">
        <f>IF(ISBLANK(C111),"",MAX($B$61:B110)+1)</f>
        <v>30</v>
      </c>
      <c r="C111" s="138">
        <v>1000</v>
      </c>
      <c r="D111" s="135">
        <f t="shared" si="2"/>
        <v>857.63</v>
      </c>
      <c r="E111" s="135">
        <f>E$69+(E$71+E$73)*C111</f>
        <v>902.04231482097566</v>
      </c>
      <c r="F111" s="135">
        <f>E111-D111</f>
        <v>44.412314820975666</v>
      </c>
      <c r="G111" s="136">
        <f>F111/D111</f>
        <v>5.1784936185739386E-2</v>
      </c>
      <c r="K111" s="110"/>
    </row>
    <row r="112" spans="2:11" x14ac:dyDescent="0.25">
      <c r="B112" s="101" t="str">
        <f>IF(ISBLANK(C112),"",MAX($B$61:B111)+1)</f>
        <v/>
      </c>
      <c r="C112" s="138"/>
      <c r="D112" s="135"/>
      <c r="E112" s="135"/>
      <c r="F112" s="135"/>
      <c r="G112" s="136"/>
      <c r="K112" s="110"/>
    </row>
    <row r="113" spans="1:11" x14ac:dyDescent="0.25">
      <c r="B113" s="101">
        <f>IF(ISBLANK(C113),"",MAX($B$61:B112)+1)</f>
        <v>31</v>
      </c>
      <c r="C113" s="138">
        <v>1250</v>
      </c>
      <c r="D113" s="135">
        <f t="shared" si="2"/>
        <v>1068.7874999999999</v>
      </c>
      <c r="E113" s="135">
        <f>E$69+(E$71+E$73)*C113</f>
        <v>1124.3028935262196</v>
      </c>
      <c r="F113" s="135">
        <f>E113-D113</f>
        <v>55.515393526219668</v>
      </c>
      <c r="G113" s="136">
        <f>F113/D113</f>
        <v>5.1942405320252787E-2</v>
      </c>
      <c r="K113" s="110"/>
    </row>
    <row r="114" spans="1:11" x14ac:dyDescent="0.25">
      <c r="B114" s="101">
        <f>IF(ISBLANK(C114),"",MAX($B$61:B113)+1)</f>
        <v>32</v>
      </c>
      <c r="C114" s="138">
        <v>1500</v>
      </c>
      <c r="D114" s="135">
        <f t="shared" si="2"/>
        <v>1279.9449999999999</v>
      </c>
      <c r="E114" s="135">
        <f>E$69+(E$71+E$73)*C114</f>
        <v>1346.5634722314635</v>
      </c>
      <c r="F114" s="135">
        <f>E114-D114</f>
        <v>66.618472231463556</v>
      </c>
      <c r="G114" s="136">
        <f>F114/D114</f>
        <v>5.204791786480166E-2</v>
      </c>
      <c r="K114" s="110"/>
    </row>
    <row r="115" spans="1:11" x14ac:dyDescent="0.25">
      <c r="B115" s="101">
        <f>IF(ISBLANK(C115),"",MAX($B$61:B114)+1)</f>
        <v>33</v>
      </c>
      <c r="C115" s="138">
        <v>1750</v>
      </c>
      <c r="D115" s="135">
        <f t="shared" si="2"/>
        <v>1491.1025</v>
      </c>
      <c r="E115" s="135">
        <f>E$69+(E$71+E$73)*C115</f>
        <v>1568.8240509367074</v>
      </c>
      <c r="F115" s="135">
        <f>E115-D115</f>
        <v>77.721550936707445</v>
      </c>
      <c r="G115" s="136">
        <f>F115/D115</f>
        <v>5.2123546796217862E-2</v>
      </c>
      <c r="K115" s="110"/>
    </row>
    <row r="116" spans="1:11" x14ac:dyDescent="0.25">
      <c r="B116" s="101">
        <f>IF(ISBLANK(C116),"",MAX($B$61:B115)+1)</f>
        <v>34</v>
      </c>
      <c r="C116" s="138">
        <v>2000</v>
      </c>
      <c r="D116" s="135">
        <f t="shared" si="2"/>
        <v>1702.26</v>
      </c>
      <c r="E116" s="135">
        <f>E$69+(E$71+E$73)*C116</f>
        <v>1791.0846296419513</v>
      </c>
      <c r="F116" s="135">
        <f>E116-D116</f>
        <v>88.824629641951333</v>
      </c>
      <c r="G116" s="136">
        <f>F116/D116</f>
        <v>5.2180412887544401E-2</v>
      </c>
      <c r="K116" s="110"/>
    </row>
    <row r="117" spans="1:11" x14ac:dyDescent="0.25">
      <c r="B117" s="101" t="str">
        <f>IF(ISBLANK(C117),"",MAX($B$61:B116)+1)</f>
        <v/>
      </c>
      <c r="C117" s="138"/>
      <c r="D117" s="135"/>
      <c r="E117" s="135"/>
      <c r="F117" s="135"/>
      <c r="G117" s="136"/>
      <c r="K117" s="110"/>
    </row>
    <row r="118" spans="1:11" x14ac:dyDescent="0.25">
      <c r="B118" s="101">
        <f>IF(ISBLANK(C118),"",MAX($B$61:B117)+1)</f>
        <v>35</v>
      </c>
      <c r="C118" s="138">
        <v>2500</v>
      </c>
      <c r="D118" s="135">
        <f t="shared" si="2"/>
        <v>2124.5749999999998</v>
      </c>
      <c r="E118" s="135">
        <f>E$69+(E$71+E$73)*C118</f>
        <v>2235.6057870524392</v>
      </c>
      <c r="F118" s="135">
        <f>E118-D118</f>
        <v>111.03078705243934</v>
      </c>
      <c r="G118" s="136">
        <f>F118/D118</f>
        <v>5.226023418916223E-2</v>
      </c>
      <c r="K118" s="110"/>
    </row>
    <row r="119" spans="1:11" x14ac:dyDescent="0.25">
      <c r="B119" s="101">
        <f>IF(ISBLANK(C119),"",MAX($B$61:B118)+1)</f>
        <v>36</v>
      </c>
      <c r="C119" s="138">
        <v>3000</v>
      </c>
      <c r="D119" s="135">
        <f t="shared" si="2"/>
        <v>2546.89</v>
      </c>
      <c r="E119" s="135">
        <f>E$69+(E$71+E$73)*C119</f>
        <v>2680.126944462927</v>
      </c>
      <c r="F119" s="135">
        <f>E119-D119</f>
        <v>133.23694446292711</v>
      </c>
      <c r="G119" s="136">
        <f>F119/D119</f>
        <v>5.2313584199917204E-2</v>
      </c>
      <c r="K119" s="110"/>
    </row>
    <row r="120" spans="1:11" x14ac:dyDescent="0.25">
      <c r="B120" s="101">
        <f>IF(ISBLANK(C120),"",MAX($B$61:B119)+1)</f>
        <v>37</v>
      </c>
      <c r="C120" s="138">
        <v>3500</v>
      </c>
      <c r="D120" s="135">
        <f t="shared" si="2"/>
        <v>2969.2049999999999</v>
      </c>
      <c r="E120" s="135">
        <f>E$69+(E$71+E$73)*C120</f>
        <v>3124.6481018734148</v>
      </c>
      <c r="F120" s="135">
        <f>E120-D120</f>
        <v>155.44310187341489</v>
      </c>
      <c r="G120" s="136">
        <f>F120/D120</f>
        <v>5.2351758087910698E-2</v>
      </c>
      <c r="K120" s="110"/>
    </row>
    <row r="121" spans="1:11" x14ac:dyDescent="0.25">
      <c r="B121" s="101">
        <f>IF(ISBLANK(C121),"",MAX($B$61:B120)+1)</f>
        <v>38</v>
      </c>
      <c r="C121" s="138">
        <v>4000</v>
      </c>
      <c r="D121" s="135">
        <f t="shared" si="2"/>
        <v>3391.52</v>
      </c>
      <c r="E121" s="135">
        <f>E$69+(E$71+E$73)*C121</f>
        <v>3569.1692592839026</v>
      </c>
      <c r="F121" s="135">
        <f>E121-D121</f>
        <v>177.64925928390267</v>
      </c>
      <c r="G121" s="136">
        <f>F121/D121</f>
        <v>5.2380425084888979E-2</v>
      </c>
    </row>
    <row r="122" spans="1:11" x14ac:dyDescent="0.25">
      <c r="D122" s="101"/>
      <c r="E122" s="101"/>
      <c r="F122" s="101"/>
      <c r="G122" s="101"/>
    </row>
    <row r="123" spans="1:11" x14ac:dyDescent="0.25">
      <c r="D123" s="101"/>
      <c r="E123" s="101"/>
      <c r="F123" s="101"/>
      <c r="G123" s="101"/>
    </row>
    <row r="127" spans="1:11" x14ac:dyDescent="0.25">
      <c r="A127" s="2" t="str">
        <f>$A$1</f>
        <v>Cascade Natural Gas Corporation</v>
      </c>
      <c r="H127" s="33" t="str">
        <f>$H$1</f>
        <v xml:space="preserve"> </v>
      </c>
    </row>
    <row r="128" spans="1:11" x14ac:dyDescent="0.25">
      <c r="A128" s="2" t="str">
        <f>$A$2</f>
        <v>Washington Jurisdiction</v>
      </c>
      <c r="H128" s="33" t="s">
        <v>2</v>
      </c>
    </row>
    <row r="129" spans="1:14" x14ac:dyDescent="0.25">
      <c r="A129" s="2" t="str">
        <f>$A$3</f>
        <v>Test Year Ended December 31, 2019</v>
      </c>
      <c r="H129" s="34" t="str">
        <f>$H$3</f>
        <v xml:space="preserve"> </v>
      </c>
    </row>
    <row r="130" spans="1:14" x14ac:dyDescent="0.25">
      <c r="A130" s="2"/>
    </row>
    <row r="131" spans="1:14" x14ac:dyDescent="0.25">
      <c r="B131" s="100" t="str">
        <f>'Exh 18, Class Rates'!C20</f>
        <v>General Industrial - 505</v>
      </c>
    </row>
    <row r="133" spans="1:14" x14ac:dyDescent="0.25">
      <c r="B133" s="101" t="s">
        <v>54</v>
      </c>
    </row>
    <row r="134" spans="1:14" ht="17.25" x14ac:dyDescent="0.4">
      <c r="B134" s="102" t="s">
        <v>55</v>
      </c>
      <c r="C134" s="102" t="s">
        <v>56</v>
      </c>
      <c r="D134" s="102" t="s">
        <v>57</v>
      </c>
      <c r="E134" s="102" t="s">
        <v>59</v>
      </c>
      <c r="F134" s="102" t="s">
        <v>60</v>
      </c>
      <c r="G134" s="102" t="s">
        <v>61</v>
      </c>
      <c r="L134" s="108" t="s">
        <v>64</v>
      </c>
      <c r="M134" s="108" t="s">
        <v>65</v>
      </c>
      <c r="N134" s="109" t="s">
        <v>66</v>
      </c>
    </row>
    <row r="135" spans="1:14" x14ac:dyDescent="0.25">
      <c r="B135" s="101"/>
      <c r="C135" s="103"/>
      <c r="D135" s="105" t="s">
        <v>62</v>
      </c>
      <c r="E135" s="106" t="s">
        <v>10</v>
      </c>
      <c r="L135" s="108" t="s">
        <v>67</v>
      </c>
      <c r="M135" s="108">
        <v>0.41911999999999999</v>
      </c>
      <c r="N135" s="112">
        <v>44136</v>
      </c>
    </row>
    <row r="136" spans="1:14" ht="17.25" x14ac:dyDescent="0.4">
      <c r="B136" s="101"/>
      <c r="C136" s="76"/>
      <c r="D136" s="102" t="s">
        <v>63</v>
      </c>
      <c r="E136" s="107" t="s">
        <v>63</v>
      </c>
      <c r="L136" s="108" t="s">
        <v>68</v>
      </c>
      <c r="M136" s="108">
        <v>-1.417E-2</v>
      </c>
      <c r="N136" s="112">
        <v>44136</v>
      </c>
    </row>
    <row r="137" spans="1:14" x14ac:dyDescent="0.25">
      <c r="B137" s="101">
        <f>MAX(B127:B136)+1</f>
        <v>1</v>
      </c>
      <c r="C137" s="76" t="s">
        <v>14</v>
      </c>
      <c r="D137" s="110">
        <f>'Exh 18, Class Rates'!E21</f>
        <v>60</v>
      </c>
      <c r="E137" s="111">
        <f>'Exh 18, Class Rates'!H21</f>
        <v>60</v>
      </c>
      <c r="L137" s="108" t="s">
        <v>69</v>
      </c>
      <c r="M137" s="108">
        <v>-5.3099999999999996E-3</v>
      </c>
      <c r="N137" s="112">
        <v>44136</v>
      </c>
    </row>
    <row r="138" spans="1:14" x14ac:dyDescent="0.25">
      <c r="B138" s="101"/>
      <c r="C138" s="76"/>
      <c r="D138" s="110"/>
      <c r="E138" s="111"/>
      <c r="L138" s="108" t="s">
        <v>103</v>
      </c>
      <c r="M138" s="108">
        <v>0.18115999999999999</v>
      </c>
      <c r="N138" s="112">
        <v>44136</v>
      </c>
    </row>
    <row r="139" spans="1:14" x14ac:dyDescent="0.25">
      <c r="B139" s="101">
        <f>MAX(B129:B138)+1</f>
        <v>2</v>
      </c>
      <c r="C139" s="76" t="s">
        <v>15</v>
      </c>
      <c r="D139" s="79" t="s">
        <v>2</v>
      </c>
      <c r="E139" s="113" t="s">
        <v>2</v>
      </c>
      <c r="L139" s="108" t="s">
        <v>72</v>
      </c>
      <c r="M139" s="108"/>
      <c r="N139" s="108"/>
    </row>
    <row r="140" spans="1:14" x14ac:dyDescent="0.25">
      <c r="B140" s="101"/>
      <c r="C140" s="54" t="s">
        <v>104</v>
      </c>
      <c r="D140" s="79">
        <f>'Exh 18, Class Rates'!E22</f>
        <v>0.20175999999999999</v>
      </c>
      <c r="E140" s="113">
        <f>'Exh 18, Class Rates'!H22</f>
        <v>0.23598700014621865</v>
      </c>
      <c r="J140" s="133">
        <v>500</v>
      </c>
      <c r="L140" s="108"/>
      <c r="M140" s="108"/>
      <c r="N140" s="108"/>
    </row>
    <row r="141" spans="1:14" x14ac:dyDescent="0.25">
      <c r="B141" s="101"/>
      <c r="C141" s="54" t="s">
        <v>105</v>
      </c>
      <c r="D141" s="79">
        <f>'Exh 18, Class Rates'!E23</f>
        <v>0.16481000000000001</v>
      </c>
      <c r="E141" s="113">
        <f>'Exh 18, Class Rates'!H23</f>
        <v>0.19276872271063789</v>
      </c>
      <c r="J141" s="133">
        <v>3500</v>
      </c>
      <c r="L141" s="108" t="s">
        <v>73</v>
      </c>
      <c r="M141" s="108">
        <f>SUM(M135:M140)</f>
        <v>0.58079999999999998</v>
      </c>
      <c r="N141" s="108"/>
    </row>
    <row r="142" spans="1:14" x14ac:dyDescent="0.25">
      <c r="B142" s="101"/>
      <c r="C142" s="54" t="s">
        <v>106</v>
      </c>
      <c r="D142" s="79">
        <f>'Exh 18, Class Rates'!E24</f>
        <v>0.15923000000000001</v>
      </c>
      <c r="E142" s="113">
        <f>'Exh 18, Class Rates'!H24</f>
        <v>0.18624211951468278</v>
      </c>
      <c r="J142" s="133">
        <v>4000</v>
      </c>
    </row>
    <row r="143" spans="1:14" x14ac:dyDescent="0.25">
      <c r="B143" s="101"/>
      <c r="C143" s="76"/>
      <c r="D143" s="110"/>
      <c r="E143" s="52"/>
    </row>
    <row r="144" spans="1:14" x14ac:dyDescent="0.25">
      <c r="B144" s="101">
        <f>MAX(B132:B143)+1</f>
        <v>3</v>
      </c>
      <c r="C144" s="114" t="s">
        <v>102</v>
      </c>
      <c r="D144" s="116">
        <f>M141</f>
        <v>0.58079999999999998</v>
      </c>
      <c r="E144" s="117">
        <f>D144</f>
        <v>0.58079999999999998</v>
      </c>
    </row>
    <row r="145" spans="2:14" x14ac:dyDescent="0.25">
      <c r="B145" s="101"/>
    </row>
    <row r="146" spans="2:14" x14ac:dyDescent="0.25">
      <c r="B146" s="101"/>
      <c r="C146" s="101"/>
      <c r="D146" s="101"/>
      <c r="E146" s="101"/>
    </row>
    <row r="147" spans="2:14" ht="17.25" x14ac:dyDescent="0.4">
      <c r="B147" s="101"/>
      <c r="C147" s="101" t="s">
        <v>98</v>
      </c>
      <c r="D147" s="101" t="s">
        <v>75</v>
      </c>
      <c r="E147" s="101" t="s">
        <v>75</v>
      </c>
      <c r="F147" s="118" t="s">
        <v>99</v>
      </c>
      <c r="G147" s="118"/>
    </row>
    <row r="148" spans="2:14" ht="17.25" x14ac:dyDescent="0.4">
      <c r="B148" s="101"/>
      <c r="C148" s="102" t="s">
        <v>100</v>
      </c>
      <c r="D148" s="102" t="s">
        <v>101</v>
      </c>
      <c r="E148" s="102" t="s">
        <v>31</v>
      </c>
      <c r="F148" s="102" t="s">
        <v>80</v>
      </c>
      <c r="G148" s="102" t="s">
        <v>81</v>
      </c>
    </row>
    <row r="149" spans="2:14" x14ac:dyDescent="0.25">
      <c r="B149" s="101"/>
    </row>
    <row r="150" spans="2:14" x14ac:dyDescent="0.25">
      <c r="B150" s="101">
        <f>MAX(B138:B149)+1</f>
        <v>4</v>
      </c>
      <c r="C150" s="138">
        <v>0</v>
      </c>
      <c r="D150" s="135">
        <f>D$137+(D$140+D$144)*$C150</f>
        <v>60</v>
      </c>
      <c r="E150" s="135">
        <f>E$137+(E$140+E$144)*$C150</f>
        <v>60</v>
      </c>
      <c r="F150" s="135">
        <f>E150-D150</f>
        <v>0</v>
      </c>
      <c r="G150" s="136">
        <f>F150/D150</f>
        <v>0</v>
      </c>
      <c r="J150" s="139"/>
      <c r="K150" s="140"/>
      <c r="M150" s="140"/>
      <c r="N150" s="140"/>
    </row>
    <row r="151" spans="2:14" x14ac:dyDescent="0.25">
      <c r="B151" s="101"/>
      <c r="C151" s="138"/>
      <c r="D151" s="135"/>
      <c r="E151" s="135"/>
      <c r="F151" s="135"/>
      <c r="G151" s="136"/>
    </row>
    <row r="152" spans="2:14" x14ac:dyDescent="0.25">
      <c r="B152" s="101">
        <f t="shared" ref="B152:B199" si="3">MAX(B143:B151)+1</f>
        <v>5</v>
      </c>
      <c r="C152" s="138">
        <v>100</v>
      </c>
      <c r="D152" s="135">
        <f>D$137+(D$140+D$144)*$C152</f>
        <v>138.25599999999997</v>
      </c>
      <c r="E152" s="135">
        <f>E$137+(E$140+E$144)*$C152</f>
        <v>141.67870001462188</v>
      </c>
      <c r="F152" s="135">
        <f>E152-D152</f>
        <v>3.4227000146219098</v>
      </c>
      <c r="G152" s="136">
        <f>F152/D152</f>
        <v>2.4756249382463767E-2</v>
      </c>
      <c r="M152" s="110"/>
    </row>
    <row r="153" spans="2:14" x14ac:dyDescent="0.25">
      <c r="B153" s="101">
        <f t="shared" si="3"/>
        <v>6</v>
      </c>
      <c r="C153" s="138">
        <f>+C152+100</f>
        <v>200</v>
      </c>
      <c r="D153" s="135">
        <f t="shared" ref="D153:E156" si="4">D$137+(D$140+D$144)*$C153</f>
        <v>216.51199999999997</v>
      </c>
      <c r="E153" s="135">
        <f t="shared" si="4"/>
        <v>223.35740002924373</v>
      </c>
      <c r="F153" s="135">
        <f>E153-D153</f>
        <v>6.8454000292437627</v>
      </c>
      <c r="G153" s="136">
        <f>F153/D153</f>
        <v>3.1616723457562459E-2</v>
      </c>
      <c r="M153" s="110"/>
    </row>
    <row r="154" spans="2:14" x14ac:dyDescent="0.25">
      <c r="B154" s="101">
        <f t="shared" si="3"/>
        <v>7</v>
      </c>
      <c r="C154" s="138">
        <f t="shared" ref="C154:C168" si="5">+C153+100</f>
        <v>300</v>
      </c>
      <c r="D154" s="135">
        <f t="shared" si="4"/>
        <v>294.76799999999997</v>
      </c>
      <c r="E154" s="135">
        <f t="shared" si="4"/>
        <v>305.03610004386559</v>
      </c>
      <c r="F154" s="135">
        <f>E154-D154</f>
        <v>10.268100043865616</v>
      </c>
      <c r="G154" s="136">
        <f>F154/D154</f>
        <v>3.4834514071627916E-2</v>
      </c>
      <c r="M154" s="110"/>
    </row>
    <row r="155" spans="2:14" x14ac:dyDescent="0.25">
      <c r="B155" s="101">
        <f t="shared" si="3"/>
        <v>8</v>
      </c>
      <c r="C155" s="138">
        <f t="shared" si="5"/>
        <v>400</v>
      </c>
      <c r="D155" s="135">
        <f t="shared" si="4"/>
        <v>373.02399999999994</v>
      </c>
      <c r="E155" s="135">
        <f t="shared" si="4"/>
        <v>386.71480005848747</v>
      </c>
      <c r="F155" s="135">
        <f>E155-D155</f>
        <v>13.690800058487525</v>
      </c>
      <c r="G155" s="136">
        <f>F155/D155</f>
        <v>3.670219626213736E-2</v>
      </c>
      <c r="M155" s="110"/>
    </row>
    <row r="156" spans="2:14" x14ac:dyDescent="0.25">
      <c r="B156" s="101">
        <f t="shared" si="3"/>
        <v>9</v>
      </c>
      <c r="C156" s="138">
        <f t="shared" si="5"/>
        <v>500</v>
      </c>
      <c r="D156" s="135">
        <f t="shared" si="4"/>
        <v>451.28</v>
      </c>
      <c r="E156" s="135">
        <f t="shared" si="4"/>
        <v>468.39350007310929</v>
      </c>
      <c r="F156" s="135">
        <f>E156-D156</f>
        <v>17.113500073109321</v>
      </c>
      <c r="G156" s="136">
        <f>F156/D156</f>
        <v>3.7922132762607079E-2</v>
      </c>
      <c r="M156" s="110"/>
    </row>
    <row r="157" spans="2:14" x14ac:dyDescent="0.25">
      <c r="B157" s="101"/>
      <c r="C157" s="138"/>
      <c r="D157" s="135"/>
      <c r="E157" s="135"/>
      <c r="F157" s="135"/>
      <c r="G157" s="136"/>
    </row>
    <row r="158" spans="2:14" x14ac:dyDescent="0.25">
      <c r="B158" s="101">
        <f t="shared" si="3"/>
        <v>10</v>
      </c>
      <c r="C158" s="138">
        <f>+C156+100</f>
        <v>600</v>
      </c>
      <c r="D158" s="135">
        <f t="shared" ref="D158:E162" si="6">D$137+(D$144*$C158)+D$141*($C158-$J$140)+D$140*$J$140</f>
        <v>525.84100000000001</v>
      </c>
      <c r="E158" s="135">
        <f t="shared" si="6"/>
        <v>545.75037234417312</v>
      </c>
      <c r="F158" s="135">
        <f>E158-D158</f>
        <v>19.909372344173107</v>
      </c>
      <c r="G158" s="136">
        <f>F158/D158</f>
        <v>3.7861962730508097E-2</v>
      </c>
      <c r="M158" s="110"/>
    </row>
    <row r="159" spans="2:14" x14ac:dyDescent="0.25">
      <c r="B159" s="101">
        <f t="shared" si="3"/>
        <v>11</v>
      </c>
      <c r="C159" s="138">
        <f t="shared" si="5"/>
        <v>700</v>
      </c>
      <c r="D159" s="135">
        <f t="shared" si="6"/>
        <v>600.40200000000004</v>
      </c>
      <c r="E159" s="135">
        <f t="shared" si="6"/>
        <v>623.10724461523694</v>
      </c>
      <c r="F159" s="135">
        <f>E159-D159</f>
        <v>22.705244615236893</v>
      </c>
      <c r="G159" s="136">
        <f>F159/D159</f>
        <v>3.7816737144841107E-2</v>
      </c>
      <c r="M159" s="110"/>
    </row>
    <row r="160" spans="2:14" x14ac:dyDescent="0.25">
      <c r="B160" s="101">
        <f>MAX(B150:B159)+1</f>
        <v>12</v>
      </c>
      <c r="C160" s="138">
        <f t="shared" si="5"/>
        <v>800</v>
      </c>
      <c r="D160" s="135">
        <f t="shared" si="6"/>
        <v>674.96299999999997</v>
      </c>
      <c r="E160" s="135">
        <f t="shared" si="6"/>
        <v>700.46411688630064</v>
      </c>
      <c r="F160" s="135">
        <f>E160-D160</f>
        <v>25.501116886300679</v>
      </c>
      <c r="G160" s="136">
        <f>F160/D160</f>
        <v>3.7781503410262013E-2</v>
      </c>
      <c r="M160" s="110"/>
    </row>
    <row r="161" spans="2:13" x14ac:dyDescent="0.25">
      <c r="B161" s="101">
        <f>MAX(B151:B160)+1</f>
        <v>13</v>
      </c>
      <c r="C161" s="138">
        <f t="shared" si="5"/>
        <v>900</v>
      </c>
      <c r="D161" s="135">
        <f t="shared" si="6"/>
        <v>749.524</v>
      </c>
      <c r="E161" s="135">
        <f t="shared" si="6"/>
        <v>777.82098915736447</v>
      </c>
      <c r="F161" s="135">
        <f>E161-D161</f>
        <v>28.296989157364465</v>
      </c>
      <c r="G161" s="136">
        <f>F161/D161</f>
        <v>3.7753279624621043E-2</v>
      </c>
      <c r="M161" s="110"/>
    </row>
    <row r="162" spans="2:13" x14ac:dyDescent="0.25">
      <c r="B162" s="101">
        <f>MAX(B152:B161)+1</f>
        <v>14</v>
      </c>
      <c r="C162" s="138">
        <f t="shared" si="5"/>
        <v>1000</v>
      </c>
      <c r="D162" s="135">
        <f t="shared" si="6"/>
        <v>824.08499999999992</v>
      </c>
      <c r="E162" s="135">
        <f t="shared" si="6"/>
        <v>855.17786142842817</v>
      </c>
      <c r="F162" s="135">
        <f>E162-D162</f>
        <v>31.09286142842825</v>
      </c>
      <c r="G162" s="136">
        <f>F162/D162</f>
        <v>3.773016306379591E-2</v>
      </c>
      <c r="M162" s="110"/>
    </row>
    <row r="163" spans="2:13" x14ac:dyDescent="0.25">
      <c r="B163" s="101"/>
      <c r="C163" s="138"/>
      <c r="D163" s="135"/>
      <c r="E163" s="135"/>
      <c r="F163" s="135"/>
      <c r="G163" s="136"/>
    </row>
    <row r="164" spans="2:13" x14ac:dyDescent="0.25">
      <c r="B164" s="101">
        <f>MAX(B154:B163)+1</f>
        <v>15</v>
      </c>
      <c r="C164" s="138">
        <f>+C162+100</f>
        <v>1100</v>
      </c>
      <c r="D164" s="135">
        <f t="shared" ref="D164:E168" si="7">D$137+(D$144*$C164)+D$141*($C164-$J$140)+D$140*$J$140</f>
        <v>898.64599999999996</v>
      </c>
      <c r="E164" s="135">
        <f t="shared" si="7"/>
        <v>932.53473369949199</v>
      </c>
      <c r="F164" s="135">
        <f>E164-D164</f>
        <v>33.888733699492036</v>
      </c>
      <c r="G164" s="136">
        <f>F164/D164</f>
        <v>3.7710882482637251E-2</v>
      </c>
      <c r="M164" s="110"/>
    </row>
    <row r="165" spans="2:13" x14ac:dyDescent="0.25">
      <c r="B165" s="101">
        <f>MAX(B155:B164)+1</f>
        <v>16</v>
      </c>
      <c r="C165" s="138">
        <f t="shared" si="5"/>
        <v>1200</v>
      </c>
      <c r="D165" s="135">
        <f t="shared" si="7"/>
        <v>973.20699999999999</v>
      </c>
      <c r="E165" s="135">
        <f t="shared" si="7"/>
        <v>1009.8916059705559</v>
      </c>
      <c r="F165" s="135">
        <f>E165-D165</f>
        <v>36.684605970555936</v>
      </c>
      <c r="G165" s="136">
        <f>F165/D165</f>
        <v>3.7694556215230608E-2</v>
      </c>
      <c r="M165" s="110"/>
    </row>
    <row r="166" spans="2:13" x14ac:dyDescent="0.25">
      <c r="B166" s="101">
        <f>MAX(B155:B165)+1</f>
        <v>17</v>
      </c>
      <c r="C166" s="138">
        <f t="shared" si="5"/>
        <v>1300</v>
      </c>
      <c r="D166" s="135">
        <f t="shared" si="7"/>
        <v>1047.768</v>
      </c>
      <c r="E166" s="135">
        <f t="shared" si="7"/>
        <v>1087.2484782416195</v>
      </c>
      <c r="F166" s="135">
        <f>E166-D166</f>
        <v>39.480478241619494</v>
      </c>
      <c r="G166" s="136">
        <f>F166/D166</f>
        <v>3.768055355920346E-2</v>
      </c>
      <c r="M166" s="110"/>
    </row>
    <row r="167" spans="2:13" x14ac:dyDescent="0.25">
      <c r="B167" s="101">
        <f>MAX(B156:B166)+1</f>
        <v>18</v>
      </c>
      <c r="C167" s="138">
        <f t="shared" si="5"/>
        <v>1400</v>
      </c>
      <c r="D167" s="135">
        <f t="shared" si="7"/>
        <v>1122.3290000000002</v>
      </c>
      <c r="E167" s="135">
        <f t="shared" si="7"/>
        <v>1164.6053505126833</v>
      </c>
      <c r="F167" s="135">
        <f>E167-D167</f>
        <v>42.276350512683166</v>
      </c>
      <c r="G167" s="136">
        <f>F167/D167</f>
        <v>3.766841141294857E-2</v>
      </c>
      <c r="M167" s="110"/>
    </row>
    <row r="168" spans="2:13" x14ac:dyDescent="0.25">
      <c r="B168" s="101">
        <f>MAX(B158:B167)+1</f>
        <v>19</v>
      </c>
      <c r="C168" s="138">
        <f t="shared" si="5"/>
        <v>1500</v>
      </c>
      <c r="D168" s="135">
        <f t="shared" si="7"/>
        <v>1196.8899999999999</v>
      </c>
      <c r="E168" s="135">
        <f t="shared" si="7"/>
        <v>1241.9622227837472</v>
      </c>
      <c r="F168" s="135">
        <f>E168-D168</f>
        <v>45.072222783747293</v>
      </c>
      <c r="G168" s="136">
        <f>F168/D168</f>
        <v>3.7657782071658465E-2</v>
      </c>
      <c r="M168" s="110"/>
    </row>
    <row r="169" spans="2:13" x14ac:dyDescent="0.25">
      <c r="B169" s="101"/>
      <c r="C169" s="138"/>
      <c r="D169" s="135"/>
      <c r="E169" s="135"/>
      <c r="F169" s="135"/>
      <c r="G169" s="136"/>
    </row>
    <row r="170" spans="2:13" x14ac:dyDescent="0.25">
      <c r="B170" s="101">
        <f>MAX(B160:B169)+1</f>
        <v>20</v>
      </c>
      <c r="C170" s="138">
        <f>+C168+500</f>
        <v>2000</v>
      </c>
      <c r="D170" s="135">
        <f t="shared" ref="D170:E174" si="8">D$137+(D$144*$C170)+D$141*($C170-$J$140)+D$140*$J$140</f>
        <v>1569.6950000000002</v>
      </c>
      <c r="E170" s="135">
        <f t="shared" si="8"/>
        <v>1628.746584139066</v>
      </c>
      <c r="F170" s="135">
        <f>E170-D170</f>
        <v>59.051584139065881</v>
      </c>
      <c r="G170" s="136">
        <f>F170/D170</f>
        <v>3.761978227557957E-2</v>
      </c>
      <c r="M170" s="110"/>
    </row>
    <row r="171" spans="2:13" x14ac:dyDescent="0.25">
      <c r="B171" s="101">
        <f>MAX(B161:B170)+1</f>
        <v>21</v>
      </c>
      <c r="C171" s="138">
        <f>+C170+500</f>
        <v>2500</v>
      </c>
      <c r="D171" s="135">
        <f t="shared" si="8"/>
        <v>1942.5</v>
      </c>
      <c r="E171" s="135">
        <f t="shared" si="8"/>
        <v>2015.5309454943852</v>
      </c>
      <c r="F171" s="135">
        <f>E171-D171</f>
        <v>73.030945494385151</v>
      </c>
      <c r="G171" s="136">
        <f>F171/D171</f>
        <v>3.7596368336877815E-2</v>
      </c>
      <c r="M171" s="110"/>
    </row>
    <row r="172" spans="2:13" x14ac:dyDescent="0.25">
      <c r="B172" s="101">
        <f>MAX(B162:B171)+1</f>
        <v>22</v>
      </c>
      <c r="C172" s="138">
        <f>+C171+500</f>
        <v>3000</v>
      </c>
      <c r="D172" s="135">
        <f t="shared" si="8"/>
        <v>2315.3049999999998</v>
      </c>
      <c r="E172" s="135">
        <f t="shared" si="8"/>
        <v>2402.315306849704</v>
      </c>
      <c r="F172" s="135">
        <f>E172-D172</f>
        <v>87.010306849704193</v>
      </c>
      <c r="G172" s="136">
        <f>F172/D172</f>
        <v>3.7580494513554025E-2</v>
      </c>
      <c r="M172" s="110"/>
    </row>
    <row r="173" spans="2:13" x14ac:dyDescent="0.25">
      <c r="B173" s="101">
        <f t="shared" si="3"/>
        <v>23</v>
      </c>
      <c r="C173" s="138">
        <f>+C172+500</f>
        <v>3500</v>
      </c>
      <c r="D173" s="135">
        <f t="shared" si="8"/>
        <v>2688.1100000000006</v>
      </c>
      <c r="E173" s="135">
        <f t="shared" si="8"/>
        <v>2789.0996682050231</v>
      </c>
      <c r="F173" s="135">
        <f>E173-D173</f>
        <v>100.98966820502255</v>
      </c>
      <c r="G173" s="136">
        <f>F173/D173</f>
        <v>3.7569023665334579E-2</v>
      </c>
      <c r="M173" s="110"/>
    </row>
    <row r="174" spans="2:13" x14ac:dyDescent="0.25">
      <c r="B174" s="101">
        <f t="shared" si="3"/>
        <v>24</v>
      </c>
      <c r="C174" s="138">
        <f>+C173+500</f>
        <v>4000</v>
      </c>
      <c r="D174" s="135">
        <f t="shared" si="8"/>
        <v>3060.915</v>
      </c>
      <c r="E174" s="135">
        <f t="shared" si="8"/>
        <v>3175.8840295603418</v>
      </c>
      <c r="F174" s="135">
        <f>E174-D174</f>
        <v>114.96902956034182</v>
      </c>
      <c r="G174" s="136">
        <f>F174/D174</f>
        <v>3.7560347007460783E-2</v>
      </c>
      <c r="M174" s="110"/>
    </row>
    <row r="175" spans="2:13" x14ac:dyDescent="0.25">
      <c r="B175" s="101"/>
      <c r="C175" s="138"/>
      <c r="D175" s="135"/>
      <c r="E175" s="135"/>
      <c r="F175" s="135"/>
      <c r="G175" s="136"/>
    </row>
    <row r="176" spans="2:13" x14ac:dyDescent="0.25">
      <c r="B176" s="101">
        <f t="shared" si="3"/>
        <v>25</v>
      </c>
      <c r="C176" s="138">
        <f>+C174+1000</f>
        <v>5000</v>
      </c>
      <c r="D176" s="135">
        <f t="shared" ref="D176:E180" si="9">D$137+(D$144*$C176)+D$142*($C176-$J$140-$J$141)+D$140*$J$140+D$141*$J$141</f>
        <v>3800.9450000000002</v>
      </c>
      <c r="E176" s="135">
        <f t="shared" si="9"/>
        <v>3942.9261490750246</v>
      </c>
      <c r="F176" s="135">
        <f>E176-D176</f>
        <v>141.9811490750244</v>
      </c>
      <c r="G176" s="136">
        <f>F176/D176</f>
        <v>3.735417089040341E-2</v>
      </c>
    </row>
    <row r="177" spans="2:7" x14ac:dyDescent="0.25">
      <c r="B177" s="101">
        <f t="shared" si="3"/>
        <v>26</v>
      </c>
      <c r="C177" s="138">
        <f>+C176+1000</f>
        <v>6000</v>
      </c>
      <c r="D177" s="135">
        <f t="shared" si="9"/>
        <v>4540.9750000000004</v>
      </c>
      <c r="E177" s="135">
        <f t="shared" si="9"/>
        <v>4709.9682685897078</v>
      </c>
      <c r="F177" s="135">
        <f>E177-D177</f>
        <v>168.99326858970744</v>
      </c>
      <c r="G177" s="136">
        <f>F177/D177</f>
        <v>3.7215194664077085E-2</v>
      </c>
    </row>
    <row r="178" spans="2:7" x14ac:dyDescent="0.25">
      <c r="B178" s="101">
        <f t="shared" si="3"/>
        <v>27</v>
      </c>
      <c r="C178" s="138">
        <f>+C177+1000</f>
        <v>7000</v>
      </c>
      <c r="D178" s="135">
        <f t="shared" si="9"/>
        <v>5281.005000000001</v>
      </c>
      <c r="E178" s="135">
        <f t="shared" si="9"/>
        <v>5477.0103881043906</v>
      </c>
      <c r="F178" s="135">
        <f>E178-D178</f>
        <v>196.00538810438957</v>
      </c>
      <c r="G178" s="136">
        <f>F178/D178</f>
        <v>3.7115168060698582E-2</v>
      </c>
    </row>
    <row r="179" spans="2:7" x14ac:dyDescent="0.25">
      <c r="B179" s="101">
        <f t="shared" si="3"/>
        <v>28</v>
      </c>
      <c r="C179" s="138">
        <f>+C178+1000</f>
        <v>8000</v>
      </c>
      <c r="D179" s="135">
        <f t="shared" si="9"/>
        <v>6021.0349999999999</v>
      </c>
      <c r="E179" s="135">
        <f t="shared" si="9"/>
        <v>6244.0525076190734</v>
      </c>
      <c r="F179" s="135">
        <f>E179-D179</f>
        <v>223.01750761907351</v>
      </c>
      <c r="G179" s="136">
        <f>F179/D179</f>
        <v>3.7039729484893133E-2</v>
      </c>
    </row>
    <row r="180" spans="2:7" x14ac:dyDescent="0.25">
      <c r="B180" s="101">
        <f t="shared" si="3"/>
        <v>29</v>
      </c>
      <c r="C180" s="138">
        <f>+C179+1000</f>
        <v>9000</v>
      </c>
      <c r="D180" s="135">
        <f t="shared" si="9"/>
        <v>6761.0650000000005</v>
      </c>
      <c r="E180" s="135">
        <f t="shared" si="9"/>
        <v>7011.0946271337561</v>
      </c>
      <c r="F180" s="135">
        <f>E180-D180</f>
        <v>250.02962713375564</v>
      </c>
      <c r="G180" s="136">
        <f>F180/D180</f>
        <v>3.6980805114838505E-2</v>
      </c>
    </row>
    <row r="181" spans="2:7" x14ac:dyDescent="0.25">
      <c r="B181" s="101"/>
      <c r="C181" s="138"/>
      <c r="D181" s="135"/>
      <c r="E181" s="135"/>
      <c r="F181" s="135"/>
      <c r="G181" s="136"/>
    </row>
    <row r="182" spans="2:7" x14ac:dyDescent="0.25">
      <c r="B182" s="101">
        <f t="shared" si="3"/>
        <v>30</v>
      </c>
      <c r="C182" s="138">
        <f>+C180+1000</f>
        <v>10000</v>
      </c>
      <c r="D182" s="135">
        <f t="shared" ref="D182:E186" si="10">D$137+(D$144*$C182)+D$142*($C182-$J$140-$J$141)+D$140*$J$140+D$141*$J$141</f>
        <v>7501.0950000000003</v>
      </c>
      <c r="E182" s="135">
        <f t="shared" si="10"/>
        <v>7778.1367466484389</v>
      </c>
      <c r="F182" s="135">
        <f>E182-D182</f>
        <v>277.04174664843868</v>
      </c>
      <c r="G182" s="136">
        <f>F182/D182</f>
        <v>3.6933507261065042E-2</v>
      </c>
    </row>
    <row r="183" spans="2:7" x14ac:dyDescent="0.25">
      <c r="B183" s="101">
        <f t="shared" si="3"/>
        <v>31</v>
      </c>
      <c r="C183" s="138">
        <f>+C182+2500</f>
        <v>12500</v>
      </c>
      <c r="D183" s="135">
        <f t="shared" si="10"/>
        <v>9351.1699999999983</v>
      </c>
      <c r="E183" s="135">
        <f t="shared" si="10"/>
        <v>9695.742045435145</v>
      </c>
      <c r="F183" s="135">
        <f>E183-D183</f>
        <v>344.57204543514672</v>
      </c>
      <c r="G183" s="136">
        <f>F183/D183</f>
        <v>3.6848014252242961E-2</v>
      </c>
    </row>
    <row r="184" spans="2:7" x14ac:dyDescent="0.25">
      <c r="B184" s="101">
        <f t="shared" si="3"/>
        <v>32</v>
      </c>
      <c r="C184" s="138">
        <f>+C183+2500</f>
        <v>15000</v>
      </c>
      <c r="D184" s="135">
        <f t="shared" si="10"/>
        <v>11201.244999999999</v>
      </c>
      <c r="E184" s="135">
        <f t="shared" si="10"/>
        <v>11613.347344221851</v>
      </c>
      <c r="F184" s="135">
        <f>E184-D184</f>
        <v>412.10234422185204</v>
      </c>
      <c r="G184" s="136">
        <f>F184/D184</f>
        <v>3.6790762475229499E-2</v>
      </c>
    </row>
    <row r="185" spans="2:7" x14ac:dyDescent="0.25">
      <c r="B185" s="101">
        <f t="shared" si="3"/>
        <v>33</v>
      </c>
      <c r="C185" s="138">
        <f>+C184+2500</f>
        <v>17500</v>
      </c>
      <c r="D185" s="135">
        <f t="shared" si="10"/>
        <v>13051.32</v>
      </c>
      <c r="E185" s="135">
        <f t="shared" si="10"/>
        <v>13530.952643008559</v>
      </c>
      <c r="F185" s="135">
        <f>E185-D185</f>
        <v>479.63264300855917</v>
      </c>
      <c r="G185" s="136">
        <f>F185/D185</f>
        <v>3.6749742019087664E-2</v>
      </c>
    </row>
    <row r="186" spans="2:7" x14ac:dyDescent="0.25">
      <c r="B186" s="101">
        <f t="shared" si="3"/>
        <v>34</v>
      </c>
      <c r="C186" s="138">
        <f>+C185+2500</f>
        <v>20000</v>
      </c>
      <c r="D186" s="135">
        <f t="shared" si="10"/>
        <v>14901.395</v>
      </c>
      <c r="E186" s="135">
        <f t="shared" si="10"/>
        <v>15448.557941795267</v>
      </c>
      <c r="F186" s="135">
        <f>E186-D186</f>
        <v>547.16294179526631</v>
      </c>
      <c r="G186" s="136">
        <f>F186/D186</f>
        <v>3.6718907310038171E-2</v>
      </c>
    </row>
    <row r="187" spans="2:7" x14ac:dyDescent="0.25">
      <c r="B187" s="101"/>
      <c r="C187" s="138"/>
      <c r="D187" s="135"/>
      <c r="E187" s="135"/>
      <c r="F187" s="135"/>
      <c r="G187" s="136"/>
    </row>
    <row r="188" spans="2:7" x14ac:dyDescent="0.25">
      <c r="B188" s="101">
        <f t="shared" si="3"/>
        <v>35</v>
      </c>
      <c r="C188" s="138">
        <f>+C186+5000</f>
        <v>25000</v>
      </c>
      <c r="D188" s="135">
        <f t="shared" ref="D188:E192" si="11">D$137+(D$144*$C188)+D$142*($C188-$J$140-$J$141)+D$140*$J$140+D$141*$J$141</f>
        <v>18601.545000000002</v>
      </c>
      <c r="E188" s="135">
        <f t="shared" si="11"/>
        <v>19283.768539368681</v>
      </c>
      <c r="F188" s="135">
        <f>E188-D188</f>
        <v>682.22353936867876</v>
      </c>
      <c r="G188" s="136">
        <f>F188/D188</f>
        <v>3.6675638468131475E-2</v>
      </c>
    </row>
    <row r="189" spans="2:7" x14ac:dyDescent="0.25">
      <c r="B189" s="101">
        <f t="shared" si="3"/>
        <v>36</v>
      </c>
      <c r="C189" s="138">
        <f>+C188+5000</f>
        <v>30000</v>
      </c>
      <c r="D189" s="135">
        <f t="shared" si="11"/>
        <v>22301.695</v>
      </c>
      <c r="E189" s="135">
        <f t="shared" si="11"/>
        <v>23118.979136942096</v>
      </c>
      <c r="F189" s="135">
        <f>E189-D189</f>
        <v>817.28413694209667</v>
      </c>
      <c r="G189" s="136">
        <f>F189/D189</f>
        <v>3.6646727387406951E-2</v>
      </c>
    </row>
    <row r="190" spans="2:7" x14ac:dyDescent="0.25">
      <c r="B190" s="101">
        <f t="shared" si="3"/>
        <v>37</v>
      </c>
      <c r="C190" s="138">
        <f>+C189+5000</f>
        <v>35000</v>
      </c>
      <c r="D190" s="135">
        <f t="shared" si="11"/>
        <v>26001.845000000001</v>
      </c>
      <c r="E190" s="135">
        <f t="shared" si="11"/>
        <v>26954.189734515508</v>
      </c>
      <c r="F190" s="135">
        <f>E190-D190</f>
        <v>952.3447345155073</v>
      </c>
      <c r="G190" s="136">
        <f>F190/D190</f>
        <v>3.6626044594739615E-2</v>
      </c>
    </row>
    <row r="191" spans="2:7" x14ac:dyDescent="0.25">
      <c r="B191" s="101">
        <f t="shared" si="3"/>
        <v>38</v>
      </c>
      <c r="C191" s="138">
        <f>+C190+5000</f>
        <v>40000</v>
      </c>
      <c r="D191" s="135">
        <f t="shared" si="11"/>
        <v>29701.994999999999</v>
      </c>
      <c r="E191" s="135">
        <f t="shared" si="11"/>
        <v>30789.400332088924</v>
      </c>
      <c r="F191" s="135">
        <f>E191-D191</f>
        <v>1087.4053320889252</v>
      </c>
      <c r="G191" s="136">
        <f>F191/D191</f>
        <v>3.6610514953252307E-2</v>
      </c>
    </row>
    <row r="192" spans="2:7" x14ac:dyDescent="0.25">
      <c r="B192" s="101">
        <f t="shared" si="3"/>
        <v>39</v>
      </c>
      <c r="C192" s="138">
        <f>+C191+5000</f>
        <v>45000</v>
      </c>
      <c r="D192" s="135">
        <f t="shared" si="11"/>
        <v>33402.144999999997</v>
      </c>
      <c r="E192" s="135">
        <f t="shared" si="11"/>
        <v>34624.61092966234</v>
      </c>
      <c r="F192" s="135">
        <f>E192-D192</f>
        <v>1222.4659296623431</v>
      </c>
      <c r="G192" s="136">
        <f>F192/D192</f>
        <v>3.6598425929303138E-2</v>
      </c>
    </row>
    <row r="193" spans="1:8" x14ac:dyDescent="0.25">
      <c r="B193" s="101"/>
      <c r="C193" s="138"/>
      <c r="D193" s="135"/>
      <c r="E193" s="135"/>
      <c r="F193" s="135"/>
      <c r="G193" s="136"/>
    </row>
    <row r="194" spans="1:8" x14ac:dyDescent="0.25">
      <c r="B194" s="101">
        <f t="shared" si="3"/>
        <v>40</v>
      </c>
      <c r="C194" s="138">
        <f>+C192+5000</f>
        <v>50000</v>
      </c>
      <c r="D194" s="135">
        <f t="shared" ref="D194:E199" si="12">D$137+(D$144*$C194)+D$142*($C194-$J$140-$J$141)+D$140*$J$140+D$141*$J$141</f>
        <v>37102.294999999998</v>
      </c>
      <c r="E194" s="135">
        <f t="shared" si="12"/>
        <v>38459.821527235756</v>
      </c>
      <c r="F194" s="135">
        <f t="shared" ref="F194:F199" si="13">E194-D194</f>
        <v>1357.5265272357574</v>
      </c>
      <c r="G194" s="136">
        <f t="shared" ref="G194:G199" si="14">F194/D194</f>
        <v>3.6588748141745883E-2</v>
      </c>
    </row>
    <row r="195" spans="1:8" x14ac:dyDescent="0.25">
      <c r="B195" s="101">
        <f t="shared" si="3"/>
        <v>41</v>
      </c>
      <c r="C195" s="138">
        <f>+C194+10000</f>
        <v>60000</v>
      </c>
      <c r="D195" s="135">
        <f t="shared" si="12"/>
        <v>44502.595000000001</v>
      </c>
      <c r="E195" s="135">
        <f t="shared" si="12"/>
        <v>46130.24272238258</v>
      </c>
      <c r="F195" s="135">
        <f t="shared" si="13"/>
        <v>1627.6477223825786</v>
      </c>
      <c r="G195" s="136">
        <f t="shared" si="14"/>
        <v>3.657422050068268E-2</v>
      </c>
    </row>
    <row r="196" spans="1:8" x14ac:dyDescent="0.25">
      <c r="B196" s="101">
        <f t="shared" si="3"/>
        <v>42</v>
      </c>
      <c r="C196" s="138">
        <f>+C195+10000</f>
        <v>70000</v>
      </c>
      <c r="D196" s="135">
        <f t="shared" si="12"/>
        <v>51902.894999999997</v>
      </c>
      <c r="E196" s="135">
        <f t="shared" si="12"/>
        <v>53800.663917529411</v>
      </c>
      <c r="F196" s="135">
        <f t="shared" si="13"/>
        <v>1897.7689175294145</v>
      </c>
      <c r="G196" s="136">
        <f t="shared" si="14"/>
        <v>3.65638355534776E-2</v>
      </c>
    </row>
    <row r="197" spans="1:8" x14ac:dyDescent="0.25">
      <c r="B197" s="101">
        <f t="shared" si="3"/>
        <v>43</v>
      </c>
      <c r="C197" s="138">
        <f>+C196+10000</f>
        <v>80000</v>
      </c>
      <c r="D197" s="135">
        <f t="shared" si="12"/>
        <v>59303.195</v>
      </c>
      <c r="E197" s="135">
        <f t="shared" si="12"/>
        <v>61471.085112676243</v>
      </c>
      <c r="F197" s="135">
        <f t="shared" si="13"/>
        <v>2167.890112676243</v>
      </c>
      <c r="G197" s="136">
        <f t="shared" si="14"/>
        <v>3.6556042430365566E-2</v>
      </c>
    </row>
    <row r="198" spans="1:8" x14ac:dyDescent="0.25">
      <c r="B198" s="101">
        <f t="shared" si="3"/>
        <v>44</v>
      </c>
      <c r="C198" s="138">
        <f>+C197+10000</f>
        <v>90000</v>
      </c>
      <c r="D198" s="135">
        <f t="shared" si="12"/>
        <v>66703.49500000001</v>
      </c>
      <c r="E198" s="135">
        <f t="shared" si="12"/>
        <v>69141.50630782306</v>
      </c>
      <c r="F198" s="135">
        <f t="shared" si="13"/>
        <v>2438.0113078230497</v>
      </c>
      <c r="G198" s="136">
        <f t="shared" si="14"/>
        <v>3.654997849547538E-2</v>
      </c>
    </row>
    <row r="199" spans="1:8" x14ac:dyDescent="0.25">
      <c r="B199" s="101">
        <f t="shared" si="3"/>
        <v>45</v>
      </c>
      <c r="C199" s="138">
        <f>+C198+10000</f>
        <v>100000</v>
      </c>
      <c r="D199" s="135">
        <f t="shared" si="12"/>
        <v>74103.795000000013</v>
      </c>
      <c r="E199" s="135">
        <f t="shared" si="12"/>
        <v>76811.927502969877</v>
      </c>
      <c r="F199" s="135">
        <f t="shared" si="13"/>
        <v>2708.1325029698637</v>
      </c>
      <c r="G199" s="136">
        <f t="shared" si="14"/>
        <v>3.6545125697946552E-2</v>
      </c>
    </row>
    <row r="201" spans="1:8" x14ac:dyDescent="0.25">
      <c r="A201" s="2" t="str">
        <f>$A$1</f>
        <v>Cascade Natural Gas Corporation</v>
      </c>
      <c r="H201" s="33" t="str">
        <f>$H$1</f>
        <v xml:space="preserve"> </v>
      </c>
    </row>
    <row r="202" spans="1:8" x14ac:dyDescent="0.25">
      <c r="A202" s="2" t="str">
        <f>$A$2</f>
        <v>Washington Jurisdiction</v>
      </c>
      <c r="H202" s="33" t="s">
        <v>2</v>
      </c>
    </row>
    <row r="203" spans="1:8" x14ac:dyDescent="0.25">
      <c r="A203" s="2" t="str">
        <f>$A$3</f>
        <v>Test Year Ended December 31, 2019</v>
      </c>
      <c r="H203" s="34" t="str">
        <f>$H$3</f>
        <v xml:space="preserve"> </v>
      </c>
    </row>
    <row r="204" spans="1:8" x14ac:dyDescent="0.25">
      <c r="A204" s="2"/>
    </row>
    <row r="205" spans="1:8" x14ac:dyDescent="0.25">
      <c r="B205" s="100" t="str">
        <f>'Exh 18, Class Rates'!C28</f>
        <v>Large Volume General Service - 511</v>
      </c>
    </row>
    <row r="207" spans="1:8" x14ac:dyDescent="0.25">
      <c r="B207" s="101" t="s">
        <v>54</v>
      </c>
    </row>
    <row r="208" spans="1:8" ht="17.25" x14ac:dyDescent="0.4">
      <c r="B208" s="102" t="s">
        <v>55</v>
      </c>
      <c r="C208" s="102" t="s">
        <v>56</v>
      </c>
      <c r="D208" s="102" t="s">
        <v>57</v>
      </c>
      <c r="E208" s="102" t="s">
        <v>59</v>
      </c>
      <c r="F208" s="102" t="s">
        <v>60</v>
      </c>
      <c r="G208" s="102" t="s">
        <v>61</v>
      </c>
    </row>
    <row r="209" spans="2:14" x14ac:dyDescent="0.25">
      <c r="B209" s="101"/>
      <c r="C209" s="103"/>
      <c r="D209" s="105" t="s">
        <v>62</v>
      </c>
      <c r="E209" s="106" t="s">
        <v>10</v>
      </c>
      <c r="L209" s="108" t="s">
        <v>64</v>
      </c>
      <c r="M209" s="108" t="s">
        <v>65</v>
      </c>
      <c r="N209" s="109" t="s">
        <v>66</v>
      </c>
    </row>
    <row r="210" spans="2:14" ht="17.25" x14ac:dyDescent="0.4">
      <c r="B210" s="101"/>
      <c r="C210" s="76"/>
      <c r="D210" s="102" t="s">
        <v>63</v>
      </c>
      <c r="E210" s="107" t="s">
        <v>63</v>
      </c>
      <c r="L210" s="108" t="s">
        <v>67</v>
      </c>
      <c r="M210" s="108">
        <v>0.41911999999999999</v>
      </c>
      <c r="N210" s="112">
        <v>44136</v>
      </c>
    </row>
    <row r="211" spans="2:14" x14ac:dyDescent="0.25">
      <c r="B211" s="101">
        <f>MAX(B201:B210)+1</f>
        <v>1</v>
      </c>
      <c r="C211" s="76" t="s">
        <v>14</v>
      </c>
      <c r="D211" s="110">
        <f>'Exh 18, Class Rates'!$E$29</f>
        <v>125</v>
      </c>
      <c r="E211" s="111">
        <f>'Exh 18, Class Rates'!$H$29</f>
        <v>125</v>
      </c>
      <c r="L211" s="108" t="s">
        <v>68</v>
      </c>
      <c r="M211" s="108">
        <v>-1.908E-2</v>
      </c>
      <c r="N211" s="112">
        <v>44136</v>
      </c>
    </row>
    <row r="212" spans="2:14" x14ac:dyDescent="0.25">
      <c r="B212" s="101"/>
      <c r="C212" s="76"/>
      <c r="D212" s="110"/>
      <c r="E212" s="111"/>
      <c r="L212" s="108" t="s">
        <v>69</v>
      </c>
      <c r="M212" s="108">
        <v>-4.3699999999999998E-3</v>
      </c>
      <c r="N212" s="112">
        <v>44136</v>
      </c>
    </row>
    <row r="213" spans="2:14" x14ac:dyDescent="0.25">
      <c r="B213" s="101">
        <f>MAX(B203:B212)+1</f>
        <v>2</v>
      </c>
      <c r="C213" s="76" t="s">
        <v>15</v>
      </c>
      <c r="D213" s="79" t="s">
        <v>2</v>
      </c>
      <c r="E213" s="113" t="s">
        <v>2</v>
      </c>
      <c r="L213" s="108" t="s">
        <v>103</v>
      </c>
      <c r="M213" s="108">
        <v>0.17921999999999999</v>
      </c>
      <c r="N213" s="112">
        <v>44136</v>
      </c>
    </row>
    <row r="214" spans="2:14" x14ac:dyDescent="0.25">
      <c r="B214" s="101"/>
      <c r="C214" s="54" t="s">
        <v>107</v>
      </c>
      <c r="D214" s="79">
        <f>'Exh 18, Class Rates'!$E$22</f>
        <v>0.20175999999999999</v>
      </c>
      <c r="E214" s="79">
        <f>'Exh 18, Class Rates'!$H$22</f>
        <v>0.23598700014621865</v>
      </c>
      <c r="J214" s="133">
        <v>20000</v>
      </c>
      <c r="L214" s="108" t="s">
        <v>72</v>
      </c>
      <c r="M214" s="108"/>
      <c r="N214" s="108"/>
    </row>
    <row r="215" spans="2:14" x14ac:dyDescent="0.25">
      <c r="B215" s="101"/>
      <c r="C215" s="54" t="s">
        <v>108</v>
      </c>
      <c r="D215" s="79">
        <f>'Exh 18, Class Rates'!$E$23</f>
        <v>0.16481000000000001</v>
      </c>
      <c r="E215" s="79">
        <f>'Exh 18, Class Rates'!$H$23</f>
        <v>0.19276872271063789</v>
      </c>
      <c r="J215" s="133">
        <v>80000</v>
      </c>
      <c r="L215" s="108"/>
      <c r="M215" s="108"/>
      <c r="N215" s="108"/>
    </row>
    <row r="216" spans="2:14" x14ac:dyDescent="0.25">
      <c r="B216" s="101"/>
      <c r="C216" s="54" t="s">
        <v>109</v>
      </c>
      <c r="D216" s="79">
        <f>'Exh 18, Class Rates'!$E$24</f>
        <v>0.15923000000000001</v>
      </c>
      <c r="E216" s="79">
        <f>'Exh 18, Class Rates'!$H$24</f>
        <v>0.18624211951468278</v>
      </c>
      <c r="J216" s="133">
        <v>100000</v>
      </c>
      <c r="L216" s="108" t="s">
        <v>73</v>
      </c>
      <c r="M216" s="108">
        <f>SUM(M210:M215)</f>
        <v>0.57489000000000001</v>
      </c>
      <c r="N216" s="108"/>
    </row>
    <row r="217" spans="2:14" x14ac:dyDescent="0.25">
      <c r="B217" s="101"/>
      <c r="C217" s="76"/>
      <c r="D217" s="110"/>
      <c r="E217" s="52"/>
    </row>
    <row r="218" spans="2:14" x14ac:dyDescent="0.25">
      <c r="B218" s="101">
        <f>MAX(B206:B217)+1</f>
        <v>3</v>
      </c>
      <c r="C218" s="114" t="s">
        <v>102</v>
      </c>
      <c r="D218" s="116">
        <f>M216</f>
        <v>0.57489000000000001</v>
      </c>
      <c r="E218" s="117">
        <f>D218</f>
        <v>0.57489000000000001</v>
      </c>
    </row>
    <row r="219" spans="2:14" x14ac:dyDescent="0.25">
      <c r="B219" s="101"/>
    </row>
    <row r="220" spans="2:14" x14ac:dyDescent="0.25">
      <c r="B220" s="101"/>
      <c r="C220" s="101"/>
      <c r="D220" s="101"/>
      <c r="E220" s="101"/>
    </row>
    <row r="221" spans="2:14" ht="17.25" x14ac:dyDescent="0.4">
      <c r="B221" s="101"/>
      <c r="C221" s="101" t="s">
        <v>98</v>
      </c>
      <c r="D221" s="101" t="s">
        <v>75</v>
      </c>
      <c r="E221" s="101" t="s">
        <v>75</v>
      </c>
      <c r="F221" s="118" t="s">
        <v>99</v>
      </c>
      <c r="G221" s="118"/>
    </row>
    <row r="222" spans="2:14" ht="17.25" x14ac:dyDescent="0.4">
      <c r="B222" s="101"/>
      <c r="C222" s="102" t="s">
        <v>100</v>
      </c>
      <c r="D222" s="102" t="s">
        <v>101</v>
      </c>
      <c r="E222" s="102" t="s">
        <v>31</v>
      </c>
      <c r="F222" s="102" t="s">
        <v>80</v>
      </c>
      <c r="G222" s="102" t="s">
        <v>81</v>
      </c>
    </row>
    <row r="223" spans="2:14" x14ac:dyDescent="0.25">
      <c r="B223" s="101"/>
    </row>
    <row r="224" spans="2:14" x14ac:dyDescent="0.25">
      <c r="B224" s="101">
        <f>MAX(B212:B223)+1</f>
        <v>4</v>
      </c>
      <c r="C224" s="138">
        <v>0</v>
      </c>
      <c r="D224" s="135">
        <f>D$211+(D$214+D$218)*$C224</f>
        <v>125</v>
      </c>
      <c r="E224" s="135">
        <f>E$211+(E$214+E$218)*$C224</f>
        <v>125</v>
      </c>
      <c r="F224" s="135">
        <f>E224-D224</f>
        <v>0</v>
      </c>
      <c r="G224" s="136">
        <f>F224/D224</f>
        <v>0</v>
      </c>
    </row>
    <row r="225" spans="2:7" x14ac:dyDescent="0.25">
      <c r="B225" s="101"/>
      <c r="C225" s="138"/>
      <c r="D225" s="135"/>
      <c r="E225" s="135"/>
      <c r="F225" s="135"/>
      <c r="G225" s="136"/>
    </row>
    <row r="226" spans="2:7" x14ac:dyDescent="0.25">
      <c r="B226" s="101">
        <f>MAX(B217:B225)+1</f>
        <v>5</v>
      </c>
      <c r="C226" s="138">
        <v>1000</v>
      </c>
      <c r="D226" s="135">
        <f t="shared" ref="D226:E236" si="15">D$211+(D$214+D$218)*$C226</f>
        <v>901.65000000000009</v>
      </c>
      <c r="E226" s="135">
        <f t="shared" si="15"/>
        <v>935.87700014621862</v>
      </c>
      <c r="F226" s="135">
        <f>E226-D226</f>
        <v>34.227000146218529</v>
      </c>
      <c r="G226" s="136">
        <f>F226/D226</f>
        <v>3.7960406084643183E-2</v>
      </c>
    </row>
    <row r="227" spans="2:7" x14ac:dyDescent="0.25">
      <c r="B227" s="101">
        <f>MAX(B218:B226)+1</f>
        <v>6</v>
      </c>
      <c r="C227" s="138">
        <f>+C226+1000</f>
        <v>2000</v>
      </c>
      <c r="D227" s="135">
        <f t="shared" si="15"/>
        <v>1678.3000000000002</v>
      </c>
      <c r="E227" s="135">
        <f t="shared" si="15"/>
        <v>1746.7540002924372</v>
      </c>
      <c r="F227" s="135">
        <f>E227-D227</f>
        <v>68.454000292437058</v>
      </c>
      <c r="G227" s="136">
        <f>F227/D227</f>
        <v>4.0787702015394778E-2</v>
      </c>
    </row>
    <row r="228" spans="2:7" x14ac:dyDescent="0.25">
      <c r="B228" s="101">
        <f>MAX(B219:B227)+1</f>
        <v>7</v>
      </c>
      <c r="C228" s="138">
        <f>+C227+1000</f>
        <v>3000</v>
      </c>
      <c r="D228" s="135">
        <f t="shared" si="15"/>
        <v>2454.9500000000003</v>
      </c>
      <c r="E228" s="135">
        <f t="shared" si="15"/>
        <v>2557.631000438656</v>
      </c>
      <c r="F228" s="135">
        <f>E228-D228</f>
        <v>102.6810004386557</v>
      </c>
      <c r="G228" s="136">
        <f>F228/D228</f>
        <v>4.182610661669512E-2</v>
      </c>
    </row>
    <row r="229" spans="2:7" x14ac:dyDescent="0.25">
      <c r="B229" s="101">
        <f>MAX(B220:B228)+1</f>
        <v>8</v>
      </c>
      <c r="C229" s="138">
        <f>+C228+1000</f>
        <v>4000</v>
      </c>
      <c r="D229" s="135">
        <f t="shared" si="15"/>
        <v>3231.6000000000004</v>
      </c>
      <c r="E229" s="135">
        <f t="shared" si="15"/>
        <v>3368.5080005848745</v>
      </c>
      <c r="F229" s="135">
        <f>E229-D229</f>
        <v>136.90800058487412</v>
      </c>
      <c r="G229" s="136">
        <f>F229/D229</f>
        <v>4.2365391937391417E-2</v>
      </c>
    </row>
    <row r="230" spans="2:7" x14ac:dyDescent="0.25">
      <c r="B230" s="101">
        <f>MAX(B221:B229)+1</f>
        <v>9</v>
      </c>
      <c r="C230" s="138">
        <f>+C229+1000</f>
        <v>5000</v>
      </c>
      <c r="D230" s="135">
        <f t="shared" si="15"/>
        <v>4008.2500000000005</v>
      </c>
      <c r="E230" s="135">
        <f t="shared" si="15"/>
        <v>4179.3850007310939</v>
      </c>
      <c r="F230" s="135">
        <f>E230-D230</f>
        <v>171.13500073109344</v>
      </c>
      <c r="G230" s="136">
        <f>F230/D230</f>
        <v>4.2695690321485291E-2</v>
      </c>
    </row>
    <row r="231" spans="2:7" x14ac:dyDescent="0.25">
      <c r="B231" s="101"/>
      <c r="C231" s="138"/>
      <c r="D231" s="135"/>
      <c r="E231" s="135"/>
      <c r="F231" s="135"/>
      <c r="G231" s="136"/>
    </row>
    <row r="232" spans="2:7" x14ac:dyDescent="0.25">
      <c r="B232" s="101">
        <f t="shared" ref="B232:B273" si="16">MAX(B223:B231)+1</f>
        <v>10</v>
      </c>
      <c r="C232" s="138">
        <f>+C230+3000</f>
        <v>8000</v>
      </c>
      <c r="D232" s="135">
        <f t="shared" si="15"/>
        <v>6338.2000000000007</v>
      </c>
      <c r="E232" s="135">
        <f t="shared" si="15"/>
        <v>6612.016001169749</v>
      </c>
      <c r="F232" s="135">
        <f>E232-D232</f>
        <v>273.81600116974823</v>
      </c>
      <c r="G232" s="136">
        <f>F232/D232</f>
        <v>4.3200908959917357E-2</v>
      </c>
    </row>
    <row r="233" spans="2:7" x14ac:dyDescent="0.25">
      <c r="B233" s="101">
        <f t="shared" si="16"/>
        <v>11</v>
      </c>
      <c r="C233" s="138">
        <f>+C232+3000</f>
        <v>11000</v>
      </c>
      <c r="D233" s="135">
        <f t="shared" si="15"/>
        <v>8668.1500000000015</v>
      </c>
      <c r="E233" s="135">
        <f t="shared" si="15"/>
        <v>9044.6470016084058</v>
      </c>
      <c r="F233" s="135">
        <f>E233-D233</f>
        <v>376.49700160840439</v>
      </c>
      <c r="G233" s="136">
        <f>F233/D233</f>
        <v>4.3434527737568493E-2</v>
      </c>
    </row>
    <row r="234" spans="2:7" x14ac:dyDescent="0.25">
      <c r="B234" s="101">
        <f t="shared" si="16"/>
        <v>12</v>
      </c>
      <c r="C234" s="138">
        <f>+C233+3000</f>
        <v>14000</v>
      </c>
      <c r="D234" s="135">
        <f t="shared" si="15"/>
        <v>10998.1</v>
      </c>
      <c r="E234" s="135">
        <f t="shared" si="15"/>
        <v>11477.278002047062</v>
      </c>
      <c r="F234" s="135">
        <f>E234-D234</f>
        <v>479.17800204706145</v>
      </c>
      <c r="G234" s="136">
        <f>F234/D234</f>
        <v>4.3569162132282978E-2</v>
      </c>
    </row>
    <row r="235" spans="2:7" x14ac:dyDescent="0.25">
      <c r="B235" s="101">
        <f t="shared" si="16"/>
        <v>13</v>
      </c>
      <c r="C235" s="138">
        <f>+C234+3000</f>
        <v>17000</v>
      </c>
      <c r="D235" s="135">
        <f t="shared" si="15"/>
        <v>13328.050000000001</v>
      </c>
      <c r="E235" s="135">
        <f t="shared" si="15"/>
        <v>13909.909002485718</v>
      </c>
      <c r="F235" s="135">
        <f>E235-D235</f>
        <v>581.8590024857167</v>
      </c>
      <c r="G235" s="136">
        <f>F235/D235</f>
        <v>4.3656724163378485E-2</v>
      </c>
    </row>
    <row r="236" spans="2:7" x14ac:dyDescent="0.25">
      <c r="B236" s="101">
        <f t="shared" si="16"/>
        <v>14</v>
      </c>
      <c r="C236" s="138">
        <f>+C235+3000</f>
        <v>20000</v>
      </c>
      <c r="D236" s="135">
        <f t="shared" si="15"/>
        <v>15658.000000000002</v>
      </c>
      <c r="E236" s="135">
        <f t="shared" si="15"/>
        <v>16342.540002924374</v>
      </c>
      <c r="F236" s="135">
        <f>E236-D236</f>
        <v>684.54000292437195</v>
      </c>
      <c r="G236" s="136">
        <f>F236/D236</f>
        <v>4.3718227291120952E-2</v>
      </c>
    </row>
    <row r="237" spans="2:7" x14ac:dyDescent="0.25">
      <c r="B237" s="101"/>
      <c r="C237" s="138"/>
      <c r="D237" s="135"/>
      <c r="E237" s="135"/>
      <c r="F237" s="135"/>
      <c r="G237" s="136"/>
    </row>
    <row r="238" spans="2:7" x14ac:dyDescent="0.25">
      <c r="B238" s="101">
        <f t="shared" si="16"/>
        <v>15</v>
      </c>
      <c r="C238" s="138">
        <f>+C236+3000</f>
        <v>23000</v>
      </c>
      <c r="D238" s="135">
        <f t="shared" ref="D238:E242" si="17">D$211+(D$218*$C238)+D$215*($C238-$J$214)+D$214*$J$214</f>
        <v>17877.100000000002</v>
      </c>
      <c r="E238" s="135">
        <f t="shared" si="17"/>
        <v>18645.51617105629</v>
      </c>
      <c r="F238" s="135">
        <f>E238-D238</f>
        <v>768.41617105628757</v>
      </c>
      <c r="G238" s="136">
        <f>F238/D238</f>
        <v>4.2983267479417102E-2</v>
      </c>
    </row>
    <row r="239" spans="2:7" x14ac:dyDescent="0.25">
      <c r="B239" s="101">
        <f t="shared" si="16"/>
        <v>16</v>
      </c>
      <c r="C239" s="138">
        <f>+C238+3000</f>
        <v>26000</v>
      </c>
      <c r="D239" s="135">
        <f t="shared" si="17"/>
        <v>20096.2</v>
      </c>
      <c r="E239" s="135">
        <f t="shared" si="17"/>
        <v>20948.4923391882</v>
      </c>
      <c r="F239" s="135">
        <f>E239-D239</f>
        <v>852.29233918819955</v>
      </c>
      <c r="G239" s="136">
        <f>F239/D239</f>
        <v>4.2410621868223822E-2</v>
      </c>
    </row>
    <row r="240" spans="2:7" x14ac:dyDescent="0.25">
      <c r="B240" s="101">
        <f t="shared" si="16"/>
        <v>17</v>
      </c>
      <c r="C240" s="138">
        <f>+C239+3000</f>
        <v>29000</v>
      </c>
      <c r="D240" s="135">
        <f t="shared" si="17"/>
        <v>22315.300000000003</v>
      </c>
      <c r="E240" s="135">
        <f t="shared" si="17"/>
        <v>23251.468507320114</v>
      </c>
      <c r="F240" s="135">
        <f>E240-D240</f>
        <v>936.16850732011153</v>
      </c>
      <c r="G240" s="136">
        <f>F240/D240</f>
        <v>4.1951867432663305E-2</v>
      </c>
    </row>
    <row r="241" spans="2:7" x14ac:dyDescent="0.25">
      <c r="B241" s="101">
        <f t="shared" si="16"/>
        <v>18</v>
      </c>
      <c r="C241" s="138">
        <f>+C240+3000</f>
        <v>32000</v>
      </c>
      <c r="D241" s="135">
        <f t="shared" si="17"/>
        <v>24534.400000000001</v>
      </c>
      <c r="E241" s="135">
        <f t="shared" si="17"/>
        <v>25554.444675452025</v>
      </c>
      <c r="F241" s="135">
        <f>E241-D241</f>
        <v>1020.0446754520235</v>
      </c>
      <c r="G241" s="136">
        <f>F241/D241</f>
        <v>4.1576100310259205E-2</v>
      </c>
    </row>
    <row r="242" spans="2:7" x14ac:dyDescent="0.25">
      <c r="B242" s="101">
        <f t="shared" si="16"/>
        <v>19</v>
      </c>
      <c r="C242" s="138">
        <f>+C241+3000</f>
        <v>35000</v>
      </c>
      <c r="D242" s="135">
        <f t="shared" si="17"/>
        <v>26753.500000000004</v>
      </c>
      <c r="E242" s="135">
        <f t="shared" si="17"/>
        <v>27857.420843583943</v>
      </c>
      <c r="F242" s="135">
        <f>E242-D242</f>
        <v>1103.9208435839391</v>
      </c>
      <c r="G242" s="136">
        <f>F242/D242</f>
        <v>4.1262670064998563E-2</v>
      </c>
    </row>
    <row r="243" spans="2:7" x14ac:dyDescent="0.25">
      <c r="B243" s="101"/>
      <c r="C243" s="138"/>
      <c r="D243" s="135"/>
      <c r="E243" s="135"/>
      <c r="F243" s="135"/>
      <c r="G243" s="136"/>
    </row>
    <row r="244" spans="2:7" x14ac:dyDescent="0.25">
      <c r="B244" s="101">
        <f t="shared" si="16"/>
        <v>20</v>
      </c>
      <c r="C244" s="138">
        <f>+C242+5000</f>
        <v>40000</v>
      </c>
      <c r="D244" s="135">
        <f t="shared" ref="D244:E248" si="18">D$211+(D$218*$C244)+D$215*($C244-$J$214)+D$214*$J$214</f>
        <v>30452.000000000004</v>
      </c>
      <c r="E244" s="135">
        <f t="shared" si="18"/>
        <v>31695.714457137132</v>
      </c>
      <c r="F244" s="135">
        <f>E244-D244</f>
        <v>1243.7144571371282</v>
      </c>
      <c r="G244" s="136">
        <f>F244/D244</f>
        <v>4.0841798802611587E-2</v>
      </c>
    </row>
    <row r="245" spans="2:7" x14ac:dyDescent="0.25">
      <c r="B245" s="101">
        <f t="shared" si="16"/>
        <v>21</v>
      </c>
      <c r="C245" s="138">
        <f>+C244+5000</f>
        <v>45000</v>
      </c>
      <c r="D245" s="135">
        <f t="shared" si="18"/>
        <v>34150.5</v>
      </c>
      <c r="E245" s="135">
        <f t="shared" si="18"/>
        <v>35534.008070690317</v>
      </c>
      <c r="F245" s="135">
        <f>E245-D245</f>
        <v>1383.5080706903173</v>
      </c>
      <c r="G245" s="136">
        <f>F245/D245</f>
        <v>4.051208827660846E-2</v>
      </c>
    </row>
    <row r="246" spans="2:7" x14ac:dyDescent="0.25">
      <c r="B246" s="101">
        <f t="shared" si="16"/>
        <v>22</v>
      </c>
      <c r="C246" s="138">
        <f>+C245+5000</f>
        <v>50000</v>
      </c>
      <c r="D246" s="135">
        <f t="shared" si="18"/>
        <v>37849</v>
      </c>
      <c r="E246" s="135">
        <f t="shared" si="18"/>
        <v>39372.30168424351</v>
      </c>
      <c r="F246" s="135">
        <f>E246-D246</f>
        <v>1523.30168424351</v>
      </c>
      <c r="G246" s="136">
        <f>F246/D246</f>
        <v>4.0246814558997861E-2</v>
      </c>
    </row>
    <row r="247" spans="2:7" x14ac:dyDescent="0.25">
      <c r="B247" s="101">
        <f t="shared" si="16"/>
        <v>23</v>
      </c>
      <c r="C247" s="138">
        <f>+C246+5000</f>
        <v>55000</v>
      </c>
      <c r="D247" s="135">
        <f t="shared" si="18"/>
        <v>41547.5</v>
      </c>
      <c r="E247" s="135">
        <f t="shared" si="18"/>
        <v>43210.595297796695</v>
      </c>
      <c r="F247" s="135">
        <f>E247-D247</f>
        <v>1663.0952977966954</v>
      </c>
      <c r="G247" s="136">
        <f>F247/D247</f>
        <v>4.0028769427683866E-2</v>
      </c>
    </row>
    <row r="248" spans="2:7" x14ac:dyDescent="0.25">
      <c r="B248" s="101">
        <f t="shared" si="16"/>
        <v>24</v>
      </c>
      <c r="C248" s="138">
        <f>+C247+5000</f>
        <v>60000</v>
      </c>
      <c r="D248" s="135">
        <f t="shared" si="18"/>
        <v>45246</v>
      </c>
      <c r="E248" s="135">
        <f t="shared" si="18"/>
        <v>47048.888911349888</v>
      </c>
      <c r="F248" s="135">
        <f>E248-D248</f>
        <v>1802.8889113498881</v>
      </c>
      <c r="G248" s="136">
        <f>F248/D248</f>
        <v>3.9846371200766652E-2</v>
      </c>
    </row>
    <row r="249" spans="2:7" x14ac:dyDescent="0.25">
      <c r="B249" s="101"/>
      <c r="C249" s="138"/>
      <c r="D249" s="135"/>
      <c r="E249" s="135"/>
      <c r="F249" s="135"/>
      <c r="G249" s="136"/>
    </row>
    <row r="250" spans="2:7" x14ac:dyDescent="0.25">
      <c r="B250" s="101">
        <f t="shared" si="16"/>
        <v>25</v>
      </c>
      <c r="C250" s="138">
        <f>+C248+7500</f>
        <v>67500</v>
      </c>
      <c r="D250" s="135">
        <f t="shared" ref="D250:E254" si="19">D$211+(D$218*$C250)+D$215*($C250-$J$214)+D$214*$J$214</f>
        <v>50793.75</v>
      </c>
      <c r="E250" s="135">
        <f t="shared" si="19"/>
        <v>52806.329331679677</v>
      </c>
      <c r="F250" s="135">
        <f>E250-D250</f>
        <v>2012.5793316796771</v>
      </c>
      <c r="G250" s="136">
        <f>F250/D250</f>
        <v>3.9622578204595589E-2</v>
      </c>
    </row>
    <row r="251" spans="2:7" x14ac:dyDescent="0.25">
      <c r="B251" s="101">
        <f t="shared" si="16"/>
        <v>26</v>
      </c>
      <c r="C251" s="138">
        <f>+C250+7500</f>
        <v>75000</v>
      </c>
      <c r="D251" s="135">
        <f t="shared" si="19"/>
        <v>56341.5</v>
      </c>
      <c r="E251" s="135">
        <f t="shared" si="19"/>
        <v>58563.769752009459</v>
      </c>
      <c r="F251" s="135">
        <f>E251-D251</f>
        <v>2222.2697520094589</v>
      </c>
      <c r="G251" s="136">
        <f>F251/D251</f>
        <v>3.9442857432078642E-2</v>
      </c>
    </row>
    <row r="252" spans="2:7" x14ac:dyDescent="0.25">
      <c r="B252" s="101">
        <f t="shared" si="16"/>
        <v>27</v>
      </c>
      <c r="C252" s="138">
        <f>+C251+7500</f>
        <v>82500</v>
      </c>
      <c r="D252" s="135">
        <f t="shared" si="19"/>
        <v>61889.25</v>
      </c>
      <c r="E252" s="135">
        <f t="shared" si="19"/>
        <v>64321.210172339241</v>
      </c>
      <c r="F252" s="135">
        <f>E252-D252</f>
        <v>2431.9601723392407</v>
      </c>
      <c r="G252" s="136">
        <f>F252/D252</f>
        <v>3.9295356985894009E-2</v>
      </c>
    </row>
    <row r="253" spans="2:7" x14ac:dyDescent="0.25">
      <c r="B253" s="101">
        <f t="shared" si="16"/>
        <v>28</v>
      </c>
      <c r="C253" s="138">
        <f>+C252+7500</f>
        <v>90000</v>
      </c>
      <c r="D253" s="135">
        <f t="shared" si="19"/>
        <v>67437</v>
      </c>
      <c r="E253" s="135">
        <f t="shared" si="19"/>
        <v>70078.65059266903</v>
      </c>
      <c r="F253" s="135">
        <f>E253-D253</f>
        <v>2641.6505926690297</v>
      </c>
      <c r="G253" s="136">
        <f>F253/D253</f>
        <v>3.9172124985824244E-2</v>
      </c>
    </row>
    <row r="254" spans="2:7" x14ac:dyDescent="0.25">
      <c r="B254" s="101">
        <f t="shared" si="16"/>
        <v>29</v>
      </c>
      <c r="C254" s="138">
        <f>+C253+10000</f>
        <v>100000</v>
      </c>
      <c r="D254" s="135">
        <f t="shared" si="19"/>
        <v>74834</v>
      </c>
      <c r="E254" s="135">
        <f t="shared" si="19"/>
        <v>77755.237819775401</v>
      </c>
      <c r="F254" s="135">
        <f>E254-D254</f>
        <v>2921.2378197754006</v>
      </c>
      <c r="G254" s="136">
        <f>F254/D254</f>
        <v>3.9036237803343407E-2</v>
      </c>
    </row>
    <row r="255" spans="2:7" x14ac:dyDescent="0.25">
      <c r="B255" s="101"/>
      <c r="C255" s="138"/>
      <c r="D255" s="135"/>
      <c r="E255" s="135"/>
      <c r="F255" s="135"/>
      <c r="G255" s="136"/>
    </row>
    <row r="256" spans="2:7" x14ac:dyDescent="0.25">
      <c r="B256" s="101">
        <f t="shared" si="16"/>
        <v>30</v>
      </c>
      <c r="C256" s="138">
        <f>+C254+10000</f>
        <v>110000</v>
      </c>
      <c r="D256" s="135">
        <f t="shared" ref="D256:E260" si="20">D$211+(D$218*$C256)+D$216*($C256-$J$214-$J$215)+D$214*$J$214+D$215*$J$215</f>
        <v>82175.200000000012</v>
      </c>
      <c r="E256" s="135">
        <f t="shared" si="20"/>
        <v>85366.559014922226</v>
      </c>
      <c r="F256" s="135">
        <f>E256-D256</f>
        <v>3191.3590149222146</v>
      </c>
      <c r="G256" s="136">
        <f>F256/D256</f>
        <v>3.8836035871190021E-2</v>
      </c>
    </row>
    <row r="257" spans="2:7" x14ac:dyDescent="0.25">
      <c r="B257" s="101">
        <f t="shared" si="16"/>
        <v>31</v>
      </c>
      <c r="C257" s="138">
        <f>+C256+10000</f>
        <v>120000</v>
      </c>
      <c r="D257" s="135">
        <f t="shared" si="20"/>
        <v>89516.400000000009</v>
      </c>
      <c r="E257" s="135">
        <f t="shared" si="20"/>
        <v>92977.880210069052</v>
      </c>
      <c r="F257" s="135">
        <f>E257-D257</f>
        <v>3461.4802100690431</v>
      </c>
      <c r="G257" s="136">
        <f>F257/D257</f>
        <v>3.8668670881190963E-2</v>
      </c>
    </row>
    <row r="258" spans="2:7" x14ac:dyDescent="0.25">
      <c r="B258" s="101">
        <f t="shared" si="16"/>
        <v>32</v>
      </c>
      <c r="C258" s="138">
        <f>+C257+10000</f>
        <v>130000</v>
      </c>
      <c r="D258" s="135">
        <f t="shared" si="20"/>
        <v>96857.599999999991</v>
      </c>
      <c r="E258" s="135">
        <f t="shared" si="20"/>
        <v>100589.20140521588</v>
      </c>
      <c r="F258" s="135">
        <f>E258-D258</f>
        <v>3731.6014052158862</v>
      </c>
      <c r="G258" s="136">
        <f>F258/D258</f>
        <v>3.8526676329125299E-2</v>
      </c>
    </row>
    <row r="259" spans="2:7" x14ac:dyDescent="0.25">
      <c r="B259" s="101">
        <f t="shared" si="16"/>
        <v>33</v>
      </c>
      <c r="C259" s="138">
        <f>+C258+10000</f>
        <v>140000</v>
      </c>
      <c r="D259" s="135">
        <f t="shared" si="20"/>
        <v>104198.8</v>
      </c>
      <c r="E259" s="135">
        <f t="shared" si="20"/>
        <v>108200.52260036272</v>
      </c>
      <c r="F259" s="135">
        <f>E259-D259</f>
        <v>4001.7226003627147</v>
      </c>
      <c r="G259" s="136">
        <f>F259/D259</f>
        <v>3.8404689884746414E-2</v>
      </c>
    </row>
    <row r="260" spans="2:7" x14ac:dyDescent="0.25">
      <c r="B260" s="101">
        <f t="shared" si="16"/>
        <v>34</v>
      </c>
      <c r="C260" s="138">
        <f>+C259+10000</f>
        <v>150000</v>
      </c>
      <c r="D260" s="135">
        <f t="shared" si="20"/>
        <v>111540</v>
      </c>
      <c r="E260" s="135">
        <f t="shared" si="20"/>
        <v>115811.84379550954</v>
      </c>
      <c r="F260" s="135">
        <f>E260-D260</f>
        <v>4271.8437955095433</v>
      </c>
      <c r="G260" s="136">
        <f>F260/D260</f>
        <v>3.8298760942348423E-2</v>
      </c>
    </row>
    <row r="261" spans="2:7" x14ac:dyDescent="0.25">
      <c r="B261" s="101"/>
      <c r="C261" s="138"/>
      <c r="D261" s="135"/>
      <c r="E261" s="135"/>
      <c r="F261" s="135"/>
      <c r="G261" s="136"/>
    </row>
    <row r="262" spans="2:7" x14ac:dyDescent="0.25">
      <c r="B262" s="101">
        <f t="shared" si="16"/>
        <v>35</v>
      </c>
      <c r="C262" s="138">
        <f>+C260+15000</f>
        <v>165000</v>
      </c>
      <c r="D262" s="135">
        <f t="shared" ref="D262:E266" si="21">D$211+(D$218*$C262)+D$216*($C262-$J$214-$J$215)+D$214*$J$214+D$215*$J$215</f>
        <v>122551.8</v>
      </c>
      <c r="E262" s="135">
        <f t="shared" si="21"/>
        <v>127228.82558822978</v>
      </c>
      <c r="F262" s="135">
        <f>E262-D262</f>
        <v>4677.0255882297788</v>
      </c>
      <c r="G262" s="136">
        <f>F262/D262</f>
        <v>3.8163662942770148E-2</v>
      </c>
    </row>
    <row r="263" spans="2:7" x14ac:dyDescent="0.25">
      <c r="B263" s="101">
        <f t="shared" si="16"/>
        <v>36</v>
      </c>
      <c r="C263" s="138">
        <f>+C262+15000</f>
        <v>180000</v>
      </c>
      <c r="D263" s="135">
        <f t="shared" si="21"/>
        <v>133563.6</v>
      </c>
      <c r="E263" s="135">
        <f t="shared" si="21"/>
        <v>138645.80738095002</v>
      </c>
      <c r="F263" s="135">
        <f>E263-D263</f>
        <v>5082.2073809500143</v>
      </c>
      <c r="G263" s="136">
        <f>F263/D263</f>
        <v>3.8050841553761761E-2</v>
      </c>
    </row>
    <row r="264" spans="2:7" x14ac:dyDescent="0.25">
      <c r="B264" s="101">
        <f t="shared" si="16"/>
        <v>37</v>
      </c>
      <c r="C264" s="138">
        <f>+C263+15000</f>
        <v>195000</v>
      </c>
      <c r="D264" s="135">
        <f t="shared" si="21"/>
        <v>144575.4</v>
      </c>
      <c r="E264" s="135">
        <f t="shared" si="21"/>
        <v>150062.78917367029</v>
      </c>
      <c r="F264" s="135">
        <f>E264-D264</f>
        <v>5487.3891736702935</v>
      </c>
      <c r="G264" s="136">
        <f>F264/D264</f>
        <v>3.7955206581965495E-2</v>
      </c>
    </row>
    <row r="265" spans="2:7" x14ac:dyDescent="0.25">
      <c r="B265" s="101">
        <f t="shared" si="16"/>
        <v>38</v>
      </c>
      <c r="C265" s="138">
        <f>+C264+15000</f>
        <v>210000</v>
      </c>
      <c r="D265" s="135">
        <f t="shared" si="21"/>
        <v>155587.20000000001</v>
      </c>
      <c r="E265" s="135">
        <f t="shared" si="21"/>
        <v>161479.77096639053</v>
      </c>
      <c r="F265" s="135">
        <f>E265-D265</f>
        <v>5892.5709663905145</v>
      </c>
      <c r="G265" s="136">
        <f>F265/D265</f>
        <v>3.787310888293198E-2</v>
      </c>
    </row>
    <row r="266" spans="2:7" x14ac:dyDescent="0.25">
      <c r="B266" s="101">
        <f t="shared" si="16"/>
        <v>39</v>
      </c>
      <c r="C266" s="138">
        <f>+C265+15000</f>
        <v>225000</v>
      </c>
      <c r="D266" s="135">
        <f t="shared" si="21"/>
        <v>166599</v>
      </c>
      <c r="E266" s="135">
        <f t="shared" si="21"/>
        <v>172896.75275911076</v>
      </c>
      <c r="F266" s="135">
        <f>E266-D266</f>
        <v>6297.7527591107646</v>
      </c>
      <c r="G266" s="136">
        <f>F266/D266</f>
        <v>3.7801864111493853E-2</v>
      </c>
    </row>
    <row r="267" spans="2:7" x14ac:dyDescent="0.25">
      <c r="B267" s="101"/>
      <c r="C267" s="138"/>
      <c r="D267" s="135"/>
      <c r="E267" s="135"/>
      <c r="F267" s="135"/>
      <c r="G267" s="136"/>
    </row>
    <row r="268" spans="2:7" x14ac:dyDescent="0.25">
      <c r="B268" s="101">
        <f t="shared" si="16"/>
        <v>40</v>
      </c>
      <c r="C268" s="138">
        <f>+C266+25000</f>
        <v>250000</v>
      </c>
      <c r="D268" s="135">
        <f t="shared" ref="D268:E273" si="22">D$211+(D$218*$C268)+D$216*($C268-$J$214-$J$215)+D$214*$J$214+D$215*$J$215</f>
        <v>184952</v>
      </c>
      <c r="E268" s="135">
        <f t="shared" si="22"/>
        <v>191925.05574697783</v>
      </c>
      <c r="F268" s="135">
        <f t="shared" ref="F268:F273" si="23">E268-D268</f>
        <v>6973.0557469778287</v>
      </c>
      <c r="G268" s="136">
        <f t="shared" ref="G268:G273" si="24">F268/D268</f>
        <v>3.7701975361054914E-2</v>
      </c>
    </row>
    <row r="269" spans="2:7" x14ac:dyDescent="0.25">
      <c r="B269" s="101">
        <f t="shared" si="16"/>
        <v>41</v>
      </c>
      <c r="C269" s="138">
        <f>+C268+25000</f>
        <v>275000</v>
      </c>
      <c r="D269" s="135">
        <f t="shared" si="22"/>
        <v>203305</v>
      </c>
      <c r="E269" s="135">
        <f t="shared" si="22"/>
        <v>210953.35873484489</v>
      </c>
      <c r="F269" s="135">
        <f t="shared" si="23"/>
        <v>7648.3587348448928</v>
      </c>
      <c r="G269" s="136">
        <f t="shared" si="24"/>
        <v>3.7620121171859484E-2</v>
      </c>
    </row>
    <row r="270" spans="2:7" x14ac:dyDescent="0.25">
      <c r="B270" s="101">
        <f t="shared" si="16"/>
        <v>42</v>
      </c>
      <c r="C270" s="138">
        <f>+C269+25000</f>
        <v>300000</v>
      </c>
      <c r="D270" s="135">
        <f t="shared" si="22"/>
        <v>221658</v>
      </c>
      <c r="E270" s="135">
        <f t="shared" si="22"/>
        <v>229981.66172271199</v>
      </c>
      <c r="F270" s="135">
        <f t="shared" si="23"/>
        <v>8323.6617227119859</v>
      </c>
      <c r="G270" s="136">
        <f t="shared" si="24"/>
        <v>3.7551821827824787E-2</v>
      </c>
    </row>
    <row r="271" spans="2:7" x14ac:dyDescent="0.25">
      <c r="B271" s="101">
        <f t="shared" si="16"/>
        <v>43</v>
      </c>
      <c r="C271" s="138">
        <f>+C270+25000</f>
        <v>325000</v>
      </c>
      <c r="D271" s="135">
        <f t="shared" si="22"/>
        <v>240011</v>
      </c>
      <c r="E271" s="135">
        <f t="shared" si="22"/>
        <v>249009.96471057905</v>
      </c>
      <c r="F271" s="135">
        <f t="shared" si="23"/>
        <v>8998.96471057905</v>
      </c>
      <c r="G271" s="136">
        <f t="shared" si="24"/>
        <v>3.7493967820554266E-2</v>
      </c>
    </row>
    <row r="272" spans="2:7" x14ac:dyDescent="0.25">
      <c r="B272" s="101">
        <f t="shared" si="16"/>
        <v>44</v>
      </c>
      <c r="C272" s="138">
        <f>+C271+25000</f>
        <v>350000</v>
      </c>
      <c r="D272" s="135">
        <f t="shared" si="22"/>
        <v>258364</v>
      </c>
      <c r="E272" s="135">
        <f t="shared" si="22"/>
        <v>268038.26769844611</v>
      </c>
      <c r="F272" s="135">
        <f t="shared" si="23"/>
        <v>9674.2676984461141</v>
      </c>
      <c r="G272" s="136">
        <f t="shared" si="24"/>
        <v>3.7444333182820026E-2</v>
      </c>
    </row>
    <row r="273" spans="1:14" x14ac:dyDescent="0.25">
      <c r="B273" s="101">
        <f t="shared" si="16"/>
        <v>45</v>
      </c>
      <c r="C273" s="138">
        <f>+C272+25000</f>
        <v>375000</v>
      </c>
      <c r="D273" s="135">
        <f t="shared" si="22"/>
        <v>276717</v>
      </c>
      <c r="E273" s="135">
        <f t="shared" si="22"/>
        <v>287066.57068631309</v>
      </c>
      <c r="F273" s="135">
        <f t="shared" si="23"/>
        <v>10349.570686313091</v>
      </c>
      <c r="G273" s="136">
        <f t="shared" si="24"/>
        <v>3.7401282488293421E-2</v>
      </c>
    </row>
    <row r="274" spans="1:14" x14ac:dyDescent="0.25">
      <c r="B274" s="101"/>
      <c r="C274" s="138"/>
    </row>
    <row r="275" spans="1:14" x14ac:dyDescent="0.25">
      <c r="A275" s="2" t="str">
        <f>$A$1</f>
        <v>Cascade Natural Gas Corporation</v>
      </c>
      <c r="H275" s="33" t="str">
        <f>$H$1</f>
        <v xml:space="preserve"> </v>
      </c>
    </row>
    <row r="276" spans="1:14" x14ac:dyDescent="0.25">
      <c r="A276" s="2" t="str">
        <f>$A$2</f>
        <v>Washington Jurisdiction</v>
      </c>
      <c r="H276" s="33" t="s">
        <v>2</v>
      </c>
    </row>
    <row r="277" spans="1:14" x14ac:dyDescent="0.25">
      <c r="A277" s="2" t="str">
        <f>$A$3</f>
        <v>Test Year Ended December 31, 2019</v>
      </c>
      <c r="H277" s="34" t="str">
        <f>$H$3</f>
        <v xml:space="preserve"> </v>
      </c>
    </row>
    <row r="278" spans="1:14" x14ac:dyDescent="0.25">
      <c r="A278" s="2"/>
    </row>
    <row r="279" spans="1:14" x14ac:dyDescent="0.25">
      <c r="B279" s="100" t="str">
        <f>'Exh 18, Class Rates'!C48</f>
        <v>Interruptible Service - 570</v>
      </c>
    </row>
    <row r="281" spans="1:14" x14ac:dyDescent="0.25">
      <c r="B281" s="101" t="s">
        <v>54</v>
      </c>
    </row>
    <row r="282" spans="1:14" ht="17.25" x14ac:dyDescent="0.4">
      <c r="B282" s="102" t="s">
        <v>55</v>
      </c>
      <c r="C282" s="102" t="s">
        <v>56</v>
      </c>
      <c r="D282" s="102" t="s">
        <v>57</v>
      </c>
      <c r="E282" s="102" t="s">
        <v>59</v>
      </c>
      <c r="F282" s="102" t="s">
        <v>60</v>
      </c>
      <c r="G282" s="102" t="s">
        <v>61</v>
      </c>
    </row>
    <row r="283" spans="1:14" x14ac:dyDescent="0.25">
      <c r="B283" s="101"/>
      <c r="C283" s="103"/>
      <c r="D283" s="105" t="s">
        <v>62</v>
      </c>
      <c r="E283" s="106" t="s">
        <v>10</v>
      </c>
      <c r="L283" s="108" t="s">
        <v>64</v>
      </c>
      <c r="M283" s="108" t="s">
        <v>65</v>
      </c>
      <c r="N283" s="109" t="s">
        <v>66</v>
      </c>
    </row>
    <row r="284" spans="1:14" ht="17.25" x14ac:dyDescent="0.4">
      <c r="B284" s="101"/>
      <c r="C284" s="76"/>
      <c r="D284" s="102" t="s">
        <v>63</v>
      </c>
      <c r="E284" s="107" t="s">
        <v>63</v>
      </c>
      <c r="L284" s="108" t="s">
        <v>67</v>
      </c>
      <c r="M284" s="108">
        <v>0.40623999999999999</v>
      </c>
      <c r="N284" s="112">
        <v>44136</v>
      </c>
    </row>
    <row r="285" spans="1:14" x14ac:dyDescent="0.25">
      <c r="B285" s="101">
        <f>MAX(B275:B284)+1</f>
        <v>1</v>
      </c>
      <c r="C285" s="76" t="s">
        <v>14</v>
      </c>
      <c r="D285" s="110">
        <f>'Exh 18, Class Rates'!$E$49</f>
        <v>163</v>
      </c>
      <c r="E285" s="111">
        <f>'Exh 18, Class Rates'!$H$49</f>
        <v>163</v>
      </c>
      <c r="L285" s="108" t="s">
        <v>68</v>
      </c>
      <c r="M285" s="108">
        <v>1.1990000000000001E-2</v>
      </c>
      <c r="N285" s="112">
        <v>44136</v>
      </c>
    </row>
    <row r="286" spans="1:14" x14ac:dyDescent="0.25">
      <c r="B286" s="101"/>
      <c r="C286" s="76"/>
      <c r="D286" s="110"/>
      <c r="E286" s="111"/>
      <c r="L286" s="108" t="s">
        <v>69</v>
      </c>
      <c r="M286" s="108">
        <v>-1.6100000000000001E-3</v>
      </c>
      <c r="N286" s="112">
        <v>44136</v>
      </c>
    </row>
    <row r="287" spans="1:14" x14ac:dyDescent="0.25">
      <c r="B287" s="101">
        <f>MAX(B277:B286)+1</f>
        <v>2</v>
      </c>
      <c r="C287" s="76" t="s">
        <v>15</v>
      </c>
      <c r="D287" s="79" t="s">
        <v>2</v>
      </c>
      <c r="E287" s="113" t="s">
        <v>2</v>
      </c>
      <c r="L287" s="108" t="s">
        <v>103</v>
      </c>
      <c r="M287" s="108">
        <v>0.17868000000000001</v>
      </c>
      <c r="N287" s="112">
        <v>44136</v>
      </c>
    </row>
    <row r="288" spans="1:14" x14ac:dyDescent="0.25">
      <c r="B288" s="101"/>
      <c r="C288" s="54" t="s">
        <v>110</v>
      </c>
      <c r="D288" s="79">
        <f>'Exh 18, Class Rates'!E50</f>
        <v>8.9639999999999997E-2</v>
      </c>
      <c r="E288" s="113">
        <f>'Exh 18, Class Rates'!H50</f>
        <v>0.10484672230921412</v>
      </c>
      <c r="J288" s="133">
        <v>30000</v>
      </c>
      <c r="L288" s="108" t="s">
        <v>72</v>
      </c>
      <c r="M288" s="108"/>
      <c r="N288" s="108"/>
    </row>
    <row r="289" spans="2:14" x14ac:dyDescent="0.25">
      <c r="B289" s="101"/>
      <c r="C289" s="54" t="s">
        <v>111</v>
      </c>
      <c r="D289" s="79">
        <f>'Exh 18, Class Rates'!E51</f>
        <v>2.8170000000000001E-2</v>
      </c>
      <c r="E289" s="113">
        <f>'Exh 18, Class Rates'!H51</f>
        <v>3.2948819360224917E-2</v>
      </c>
      <c r="J289" s="133">
        <v>30000</v>
      </c>
      <c r="L289" s="108"/>
      <c r="M289" s="108"/>
      <c r="N289" s="108"/>
    </row>
    <row r="290" spans="2:14" x14ac:dyDescent="0.25">
      <c r="L290" s="108" t="s">
        <v>73</v>
      </c>
      <c r="M290" s="108">
        <f>SUM(M284:M289)</f>
        <v>0.59529999999999994</v>
      </c>
      <c r="N290" s="108"/>
    </row>
    <row r="291" spans="2:14" x14ac:dyDescent="0.25">
      <c r="B291" s="101">
        <f>MAX(B280:B289)+1</f>
        <v>3</v>
      </c>
      <c r="C291" s="114" t="s">
        <v>102</v>
      </c>
      <c r="D291" s="116">
        <f>M290</f>
        <v>0.59529999999999994</v>
      </c>
      <c r="E291" s="117">
        <f>D291</f>
        <v>0.59529999999999994</v>
      </c>
    </row>
    <row r="292" spans="2:14" x14ac:dyDescent="0.25">
      <c r="B292" s="101"/>
    </row>
    <row r="293" spans="2:14" x14ac:dyDescent="0.25">
      <c r="B293" s="101"/>
      <c r="C293" s="101"/>
      <c r="D293" s="101"/>
      <c r="E293" s="101"/>
    </row>
    <row r="294" spans="2:14" ht="17.25" x14ac:dyDescent="0.4">
      <c r="B294" s="101"/>
      <c r="C294" s="101" t="s">
        <v>98</v>
      </c>
      <c r="D294" s="101" t="s">
        <v>75</v>
      </c>
      <c r="E294" s="101" t="s">
        <v>75</v>
      </c>
      <c r="F294" s="118" t="s">
        <v>99</v>
      </c>
      <c r="G294" s="118"/>
    </row>
    <row r="295" spans="2:14" ht="17.25" x14ac:dyDescent="0.4">
      <c r="B295" s="101"/>
      <c r="C295" s="102" t="s">
        <v>100</v>
      </c>
      <c r="D295" s="102" t="s">
        <v>101</v>
      </c>
      <c r="E295" s="102" t="s">
        <v>31</v>
      </c>
      <c r="F295" s="102" t="s">
        <v>80</v>
      </c>
      <c r="G295" s="102" t="s">
        <v>81</v>
      </c>
    </row>
    <row r="296" spans="2:14" x14ac:dyDescent="0.25">
      <c r="B296" s="101"/>
    </row>
    <row r="297" spans="2:14" x14ac:dyDescent="0.25">
      <c r="B297" s="101">
        <f>MAX(B286:B296)+1</f>
        <v>4</v>
      </c>
      <c r="C297" s="138">
        <v>0</v>
      </c>
      <c r="D297" s="135">
        <f>D$285+(D$288+D$291)*$C297</f>
        <v>163</v>
      </c>
      <c r="E297" s="135">
        <f>E$285+(E$288+E$291)*$C297</f>
        <v>163</v>
      </c>
      <c r="F297" s="135">
        <f>E297-D297</f>
        <v>0</v>
      </c>
      <c r="G297" s="136">
        <f>F297/D297</f>
        <v>0</v>
      </c>
    </row>
    <row r="298" spans="2:14" x14ac:dyDescent="0.25">
      <c r="B298" s="101"/>
      <c r="C298" s="138"/>
      <c r="D298" s="135"/>
      <c r="E298" s="135"/>
      <c r="F298" s="135"/>
      <c r="G298" s="136"/>
    </row>
    <row r="299" spans="2:14" x14ac:dyDescent="0.25">
      <c r="B299" s="101">
        <f>MAX(B289:B298)+1</f>
        <v>5</v>
      </c>
      <c r="C299" s="138">
        <v>500</v>
      </c>
      <c r="D299" s="135">
        <f>D$285+(D$288+D$291)*$C299</f>
        <v>505.46999999999991</v>
      </c>
      <c r="E299" s="135">
        <f>E$285+(E$288+E$291)*$C299</f>
        <v>513.07336115460703</v>
      </c>
      <c r="F299" s="135">
        <f>E299-D299</f>
        <v>7.6033611546071143</v>
      </c>
      <c r="G299" s="136">
        <f>F299/D299</f>
        <v>1.5042161067139723E-2</v>
      </c>
    </row>
    <row r="300" spans="2:14" x14ac:dyDescent="0.25">
      <c r="B300" s="101">
        <f>MAX(B291:B299)+1</f>
        <v>6</v>
      </c>
      <c r="C300" s="138">
        <f>+C299+500</f>
        <v>1000</v>
      </c>
      <c r="D300" s="135">
        <f t="shared" ref="D300:E303" si="25">D$285+(D$288+D$291)*$C300</f>
        <v>847.93999999999983</v>
      </c>
      <c r="E300" s="135">
        <f t="shared" si="25"/>
        <v>863.14672230921406</v>
      </c>
      <c r="F300" s="135">
        <f>E300-D300</f>
        <v>15.206722309214229</v>
      </c>
      <c r="G300" s="136">
        <f>F300/D300</f>
        <v>1.7933724448916472E-2</v>
      </c>
    </row>
    <row r="301" spans="2:14" x14ac:dyDescent="0.25">
      <c r="B301" s="101">
        <f>MAX(B291:B300)+1</f>
        <v>7</v>
      </c>
      <c r="C301" s="138">
        <f>+C300+500</f>
        <v>1500</v>
      </c>
      <c r="D301" s="135">
        <f t="shared" si="25"/>
        <v>1190.4099999999999</v>
      </c>
      <c r="E301" s="135">
        <f t="shared" si="25"/>
        <v>1213.2200834638211</v>
      </c>
      <c r="F301" s="135">
        <f>E301-D301</f>
        <v>22.810083463821229</v>
      </c>
      <c r="G301" s="136">
        <f>F301/D301</f>
        <v>1.9161535490983133E-2</v>
      </c>
    </row>
    <row r="302" spans="2:14" x14ac:dyDescent="0.25">
      <c r="B302" s="101">
        <f>MAX(B293:B301)+1</f>
        <v>8</v>
      </c>
      <c r="C302" s="138">
        <f>+C301+500</f>
        <v>2000</v>
      </c>
      <c r="D302" s="135">
        <f t="shared" si="25"/>
        <v>1532.8799999999997</v>
      </c>
      <c r="E302" s="135">
        <f t="shared" si="25"/>
        <v>1563.2934446184281</v>
      </c>
      <c r="F302" s="135">
        <f>E302-D302</f>
        <v>30.413444618428457</v>
      </c>
      <c r="G302" s="136">
        <f>F302/D302</f>
        <v>1.9840721138268139E-2</v>
      </c>
    </row>
    <row r="303" spans="2:14" x14ac:dyDescent="0.25">
      <c r="B303" s="101">
        <f>MAX(B294:B302)+1</f>
        <v>9</v>
      </c>
      <c r="C303" s="138">
        <f>+C302+500</f>
        <v>2500</v>
      </c>
      <c r="D303" s="135">
        <f t="shared" si="25"/>
        <v>1875.3499999999997</v>
      </c>
      <c r="E303" s="135">
        <f t="shared" si="25"/>
        <v>1913.3668057730351</v>
      </c>
      <c r="F303" s="135">
        <f>E303-D303</f>
        <v>38.016805773035458</v>
      </c>
      <c r="G303" s="136">
        <f>F303/D303</f>
        <v>2.0271845667760933E-2</v>
      </c>
    </row>
    <row r="304" spans="2:14" x14ac:dyDescent="0.25">
      <c r="B304" s="101"/>
      <c r="C304" s="138"/>
      <c r="D304" s="135"/>
      <c r="E304" s="135"/>
      <c r="F304" s="135"/>
      <c r="G304" s="136"/>
    </row>
    <row r="305" spans="2:7" x14ac:dyDescent="0.25">
      <c r="B305" s="101">
        <f>MAX(B296:B304)+1</f>
        <v>10</v>
      </c>
      <c r="C305" s="138">
        <f>+C303+500</f>
        <v>3000</v>
      </c>
      <c r="D305" s="135">
        <f>D$285+(D$288+D$291)*$C305</f>
        <v>2217.8199999999997</v>
      </c>
      <c r="E305" s="135">
        <f>E$285+(E$288+E$291)*$C305</f>
        <v>2263.4401669276422</v>
      </c>
      <c r="F305" s="135">
        <f>E305-D305</f>
        <v>45.620166927642458</v>
      </c>
      <c r="G305" s="136">
        <f>F305/D305</f>
        <v>2.0569823938661597E-2</v>
      </c>
    </row>
    <row r="306" spans="2:7" x14ac:dyDescent="0.25">
      <c r="B306" s="101">
        <f>MAX(B297:B305)+1</f>
        <v>11</v>
      </c>
      <c r="C306" s="138">
        <f>+C305+500</f>
        <v>3500</v>
      </c>
      <c r="D306" s="135">
        <f t="shared" ref="D306:E309" si="26">D$285+(D$288+D$291)*$C306</f>
        <v>2560.2899999999995</v>
      </c>
      <c r="E306" s="135">
        <f t="shared" si="26"/>
        <v>2613.5135280822492</v>
      </c>
      <c r="F306" s="135">
        <f>E306-D306</f>
        <v>53.223528082249686</v>
      </c>
      <c r="G306" s="136">
        <f>F306/D306</f>
        <v>2.078808575678915E-2</v>
      </c>
    </row>
    <row r="307" spans="2:7" x14ac:dyDescent="0.25">
      <c r="B307" s="101">
        <f>MAX(B298:B306)+1</f>
        <v>12</v>
      </c>
      <c r="C307" s="138">
        <f>+C306+500</f>
        <v>4000</v>
      </c>
      <c r="D307" s="135">
        <f t="shared" si="26"/>
        <v>2902.7599999999993</v>
      </c>
      <c r="E307" s="135">
        <f t="shared" si="26"/>
        <v>2963.5868892368562</v>
      </c>
      <c r="F307" s="135">
        <f>E307-D307</f>
        <v>60.826889236856914</v>
      </c>
      <c r="G307" s="136">
        <f>F307/D307</f>
        <v>2.0954846159123363E-2</v>
      </c>
    </row>
    <row r="308" spans="2:7" x14ac:dyDescent="0.25">
      <c r="B308" s="101">
        <f>MAX(B299:B307)+1</f>
        <v>13</v>
      </c>
      <c r="C308" s="138">
        <f>+C307+500</f>
        <v>4500</v>
      </c>
      <c r="D308" s="135">
        <f t="shared" si="26"/>
        <v>3245.2299999999996</v>
      </c>
      <c r="E308" s="135">
        <f t="shared" si="26"/>
        <v>3313.6602503914633</v>
      </c>
      <c r="F308" s="135">
        <f>E308-D308</f>
        <v>68.430250391463687</v>
      </c>
      <c r="G308" s="136">
        <f>F308/D308</f>
        <v>2.1086410020696129E-2</v>
      </c>
    </row>
    <row r="309" spans="2:7" x14ac:dyDescent="0.25">
      <c r="B309" s="101">
        <f>MAX(B300:B308)+1</f>
        <v>14</v>
      </c>
      <c r="C309" s="138">
        <f>+C308+500</f>
        <v>5000</v>
      </c>
      <c r="D309" s="135">
        <f t="shared" si="26"/>
        <v>3587.6999999999994</v>
      </c>
      <c r="E309" s="135">
        <f t="shared" si="26"/>
        <v>3663.7336115460703</v>
      </c>
      <c r="F309" s="135">
        <f>E309-D309</f>
        <v>76.033611546070915</v>
      </c>
      <c r="G309" s="136">
        <f>F309/D309</f>
        <v>2.1192856578328992E-2</v>
      </c>
    </row>
    <row r="310" spans="2:7" x14ac:dyDescent="0.25">
      <c r="B310" s="101"/>
      <c r="C310" s="138"/>
      <c r="D310" s="135"/>
      <c r="E310" s="135"/>
      <c r="F310" s="135"/>
      <c r="G310" s="136"/>
    </row>
    <row r="311" spans="2:7" x14ac:dyDescent="0.25">
      <c r="B311" s="101">
        <f>MAX(B302:B310)+1</f>
        <v>15</v>
      </c>
      <c r="C311" s="138">
        <f>+C309+1000</f>
        <v>6000</v>
      </c>
      <c r="D311" s="135">
        <f>D$285+(D$288+D$291)*$C311</f>
        <v>4272.6399999999994</v>
      </c>
      <c r="E311" s="135">
        <f>E$285+(E$288+E$291)*$C311</f>
        <v>4363.8803338552843</v>
      </c>
      <c r="F311" s="135">
        <f>E311-D311</f>
        <v>91.240333855284916</v>
      </c>
      <c r="G311" s="136">
        <f>F311/D311</f>
        <v>2.1354556867717599E-2</v>
      </c>
    </row>
    <row r="312" spans="2:7" x14ac:dyDescent="0.25">
      <c r="B312" s="101">
        <f>MAX(B303:B311)+1</f>
        <v>16</v>
      </c>
      <c r="C312" s="138">
        <f>+C311+1000</f>
        <v>7000</v>
      </c>
      <c r="D312" s="135">
        <f t="shared" ref="D312:E315" si="27">D$285+(D$288+D$291)*$C312</f>
        <v>4957.579999999999</v>
      </c>
      <c r="E312" s="135">
        <f t="shared" si="27"/>
        <v>5064.0270561644984</v>
      </c>
      <c r="F312" s="135">
        <f>E312-D312</f>
        <v>106.44705616449937</v>
      </c>
      <c r="G312" s="136">
        <f>F312/D312</f>
        <v>2.1471576084399927E-2</v>
      </c>
    </row>
    <row r="313" spans="2:7" x14ac:dyDescent="0.25">
      <c r="B313" s="101">
        <f>MAX(B304:B312)+1</f>
        <v>17</v>
      </c>
      <c r="C313" s="138">
        <f>+C312+1000</f>
        <v>8000</v>
      </c>
      <c r="D313" s="135">
        <f t="shared" si="27"/>
        <v>5642.5199999999986</v>
      </c>
      <c r="E313" s="135">
        <f t="shared" si="27"/>
        <v>5764.1737784737124</v>
      </c>
      <c r="F313" s="135">
        <f>E313-D313</f>
        <v>121.65377847371383</v>
      </c>
      <c r="G313" s="136">
        <f>F313/D313</f>
        <v>2.1560185603899298E-2</v>
      </c>
    </row>
    <row r="314" spans="2:7" x14ac:dyDescent="0.25">
      <c r="B314" s="101">
        <f>MAX(B305:B313)+1</f>
        <v>18</v>
      </c>
      <c r="C314" s="138">
        <f>+C313+1000</f>
        <v>9000</v>
      </c>
      <c r="D314" s="135">
        <f t="shared" si="27"/>
        <v>6327.4599999999991</v>
      </c>
      <c r="E314" s="135">
        <f t="shared" si="27"/>
        <v>6464.3205007829265</v>
      </c>
      <c r="F314" s="135">
        <f>E314-D314</f>
        <v>136.86050078292737</v>
      </c>
      <c r="G314" s="136">
        <f>F314/D314</f>
        <v>2.1629611373746714E-2</v>
      </c>
    </row>
    <row r="315" spans="2:7" x14ac:dyDescent="0.25">
      <c r="B315" s="101">
        <f>MAX(B306:B314)+1</f>
        <v>19</v>
      </c>
      <c r="C315" s="138">
        <f>+C314+1000</f>
        <v>10000</v>
      </c>
      <c r="D315" s="135">
        <f t="shared" si="27"/>
        <v>7012.3999999999987</v>
      </c>
      <c r="E315" s="135">
        <f t="shared" si="27"/>
        <v>7164.4672230921406</v>
      </c>
      <c r="F315" s="135">
        <f>E315-D315</f>
        <v>152.06722309214183</v>
      </c>
      <c r="G315" s="136">
        <f>F315/D315</f>
        <v>2.1685474743617286E-2</v>
      </c>
    </row>
    <row r="316" spans="2:7" x14ac:dyDescent="0.25">
      <c r="B316" s="101"/>
      <c r="C316" s="138"/>
      <c r="D316" s="135"/>
      <c r="E316" s="135"/>
      <c r="F316" s="135"/>
      <c r="G316" s="136"/>
    </row>
    <row r="317" spans="2:7" x14ac:dyDescent="0.25">
      <c r="B317" s="101">
        <f>MAX(B308:B316)+1</f>
        <v>20</v>
      </c>
      <c r="C317" s="138">
        <f>+C315+1000</f>
        <v>11000</v>
      </c>
      <c r="D317" s="135">
        <f>D$285+(D$288+D$291)*$C317</f>
        <v>7697.3399999999983</v>
      </c>
      <c r="E317" s="135">
        <f>E$285+(E$288+E$291)*$C317</f>
        <v>7864.6139454013546</v>
      </c>
      <c r="F317" s="135">
        <f>E317-D317</f>
        <v>167.27394540135629</v>
      </c>
      <c r="G317" s="136">
        <f>F317/D317</f>
        <v>2.1731396222767388E-2</v>
      </c>
    </row>
    <row r="318" spans="2:7" x14ac:dyDescent="0.25">
      <c r="B318" s="101">
        <f>MAX(B309:B317)+1</f>
        <v>21</v>
      </c>
      <c r="C318" s="138">
        <f>+C317+1000</f>
        <v>12000</v>
      </c>
      <c r="D318" s="135">
        <f t="shared" ref="D318:E321" si="28">D$285+(D$288+D$291)*$C318</f>
        <v>8382.2799999999988</v>
      </c>
      <c r="E318" s="135">
        <f t="shared" si="28"/>
        <v>8564.7606677105687</v>
      </c>
      <c r="F318" s="135">
        <f>E318-D318</f>
        <v>182.48066771056983</v>
      </c>
      <c r="G318" s="136">
        <f>F318/D318</f>
        <v>2.1769812951914019E-2</v>
      </c>
    </row>
    <row r="319" spans="2:7" x14ac:dyDescent="0.25">
      <c r="B319" s="101">
        <f>MAX(B310:B318)+1</f>
        <v>22</v>
      </c>
      <c r="C319" s="138">
        <f>+C318+1000</f>
        <v>13000</v>
      </c>
      <c r="D319" s="135">
        <f t="shared" si="28"/>
        <v>9067.2199999999993</v>
      </c>
      <c r="E319" s="135">
        <f t="shared" si="28"/>
        <v>9264.9073900197818</v>
      </c>
      <c r="F319" s="135">
        <f>E319-D319</f>
        <v>197.68739001978247</v>
      </c>
      <c r="G319" s="136">
        <f>F319/D319</f>
        <v>2.1802425662968639E-2</v>
      </c>
    </row>
    <row r="320" spans="2:7" x14ac:dyDescent="0.25">
      <c r="B320" s="101">
        <f>MAX(B311:B319)+1</f>
        <v>23</v>
      </c>
      <c r="C320" s="138">
        <f>+C319+1000</f>
        <v>14000</v>
      </c>
      <c r="D320" s="135">
        <f t="shared" si="28"/>
        <v>9752.159999999998</v>
      </c>
      <c r="E320" s="135">
        <f t="shared" si="28"/>
        <v>9965.0541123289968</v>
      </c>
      <c r="F320" s="135">
        <f>E320-D320</f>
        <v>212.89411232899874</v>
      </c>
      <c r="G320" s="136">
        <f>F320/D320</f>
        <v>2.183045728628312E-2</v>
      </c>
    </row>
    <row r="321" spans="2:7" x14ac:dyDescent="0.25">
      <c r="B321" s="101">
        <f>MAX(B312:B320)+1</f>
        <v>24</v>
      </c>
      <c r="C321" s="138">
        <f>+C320+1000</f>
        <v>15000</v>
      </c>
      <c r="D321" s="135">
        <f t="shared" si="28"/>
        <v>10437.099999999999</v>
      </c>
      <c r="E321" s="135">
        <f t="shared" si="28"/>
        <v>10665.20083463821</v>
      </c>
      <c r="F321" s="135">
        <f>E321-D321</f>
        <v>228.10083463821138</v>
      </c>
      <c r="G321" s="136">
        <f>F321/D321</f>
        <v>2.1854809730500944E-2</v>
      </c>
    </row>
    <row r="322" spans="2:7" x14ac:dyDescent="0.25">
      <c r="B322" s="101"/>
      <c r="C322" s="138"/>
      <c r="D322" s="135"/>
      <c r="E322" s="135"/>
      <c r="F322" s="135"/>
      <c r="G322" s="136"/>
    </row>
    <row r="323" spans="2:7" x14ac:dyDescent="0.25">
      <c r="B323" s="101">
        <f>MAX(B314:B322)+1</f>
        <v>25</v>
      </c>
      <c r="C323" s="138">
        <f>+C321+2000</f>
        <v>17000</v>
      </c>
      <c r="D323" s="135">
        <f>D$285+(D$288+D$291)*$C323</f>
        <v>11806.979999999998</v>
      </c>
      <c r="E323" s="135">
        <f>E$285+(E$288+E$291)*$C323</f>
        <v>12065.494279256638</v>
      </c>
      <c r="F323" s="135">
        <f>E323-D323</f>
        <v>258.51427925664029</v>
      </c>
      <c r="G323" s="136">
        <f>F323/D323</f>
        <v>2.1895038295706468E-2</v>
      </c>
    </row>
    <row r="324" spans="2:7" x14ac:dyDescent="0.25">
      <c r="B324" s="101">
        <f>MAX(B315:B323)+1</f>
        <v>26</v>
      </c>
      <c r="C324" s="138">
        <f>+C323+2000</f>
        <v>19000</v>
      </c>
      <c r="D324" s="135">
        <f t="shared" ref="D324:E327" si="29">D$285+(D$288+D$291)*$C324</f>
        <v>13176.859999999997</v>
      </c>
      <c r="E324" s="135">
        <f t="shared" si="29"/>
        <v>13465.787723875066</v>
      </c>
      <c r="F324" s="135">
        <f>E324-D324</f>
        <v>288.9277238750692</v>
      </c>
      <c r="G324" s="136">
        <f>F324/D324</f>
        <v>2.1926902454383616E-2</v>
      </c>
    </row>
    <row r="325" spans="2:7" x14ac:dyDescent="0.25">
      <c r="B325" s="101">
        <f>MAX(B316:B324)+1</f>
        <v>27</v>
      </c>
      <c r="C325" s="138">
        <f>+C324+2000</f>
        <v>21000</v>
      </c>
      <c r="D325" s="135">
        <f t="shared" si="29"/>
        <v>14546.739999999998</v>
      </c>
      <c r="E325" s="135">
        <f t="shared" si="29"/>
        <v>14866.081168493494</v>
      </c>
      <c r="F325" s="135">
        <f>E325-D325</f>
        <v>319.3411684934963</v>
      </c>
      <c r="G325" s="136">
        <f>F325/D325</f>
        <v>2.195276525829817E-2</v>
      </c>
    </row>
    <row r="326" spans="2:7" x14ac:dyDescent="0.25">
      <c r="B326" s="101">
        <f>MAX(B317:B325)+1</f>
        <v>28</v>
      </c>
      <c r="C326" s="138">
        <f>+C325+2000</f>
        <v>23000</v>
      </c>
      <c r="D326" s="135">
        <f t="shared" si="29"/>
        <v>15916.619999999997</v>
      </c>
      <c r="E326" s="135">
        <f t="shared" si="29"/>
        <v>16266.374613111922</v>
      </c>
      <c r="F326" s="135">
        <f>E326-D326</f>
        <v>349.75461311192521</v>
      </c>
      <c r="G326" s="136">
        <f>F326/D326</f>
        <v>2.1974176245454453E-2</v>
      </c>
    </row>
    <row r="327" spans="2:7" x14ac:dyDescent="0.25">
      <c r="B327" s="101">
        <f>MAX(B319:B326)+1</f>
        <v>29</v>
      </c>
      <c r="C327" s="138">
        <f>+C326+2000</f>
        <v>25000</v>
      </c>
      <c r="D327" s="135">
        <f t="shared" si="29"/>
        <v>17286.499999999996</v>
      </c>
      <c r="E327" s="135">
        <f t="shared" si="29"/>
        <v>17666.668057730352</v>
      </c>
      <c r="F327" s="135">
        <f>E327-D327</f>
        <v>380.16805773035594</v>
      </c>
      <c r="G327" s="136">
        <f>F327/D327</f>
        <v>2.1992193777245598E-2</v>
      </c>
    </row>
    <row r="328" spans="2:7" x14ac:dyDescent="0.25">
      <c r="C328" s="138"/>
      <c r="D328" s="135"/>
      <c r="E328" s="135"/>
      <c r="F328" s="135"/>
      <c r="G328" s="136"/>
    </row>
    <row r="329" spans="2:7" x14ac:dyDescent="0.25">
      <c r="B329" s="101">
        <f>MAX(B320:B327)+1</f>
        <v>30</v>
      </c>
      <c r="C329" s="138">
        <f>+C327+5000</f>
        <v>30000</v>
      </c>
      <c r="D329" s="135">
        <f t="shared" ref="D329:E333" si="30">D$285+(D$291*$C329)+D$289*($C329-$J$288)+D$288*$J$288</f>
        <v>20711.2</v>
      </c>
      <c r="E329" s="135">
        <f t="shared" si="30"/>
        <v>21167.401669276423</v>
      </c>
      <c r="F329" s="135">
        <f>E329-D329</f>
        <v>456.20166927642276</v>
      </c>
      <c r="G329" s="136">
        <f>F329/D329</f>
        <v>2.2026810096779655E-2</v>
      </c>
    </row>
    <row r="330" spans="2:7" x14ac:dyDescent="0.25">
      <c r="B330" s="101">
        <f>MAX(B321:B329)+1</f>
        <v>31</v>
      </c>
      <c r="C330" s="138">
        <f>+C329+5000</f>
        <v>35000</v>
      </c>
      <c r="D330" s="135">
        <f t="shared" si="30"/>
        <v>23828.549999999996</v>
      </c>
      <c r="E330" s="135">
        <f t="shared" si="30"/>
        <v>24308.645766077545</v>
      </c>
      <c r="F330" s="135">
        <f>E330-D330</f>
        <v>480.09576607754934</v>
      </c>
      <c r="G330" s="136">
        <f>F330/D330</f>
        <v>2.0147921970810202E-2</v>
      </c>
    </row>
    <row r="331" spans="2:7" x14ac:dyDescent="0.25">
      <c r="B331" s="101">
        <f>MAX(B322:B330)+1</f>
        <v>32</v>
      </c>
      <c r="C331" s="138">
        <f>+C330+5000</f>
        <v>40000</v>
      </c>
      <c r="D331" s="135">
        <f t="shared" si="30"/>
        <v>26945.899999999998</v>
      </c>
      <c r="E331" s="135">
        <f t="shared" si="30"/>
        <v>27449.88986287867</v>
      </c>
      <c r="F331" s="135">
        <f>E331-D331</f>
        <v>503.98986287867228</v>
      </c>
      <c r="G331" s="136">
        <f>F331/D331</f>
        <v>1.8703768026997514E-2</v>
      </c>
    </row>
    <row r="332" spans="2:7" x14ac:dyDescent="0.25">
      <c r="B332" s="101">
        <f>MAX(B323:B331)+1</f>
        <v>33</v>
      </c>
      <c r="C332" s="138">
        <f>+C331+5000</f>
        <v>45000</v>
      </c>
      <c r="D332" s="135">
        <f t="shared" si="30"/>
        <v>30063.249999999996</v>
      </c>
      <c r="E332" s="135">
        <f t="shared" si="30"/>
        <v>30591.133959679795</v>
      </c>
      <c r="F332" s="135">
        <f>E332-D332</f>
        <v>527.88395967979886</v>
      </c>
      <c r="G332" s="136">
        <f>F332/D332</f>
        <v>1.755911152918593E-2</v>
      </c>
    </row>
    <row r="333" spans="2:7" x14ac:dyDescent="0.25">
      <c r="B333" s="101">
        <f>MAX(B325:B332)+1</f>
        <v>34</v>
      </c>
      <c r="C333" s="138">
        <f>+C332+5000</f>
        <v>50000</v>
      </c>
      <c r="D333" s="135">
        <f t="shared" si="30"/>
        <v>33180.6</v>
      </c>
      <c r="E333" s="135">
        <f t="shared" si="30"/>
        <v>33732.378056480913</v>
      </c>
      <c r="F333" s="135">
        <f>E333-D333</f>
        <v>551.77805648091453</v>
      </c>
      <c r="G333" s="136">
        <f>F333/D333</f>
        <v>1.662953823863687E-2</v>
      </c>
    </row>
    <row r="334" spans="2:7" x14ac:dyDescent="0.25">
      <c r="C334" s="138"/>
      <c r="D334" s="135"/>
      <c r="E334" s="135"/>
      <c r="F334" s="135"/>
      <c r="G334" s="136"/>
    </row>
    <row r="335" spans="2:7" x14ac:dyDescent="0.25">
      <c r="B335" s="101">
        <f>MAX(B326:B333)+1</f>
        <v>35</v>
      </c>
      <c r="C335" s="138">
        <f>+C333+10000</f>
        <v>60000</v>
      </c>
      <c r="D335" s="135">
        <f t="shared" ref="D335:E339" si="31">D$285+(D$291*$C335)+D$289*($C335-$J$288)+D$288*$J$288</f>
        <v>39415.299999999996</v>
      </c>
      <c r="E335" s="135">
        <f t="shared" si="31"/>
        <v>40014.866250083171</v>
      </c>
      <c r="F335" s="135">
        <f>E335-D335</f>
        <v>599.56625008317496</v>
      </c>
      <c r="G335" s="136">
        <f>F335/D335</f>
        <v>1.5211510506914194E-2</v>
      </c>
    </row>
    <row r="336" spans="2:7" x14ac:dyDescent="0.25">
      <c r="B336" s="101">
        <f>MAX(B327:B335)+1</f>
        <v>36</v>
      </c>
      <c r="C336" s="138">
        <f>+C335+10000</f>
        <v>70000</v>
      </c>
      <c r="D336" s="135">
        <f t="shared" si="31"/>
        <v>45649.999999999993</v>
      </c>
      <c r="E336" s="135">
        <f t="shared" si="31"/>
        <v>46297.354443685414</v>
      </c>
      <c r="F336" s="135">
        <f>E336-D336</f>
        <v>647.35444368542085</v>
      </c>
      <c r="G336" s="136">
        <f>F336/D336</f>
        <v>1.4180820234072748E-2</v>
      </c>
    </row>
    <row r="337" spans="1:8" x14ac:dyDescent="0.25">
      <c r="B337" s="101">
        <f>MAX(B327:B336)+1</f>
        <v>37</v>
      </c>
      <c r="C337" s="138">
        <f>+C336+10000</f>
        <v>80000</v>
      </c>
      <c r="D337" s="135">
        <f t="shared" si="31"/>
        <v>51884.69999999999</v>
      </c>
      <c r="E337" s="135">
        <f t="shared" si="31"/>
        <v>52579.842637287657</v>
      </c>
      <c r="F337" s="135">
        <f>E337-D337</f>
        <v>695.14263728766673</v>
      </c>
      <c r="G337" s="136">
        <f>F337/D337</f>
        <v>1.3397834762225991E-2</v>
      </c>
    </row>
    <row r="338" spans="1:8" x14ac:dyDescent="0.25">
      <c r="B338" s="101">
        <f>MAX(B329:B337)+1</f>
        <v>38</v>
      </c>
      <c r="C338" s="138">
        <f>+C337+10000</f>
        <v>90000</v>
      </c>
      <c r="D338" s="135">
        <f t="shared" si="31"/>
        <v>58119.399999999987</v>
      </c>
      <c r="E338" s="135">
        <f t="shared" si="31"/>
        <v>58862.330830889914</v>
      </c>
      <c r="F338" s="135">
        <f>E338-D338</f>
        <v>742.93083088992717</v>
      </c>
      <c r="G338" s="136">
        <f>F338/D338</f>
        <v>1.2782837243500919E-2</v>
      </c>
    </row>
    <row r="339" spans="1:8" x14ac:dyDescent="0.25">
      <c r="B339" s="101">
        <f>MAX(B331:B338)+1</f>
        <v>39</v>
      </c>
      <c r="C339" s="138">
        <f>+C338+10000</f>
        <v>100000</v>
      </c>
      <c r="D339" s="135">
        <f t="shared" si="31"/>
        <v>64354.099999999991</v>
      </c>
      <c r="E339" s="135">
        <f t="shared" si="31"/>
        <v>65144.819024492157</v>
      </c>
      <c r="F339" s="135">
        <f>E339-D339</f>
        <v>790.71902449216577</v>
      </c>
      <c r="G339" s="136">
        <f>F339/D339</f>
        <v>1.2287003073497506E-2</v>
      </c>
    </row>
    <row r="340" spans="1:8" x14ac:dyDescent="0.25">
      <c r="C340" s="138"/>
      <c r="D340" s="135"/>
      <c r="E340" s="135"/>
      <c r="F340" s="135"/>
      <c r="G340" s="136"/>
    </row>
    <row r="341" spans="1:8" x14ac:dyDescent="0.25">
      <c r="B341" s="101">
        <f>MAX(B332:B339)+1</f>
        <v>40</v>
      </c>
      <c r="C341" s="138">
        <f>+C339+15000</f>
        <v>115000</v>
      </c>
      <c r="D341" s="135">
        <f t="shared" ref="D341:E346" si="32">D$285+(D$291*$C341)+D$289*($C341-$J$288)+D$288*$J$288</f>
        <v>73706.149999999994</v>
      </c>
      <c r="E341" s="135">
        <f t="shared" si="32"/>
        <v>74568.551314895551</v>
      </c>
      <c r="F341" s="135">
        <f t="shared" ref="F341:F346" si="33">E341-D341</f>
        <v>862.40131489555642</v>
      </c>
      <c r="G341" s="136">
        <f t="shared" ref="G341:G346" si="34">F341/D341</f>
        <v>1.1700534011009346E-2</v>
      </c>
    </row>
    <row r="342" spans="1:8" x14ac:dyDescent="0.25">
      <c r="B342" s="101">
        <f>MAX(B333:B341)+1</f>
        <v>41</v>
      </c>
      <c r="C342" s="138">
        <f>+C341+15000</f>
        <v>130000</v>
      </c>
      <c r="D342" s="135">
        <f t="shared" si="32"/>
        <v>83058.199999999983</v>
      </c>
      <c r="E342" s="135">
        <f t="shared" si="32"/>
        <v>83992.283605298901</v>
      </c>
      <c r="F342" s="135">
        <f t="shared" si="33"/>
        <v>934.08360529891797</v>
      </c>
      <c r="G342" s="136">
        <f t="shared" si="34"/>
        <v>1.1246133497943829E-2</v>
      </c>
    </row>
    <row r="343" spans="1:8" x14ac:dyDescent="0.25">
      <c r="B343" s="101">
        <f>MAX(B333:B342)+1</f>
        <v>42</v>
      </c>
      <c r="C343" s="138">
        <f>+C342+15000</f>
        <v>145000</v>
      </c>
      <c r="D343" s="135">
        <f t="shared" si="32"/>
        <v>92410.249999999985</v>
      </c>
      <c r="E343" s="135">
        <f t="shared" si="32"/>
        <v>93416.01589570228</v>
      </c>
      <c r="F343" s="135">
        <f t="shared" si="33"/>
        <v>1005.7658957022941</v>
      </c>
      <c r="G343" s="136">
        <f t="shared" si="34"/>
        <v>1.0883704953750198E-2</v>
      </c>
    </row>
    <row r="344" spans="1:8" x14ac:dyDescent="0.25">
      <c r="B344" s="101">
        <f>MAX(B335:B343)+1</f>
        <v>43</v>
      </c>
      <c r="C344" s="138">
        <f>+C343+15000</f>
        <v>160000</v>
      </c>
      <c r="D344" s="135">
        <f t="shared" si="32"/>
        <v>101762.29999999999</v>
      </c>
      <c r="E344" s="135">
        <f t="shared" si="32"/>
        <v>102839.74818610566</v>
      </c>
      <c r="F344" s="135">
        <f t="shared" si="33"/>
        <v>1077.4481861056702</v>
      </c>
      <c r="G344" s="136">
        <f t="shared" si="34"/>
        <v>1.0587891450032775E-2</v>
      </c>
    </row>
    <row r="345" spans="1:8" x14ac:dyDescent="0.25">
      <c r="B345" s="101">
        <f>MAX(B336:B344)+1</f>
        <v>44</v>
      </c>
      <c r="C345" s="138">
        <f>+C344+15000</f>
        <v>175000</v>
      </c>
      <c r="D345" s="135">
        <f t="shared" si="32"/>
        <v>111114.34999999998</v>
      </c>
      <c r="E345" s="135">
        <f t="shared" si="32"/>
        <v>112263.48047650902</v>
      </c>
      <c r="F345" s="135">
        <f t="shared" si="33"/>
        <v>1149.1304765090463</v>
      </c>
      <c r="G345" s="136">
        <f t="shared" si="34"/>
        <v>1.0341872822988629E-2</v>
      </c>
    </row>
    <row r="346" spans="1:8" hidden="1" outlineLevel="1" x14ac:dyDescent="0.25">
      <c r="A346" s="2" t="str">
        <f>$A$1</f>
        <v>Cascade Natural Gas Corporation</v>
      </c>
      <c r="C346" s="138">
        <f>+C345+15000</f>
        <v>190000</v>
      </c>
      <c r="D346" s="135">
        <f t="shared" si="32"/>
        <v>120466.39999999998</v>
      </c>
      <c r="E346" s="135">
        <f t="shared" si="32"/>
        <v>121687.2127669124</v>
      </c>
      <c r="F346" s="135">
        <f t="shared" si="33"/>
        <v>1220.8127669124224</v>
      </c>
      <c r="G346" s="136">
        <f t="shared" si="34"/>
        <v>1.0134052042000281E-2</v>
      </c>
      <c r="H346" s="33" t="str">
        <f>$H$1</f>
        <v xml:space="preserve"> </v>
      </c>
    </row>
    <row r="347" spans="1:8" hidden="1" outlineLevel="1" x14ac:dyDescent="0.25">
      <c r="A347" s="2" t="str">
        <f>$A$2</f>
        <v>Washington Jurisdiction</v>
      </c>
      <c r="H347" s="33"/>
    </row>
    <row r="348" spans="1:8" hidden="1" outlineLevel="1" x14ac:dyDescent="0.25">
      <c r="A348" s="2" t="str">
        <f>$A$3</f>
        <v>Test Year Ended December 31, 2019</v>
      </c>
      <c r="H348" s="34" t="str">
        <f>$H$3</f>
        <v xml:space="preserve"> </v>
      </c>
    </row>
    <row r="349" spans="1:8" hidden="1" outlineLevel="1" x14ac:dyDescent="0.25">
      <c r="A349" s="2"/>
    </row>
    <row r="350" spans="1:8" hidden="1" outlineLevel="1" x14ac:dyDescent="0.25">
      <c r="B350" s="100" t="str">
        <f>'Exh 18, Class Rates'!C36</f>
        <v>Non-Core Industrial 663</v>
      </c>
    </row>
    <row r="351" spans="1:8" hidden="1" outlineLevel="1" x14ac:dyDescent="0.25"/>
    <row r="352" spans="1:8" hidden="1" outlineLevel="1" x14ac:dyDescent="0.25">
      <c r="B352" s="101" t="s">
        <v>54</v>
      </c>
    </row>
    <row r="353" spans="2:10" ht="17.25" hidden="1" outlineLevel="1" x14ac:dyDescent="0.4">
      <c r="B353" s="102" t="s">
        <v>55</v>
      </c>
      <c r="C353" s="102" t="s">
        <v>56</v>
      </c>
      <c r="D353" s="102" t="s">
        <v>57</v>
      </c>
      <c r="E353" s="102" t="s">
        <v>59</v>
      </c>
      <c r="F353" s="102" t="s">
        <v>60</v>
      </c>
      <c r="G353" s="102" t="s">
        <v>61</v>
      </c>
    </row>
    <row r="354" spans="2:10" hidden="1" outlineLevel="1" x14ac:dyDescent="0.25">
      <c r="B354" s="101"/>
      <c r="C354" s="103"/>
      <c r="D354" s="105" t="s">
        <v>62</v>
      </c>
      <c r="E354" s="106" t="s">
        <v>10</v>
      </c>
    </row>
    <row r="355" spans="2:10" ht="17.25" hidden="1" outlineLevel="1" x14ac:dyDescent="0.4">
      <c r="B355" s="101"/>
      <c r="C355" s="76"/>
      <c r="D355" s="102" t="s">
        <v>63</v>
      </c>
      <c r="E355" s="107" t="s">
        <v>63</v>
      </c>
    </row>
    <row r="356" spans="2:10" hidden="1" outlineLevel="1" x14ac:dyDescent="0.25">
      <c r="B356" s="101">
        <f>MAX(B347:B355)+1</f>
        <v>1</v>
      </c>
      <c r="C356" s="76" t="s">
        <v>14</v>
      </c>
      <c r="D356" s="110">
        <f>'Exh 18, Class Rates'!$E$37</f>
        <v>625</v>
      </c>
      <c r="E356" s="111">
        <f>'Exh 18, Class Rates'!$H$37</f>
        <v>625</v>
      </c>
    </row>
    <row r="357" spans="2:10" hidden="1" outlineLevel="1" x14ac:dyDescent="0.25">
      <c r="B357" s="101">
        <f t="shared" ref="B357:B368" si="35">MAX(B348:B356)+1</f>
        <v>2</v>
      </c>
      <c r="C357" s="76" t="s">
        <v>112</v>
      </c>
      <c r="D357" s="141" t="s">
        <v>19</v>
      </c>
      <c r="E357" s="113">
        <f>'Exh 18, Class Rates'!$H$38</f>
        <v>0.2</v>
      </c>
    </row>
    <row r="358" spans="2:10" hidden="1" outlineLevel="1" x14ac:dyDescent="0.25">
      <c r="B358" s="101"/>
      <c r="C358" s="76"/>
      <c r="D358" s="110"/>
      <c r="E358" s="111"/>
    </row>
    <row r="359" spans="2:10" hidden="1" outlineLevel="1" x14ac:dyDescent="0.25">
      <c r="B359" s="101">
        <f t="shared" si="35"/>
        <v>3</v>
      </c>
      <c r="C359" s="76" t="s">
        <v>15</v>
      </c>
      <c r="D359" s="110"/>
      <c r="E359" s="111"/>
    </row>
    <row r="360" spans="2:10" hidden="1" outlineLevel="1" x14ac:dyDescent="0.25">
      <c r="B360" s="101">
        <f t="shared" si="35"/>
        <v>4</v>
      </c>
      <c r="C360" s="54" t="s">
        <v>113</v>
      </c>
      <c r="D360" s="79">
        <f>'Exh 18, Class Rates'!$E$39</f>
        <v>4.0000000000000002E-4</v>
      </c>
      <c r="E360" s="113">
        <f>'Exh 18, Class Rates'!$H$39</f>
        <v>4.0000000000000002E-4</v>
      </c>
      <c r="J360" s="142">
        <v>10000</v>
      </c>
    </row>
    <row r="361" spans="2:10" hidden="1" outlineLevel="1" x14ac:dyDescent="0.25">
      <c r="B361" s="101">
        <f t="shared" si="35"/>
        <v>5</v>
      </c>
      <c r="C361" s="54" t="s">
        <v>114</v>
      </c>
      <c r="D361" s="79">
        <f>'Exh 18, Class Rates'!$E$40</f>
        <v>5.9889999999999999E-2</v>
      </c>
      <c r="E361" s="113">
        <f>'Exh 18, Class Rates'!$H$40</f>
        <v>7.0049868352285063E-2</v>
      </c>
      <c r="J361" s="143">
        <v>10000</v>
      </c>
    </row>
    <row r="362" spans="2:10" hidden="1" outlineLevel="1" x14ac:dyDescent="0.25">
      <c r="B362" s="101">
        <f t="shared" si="35"/>
        <v>6</v>
      </c>
      <c r="C362" s="54" t="s">
        <v>115</v>
      </c>
      <c r="D362" s="79">
        <f>'Exh 18, Class Rates'!$E$41</f>
        <v>2.3029999999999998E-2</v>
      </c>
      <c r="E362" s="113">
        <f>'Exh 18, Class Rates'!$H$41</f>
        <v>2.6936858710187427E-2</v>
      </c>
      <c r="J362" s="143">
        <v>30000</v>
      </c>
    </row>
    <row r="363" spans="2:10" hidden="1" outlineLevel="1" x14ac:dyDescent="0.25">
      <c r="B363" s="101">
        <f t="shared" si="35"/>
        <v>7</v>
      </c>
      <c r="C363" s="54" t="s">
        <v>116</v>
      </c>
      <c r="D363" s="79">
        <f>'Exh 18, Class Rates'!$E$42</f>
        <v>1.473E-2</v>
      </c>
      <c r="E363" s="113">
        <f>'Exh 18, Class Rates'!$H$42</f>
        <v>1.7228828866741677E-2</v>
      </c>
      <c r="J363" s="143">
        <v>50000</v>
      </c>
    </row>
    <row r="364" spans="2:10" hidden="1" outlineLevel="1" x14ac:dyDescent="0.25">
      <c r="B364" s="101">
        <f t="shared" si="35"/>
        <v>8</v>
      </c>
      <c r="C364" s="54" t="s">
        <v>117</v>
      </c>
      <c r="D364" s="79" t="e">
        <f>'Exh 18, Class Rates'!#REF!</f>
        <v>#REF!</v>
      </c>
      <c r="E364" s="113" t="e">
        <f>'Exh 18, Class Rates'!#REF!</f>
        <v>#REF!</v>
      </c>
      <c r="J364" s="144">
        <v>400000</v>
      </c>
    </row>
    <row r="365" spans="2:10" hidden="1" outlineLevel="1" x14ac:dyDescent="0.25">
      <c r="B365" s="101">
        <f t="shared" si="35"/>
        <v>9</v>
      </c>
      <c r="C365" s="54" t="s">
        <v>118</v>
      </c>
      <c r="D365" s="79">
        <f>'Exh 18, Class Rates'!$E$43</f>
        <v>7.9799999999999992E-3</v>
      </c>
      <c r="E365" s="113">
        <f>'Exh 18, Class Rates'!$H$43</f>
        <v>9.3337443555056732E-3</v>
      </c>
    </row>
    <row r="366" spans="2:10" hidden="1" outlineLevel="1" x14ac:dyDescent="0.25">
      <c r="B366" s="101">
        <f t="shared" si="35"/>
        <v>10</v>
      </c>
      <c r="C366" s="54" t="s">
        <v>119</v>
      </c>
      <c r="D366" s="79" t="e">
        <f>'Exh 18, Class Rates'!#REF!</f>
        <v>#REF!</v>
      </c>
      <c r="E366" s="113" t="e">
        <f>'Exh 18, Class Rates'!#REF!</f>
        <v>#REF!</v>
      </c>
    </row>
    <row r="367" spans="2:10" hidden="1" outlineLevel="1" x14ac:dyDescent="0.25">
      <c r="B367" s="101"/>
      <c r="C367" s="76"/>
      <c r="D367" s="110"/>
      <c r="E367" s="52"/>
    </row>
    <row r="368" spans="2:10" hidden="1" outlineLevel="1" x14ac:dyDescent="0.25">
      <c r="B368" s="101">
        <f t="shared" si="35"/>
        <v>11</v>
      </c>
      <c r="C368" s="114" t="s">
        <v>102</v>
      </c>
      <c r="D368" s="116">
        <v>0</v>
      </c>
      <c r="E368" s="117">
        <f>D368</f>
        <v>0</v>
      </c>
    </row>
    <row r="369" spans="2:8" hidden="1" outlineLevel="1" x14ac:dyDescent="0.25">
      <c r="B369" s="101"/>
    </row>
    <row r="370" spans="2:8" hidden="1" outlineLevel="1" x14ac:dyDescent="0.25">
      <c r="B370" s="101"/>
      <c r="C370" s="101"/>
      <c r="D370" s="101"/>
      <c r="E370" s="101"/>
    </row>
    <row r="371" spans="2:8" ht="17.25" hidden="1" outlineLevel="1" x14ac:dyDescent="0.4">
      <c r="B371" s="101"/>
      <c r="C371" s="101" t="s">
        <v>98</v>
      </c>
      <c r="D371" s="101" t="s">
        <v>112</v>
      </c>
      <c r="E371" s="101" t="s">
        <v>75</v>
      </c>
      <c r="F371" s="101" t="s">
        <v>75</v>
      </c>
      <c r="G371" s="118" t="s">
        <v>99</v>
      </c>
      <c r="H371" s="118"/>
    </row>
    <row r="372" spans="2:8" ht="17.25" hidden="1" outlineLevel="1" x14ac:dyDescent="0.4">
      <c r="B372" s="101"/>
      <c r="C372" s="102" t="s">
        <v>100</v>
      </c>
      <c r="D372" s="102" t="s">
        <v>100</v>
      </c>
      <c r="E372" s="102" t="s">
        <v>101</v>
      </c>
      <c r="F372" s="102" t="s">
        <v>31</v>
      </c>
      <c r="G372" s="102" t="s">
        <v>80</v>
      </c>
      <c r="H372" s="102" t="s">
        <v>81</v>
      </c>
    </row>
    <row r="373" spans="2:8" hidden="1" outlineLevel="1" x14ac:dyDescent="0.25">
      <c r="B373" s="101"/>
      <c r="D373" s="101"/>
    </row>
    <row r="374" spans="2:8" hidden="1" outlineLevel="1" x14ac:dyDescent="0.25">
      <c r="B374" s="101">
        <f>MAX(B364:B373)+1</f>
        <v>12</v>
      </c>
      <c r="C374" s="138">
        <v>0</v>
      </c>
      <c r="E374" s="135">
        <f>D$356+(D$368+D$360)*$C374</f>
        <v>625</v>
      </c>
      <c r="F374" s="135">
        <f>E$356+(E$368+E$360)*$C374</f>
        <v>625</v>
      </c>
      <c r="G374" s="135">
        <f>F374-E374</f>
        <v>0</v>
      </c>
      <c r="H374" s="136">
        <f>G374/E374</f>
        <v>0</v>
      </c>
    </row>
    <row r="375" spans="2:8" hidden="1" outlineLevel="1" x14ac:dyDescent="0.25">
      <c r="B375" s="101"/>
      <c r="C375" s="138"/>
      <c r="E375" s="135"/>
      <c r="F375" s="135"/>
      <c r="G375" s="135"/>
      <c r="H375" s="136"/>
    </row>
    <row r="376" spans="2:8" hidden="1" outlineLevel="1" x14ac:dyDescent="0.25">
      <c r="B376" s="101">
        <f>MAX(B373:B375)+1</f>
        <v>13</v>
      </c>
      <c r="C376" s="138">
        <f>MAX(C373:C375)+2000</f>
        <v>2000</v>
      </c>
      <c r="D376" s="101"/>
      <c r="E376" s="135">
        <f>D$356+(D$368+D$360)*$C376</f>
        <v>625.79999999999995</v>
      </c>
      <c r="F376" s="135">
        <f>E$356+(E$368+E$360)*$C376+(D376*$E$357)</f>
        <v>625.79999999999995</v>
      </c>
      <c r="G376" s="135">
        <f>F376-E376</f>
        <v>0</v>
      </c>
      <c r="H376" s="136">
        <f>G376/E376</f>
        <v>0</v>
      </c>
    </row>
    <row r="377" spans="2:8" hidden="1" outlineLevel="1" x14ac:dyDescent="0.25">
      <c r="B377" s="101">
        <f>MAX(B374:B376)+1</f>
        <v>14</v>
      </c>
      <c r="C377" s="138">
        <f>MAX(C374:C376)+2000</f>
        <v>4000</v>
      </c>
      <c r="D377" s="101"/>
      <c r="E377" s="135">
        <f>D$356+(D$368+D$360)*$C377</f>
        <v>626.6</v>
      </c>
      <c r="F377" s="135">
        <f>E$356+(E$368+E$360)*$C377+(D377*$E$357)</f>
        <v>626.6</v>
      </c>
      <c r="G377" s="135">
        <f>F377-E377</f>
        <v>0</v>
      </c>
      <c r="H377" s="136">
        <f>G377/E377</f>
        <v>0</v>
      </c>
    </row>
    <row r="378" spans="2:8" hidden="1" outlineLevel="1" x14ac:dyDescent="0.25">
      <c r="B378" s="101">
        <f>MAX(B375:B377)+1</f>
        <v>15</v>
      </c>
      <c r="C378" s="138">
        <f>MAX(C375:C377)+2000</f>
        <v>6000</v>
      </c>
      <c r="D378" s="101"/>
      <c r="E378" s="135">
        <f>D$356+(D$368+D$360)*$C378</f>
        <v>627.4</v>
      </c>
      <c r="F378" s="135">
        <f>E$356+(E$368+E$360)*$C378+(D378*$E$357)</f>
        <v>627.4</v>
      </c>
      <c r="G378" s="135">
        <f>F378-E378</f>
        <v>0</v>
      </c>
      <c r="H378" s="136">
        <f>G378/E378</f>
        <v>0</v>
      </c>
    </row>
    <row r="379" spans="2:8" hidden="1" outlineLevel="1" x14ac:dyDescent="0.25">
      <c r="B379" s="101">
        <f>MAX(B376:B378)+1</f>
        <v>16</v>
      </c>
      <c r="C379" s="138">
        <f>MAX(C376:C378)+2000</f>
        <v>8000</v>
      </c>
      <c r="D379" s="101"/>
      <c r="E379" s="135">
        <f>D$356+(D$368+D$360)*$C379</f>
        <v>628.20000000000005</v>
      </c>
      <c r="F379" s="135">
        <f>E$356+(E$368+E$360)*$C379+(D379*$E$357)</f>
        <v>628.20000000000005</v>
      </c>
      <c r="G379" s="135">
        <f>F379-E379</f>
        <v>0</v>
      </c>
      <c r="H379" s="136">
        <f>G379/E379</f>
        <v>0</v>
      </c>
    </row>
    <row r="380" spans="2:8" hidden="1" outlineLevel="1" x14ac:dyDescent="0.25">
      <c r="B380" s="101">
        <f>MAX(B376:B379)+1</f>
        <v>17</v>
      </c>
      <c r="C380" s="138">
        <f>MAX(C377:C379)+2000</f>
        <v>10000</v>
      </c>
      <c r="D380" s="101"/>
      <c r="E380" s="135">
        <f>D$356+(D$368+D$360)*$C380</f>
        <v>629</v>
      </c>
      <c r="F380" s="135">
        <f>E$356+(E$368+E$360)*$C380+(D380*$E$357)</f>
        <v>629</v>
      </c>
      <c r="G380" s="135">
        <f>F380-E380</f>
        <v>0</v>
      </c>
      <c r="H380" s="136">
        <f>G380/E380</f>
        <v>0</v>
      </c>
    </row>
    <row r="381" spans="2:8" hidden="1" outlineLevel="1" x14ac:dyDescent="0.25">
      <c r="B381" s="101"/>
      <c r="C381" s="138"/>
      <c r="E381" s="135"/>
      <c r="F381" s="135"/>
      <c r="G381" s="135"/>
      <c r="H381" s="136"/>
    </row>
    <row r="382" spans="2:8" hidden="1" outlineLevel="1" x14ac:dyDescent="0.25">
      <c r="B382" s="101">
        <f>MAX(B376:B381)+1</f>
        <v>18</v>
      </c>
      <c r="C382" s="138">
        <f>MAX(C379:C381)+2000</f>
        <v>12000</v>
      </c>
      <c r="D382" s="101"/>
      <c r="E382" s="135">
        <f>D$356+(D$368*$C382)+D$361*($C382-$J$360)+D$360*$J$360</f>
        <v>748.78</v>
      </c>
      <c r="F382" s="135">
        <f>E$356+(E$368*$C382)+E$361*($C382-$J$360)+E$360*$J$360+(D382*$E$357)</f>
        <v>769.09973670457009</v>
      </c>
      <c r="G382" s="135">
        <f>F382-E382</f>
        <v>20.319736704570118</v>
      </c>
      <c r="H382" s="136">
        <f>G382/E382</f>
        <v>2.7137125329963565E-2</v>
      </c>
    </row>
    <row r="383" spans="2:8" hidden="1" outlineLevel="1" x14ac:dyDescent="0.25">
      <c r="B383" s="101">
        <f>MAX(B376:B382)+1</f>
        <v>19</v>
      </c>
      <c r="C383" s="138">
        <f>MAX(C382:C382)+2000</f>
        <v>14000</v>
      </c>
      <c r="D383" s="101"/>
      <c r="E383" s="135">
        <f>D$356+(D$368*$C383)+D$361*($C383-$J$360)+D$360*$J$360</f>
        <v>868.56</v>
      </c>
      <c r="F383" s="135">
        <f>E$356+(E$368*$C383)+E$361*($C383-$J$360)+E$360*$J$360+(D383*$E$357)</f>
        <v>909.19947340914018</v>
      </c>
      <c r="G383" s="135">
        <f>F383-E383</f>
        <v>40.639473409140237</v>
      </c>
      <c r="H383" s="136">
        <f>G383/E383</f>
        <v>4.6789483062932027E-2</v>
      </c>
    </row>
    <row r="384" spans="2:8" hidden="1" outlineLevel="1" x14ac:dyDescent="0.25">
      <c r="B384" s="101">
        <f>MAX(B376:B383)+1</f>
        <v>20</v>
      </c>
      <c r="C384" s="138">
        <f>MAX(C383:C383)+2000</f>
        <v>16000</v>
      </c>
      <c r="D384" s="101"/>
      <c r="E384" s="135">
        <f>D$356+(D$368*$C384)+D$361*($C384-$J$360)+D$360*$J$360</f>
        <v>988.33999999999992</v>
      </c>
      <c r="F384" s="135">
        <f>E$356+(E$368*$C384)+E$361*($C384-$J$360)+E$360*$J$360+(D384*$E$357)</f>
        <v>1049.2992101137104</v>
      </c>
      <c r="G384" s="135">
        <f>F384-E384</f>
        <v>60.959210113710469</v>
      </c>
      <c r="H384" s="136">
        <f>G384/E384</f>
        <v>6.1678380024799639E-2</v>
      </c>
    </row>
    <row r="385" spans="2:8" hidden="1" outlineLevel="1" x14ac:dyDescent="0.25">
      <c r="B385" s="101">
        <f>MAX(B376:B384)+1</f>
        <v>21</v>
      </c>
      <c r="C385" s="138">
        <f>MAX(C384:C384)+2000</f>
        <v>18000</v>
      </c>
      <c r="D385" s="101"/>
      <c r="E385" s="135">
        <f>D$356+(D$368*$C385)+D$361*($C385-$J$360)+D$360*$J$360</f>
        <v>1108.1199999999999</v>
      </c>
      <c r="F385" s="135">
        <f>E$356+(E$368*$C385)+E$361*($C385-$J$360)+E$360*$J$360+(D385*$E$357)</f>
        <v>1189.3989468182804</v>
      </c>
      <c r="G385" s="135">
        <f>F385-E385</f>
        <v>81.278946818280474</v>
      </c>
      <c r="H385" s="136">
        <f>G385/E385</f>
        <v>7.3348506315453629E-2</v>
      </c>
    </row>
    <row r="386" spans="2:8" hidden="1" outlineLevel="1" x14ac:dyDescent="0.25">
      <c r="B386" s="101">
        <f>MAX(B377:B385)+1</f>
        <v>22</v>
      </c>
      <c r="C386" s="138">
        <f>MAX(C385:C385)+2000</f>
        <v>20000</v>
      </c>
      <c r="D386" s="101"/>
      <c r="E386" s="135">
        <f>D$356+(D$368*$C386)+D$361*($C386-$J$360)+D$360*$J$360</f>
        <v>1227.9000000000001</v>
      </c>
      <c r="F386" s="135">
        <f>E$356+(E$368*$C386)+E$361*($C386-$J$360)+E$360*$J$360+(D386*$E$357)</f>
        <v>1329.4986835228506</v>
      </c>
      <c r="G386" s="135">
        <f>F386-E386</f>
        <v>101.59868352285048</v>
      </c>
      <c r="H386" s="136">
        <f>G386/E386</f>
        <v>8.2741822235402288E-2</v>
      </c>
    </row>
    <row r="387" spans="2:8" hidden="1" outlineLevel="1" x14ac:dyDescent="0.25">
      <c r="B387" s="101"/>
      <c r="C387" s="138"/>
      <c r="E387" s="135"/>
      <c r="F387" s="135"/>
      <c r="G387" s="135"/>
      <c r="H387" s="136"/>
    </row>
    <row r="388" spans="2:8" hidden="1" outlineLevel="1" x14ac:dyDescent="0.25">
      <c r="B388" s="101">
        <f>MAX(B385:B387)+1</f>
        <v>23</v>
      </c>
      <c r="C388" s="138">
        <f>MAX(C386:C387)+5000</f>
        <v>25000</v>
      </c>
      <c r="D388" s="101"/>
      <c r="E388" s="135">
        <f t="shared" ref="E388:E393" si="36">D$356+(D$368*$C388)+D$362*($C388-$J$360-$J$361)+D$360*$J$360+D$361*$J$361</f>
        <v>1343.05</v>
      </c>
      <c r="F388" s="135">
        <f t="shared" ref="F388:F393" si="37">E$356+(E$368*$C388)+E$362*($C388-$J$360-$J$361)+E$360*$J$360+E$361*$J$361+(D388*$E$357)</f>
        <v>1464.1829770737877</v>
      </c>
      <c r="G388" s="135">
        <f t="shared" ref="G388:G393" si="38">F388-E388</f>
        <v>121.13297707378774</v>
      </c>
      <c r="H388" s="136">
        <f t="shared" ref="H388:H393" si="39">G388/E388</f>
        <v>9.0192455287433637E-2</v>
      </c>
    </row>
    <row r="389" spans="2:8" hidden="1" outlineLevel="1" x14ac:dyDescent="0.25">
      <c r="B389" s="101">
        <f>MAX(B386:B388)+1</f>
        <v>24</v>
      </c>
      <c r="C389" s="138">
        <f>MAX(C387:C388)+5000</f>
        <v>30000</v>
      </c>
      <c r="D389" s="101"/>
      <c r="E389" s="135">
        <f t="shared" si="36"/>
        <v>1458.1999999999998</v>
      </c>
      <c r="F389" s="135">
        <f t="shared" si="37"/>
        <v>1598.8672706247248</v>
      </c>
      <c r="G389" s="135">
        <f t="shared" si="38"/>
        <v>140.66727062472501</v>
      </c>
      <c r="H389" s="136">
        <f t="shared" si="39"/>
        <v>9.6466376782831584E-2</v>
      </c>
    </row>
    <row r="390" spans="2:8" hidden="1" outlineLevel="1" x14ac:dyDescent="0.25">
      <c r="B390" s="101">
        <f>MAX(B387:B389)+1</f>
        <v>25</v>
      </c>
      <c r="C390" s="138">
        <f>MAX(C388:C389)+5000</f>
        <v>35000</v>
      </c>
      <c r="D390" s="101"/>
      <c r="E390" s="135">
        <f t="shared" si="36"/>
        <v>1573.35</v>
      </c>
      <c r="F390" s="135">
        <f t="shared" si="37"/>
        <v>1733.551564175662</v>
      </c>
      <c r="G390" s="135">
        <f t="shared" si="38"/>
        <v>160.20156417566204</v>
      </c>
      <c r="H390" s="136">
        <f t="shared" si="39"/>
        <v>0.10182194945540538</v>
      </c>
    </row>
    <row r="391" spans="2:8" hidden="1" outlineLevel="1" x14ac:dyDescent="0.25">
      <c r="B391" s="101">
        <f>MAX(B388:B390)+1</f>
        <v>26</v>
      </c>
      <c r="C391" s="138">
        <f>MAX(C388:C390)+5000</f>
        <v>40000</v>
      </c>
      <c r="D391" s="101"/>
      <c r="E391" s="135">
        <f t="shared" si="36"/>
        <v>1688.5</v>
      </c>
      <c r="F391" s="135">
        <f t="shared" si="37"/>
        <v>1868.2358577265991</v>
      </c>
      <c r="G391" s="135">
        <f t="shared" si="38"/>
        <v>179.73585772659908</v>
      </c>
      <c r="H391" s="136">
        <f t="shared" si="39"/>
        <v>0.1064470581738816</v>
      </c>
    </row>
    <row r="392" spans="2:8" hidden="1" outlineLevel="1" x14ac:dyDescent="0.25">
      <c r="B392" s="101">
        <f>MAX(B388:B391)+1</f>
        <v>27</v>
      </c>
      <c r="C392" s="138">
        <f>MAX(C389:C391)+5000</f>
        <v>45000</v>
      </c>
      <c r="D392" s="101"/>
      <c r="E392" s="135">
        <f t="shared" si="36"/>
        <v>1803.65</v>
      </c>
      <c r="F392" s="135">
        <f t="shared" si="37"/>
        <v>2002.9201512775362</v>
      </c>
      <c r="G392" s="135">
        <f t="shared" si="38"/>
        <v>199.27015127753612</v>
      </c>
      <c r="H392" s="136">
        <f t="shared" si="39"/>
        <v>0.11048160745019051</v>
      </c>
    </row>
    <row r="393" spans="2:8" hidden="1" outlineLevel="1" x14ac:dyDescent="0.25">
      <c r="B393" s="101">
        <f>MAX(B388:B392)+1</f>
        <v>28</v>
      </c>
      <c r="C393" s="138">
        <f>MAX(C390:C392)+5000</f>
        <v>50000</v>
      </c>
      <c r="D393" s="101"/>
      <c r="E393" s="135">
        <f t="shared" si="36"/>
        <v>1918.8000000000002</v>
      </c>
      <c r="F393" s="135">
        <f t="shared" si="37"/>
        <v>2137.6044448284733</v>
      </c>
      <c r="G393" s="135">
        <f t="shared" si="38"/>
        <v>218.80444482847315</v>
      </c>
      <c r="H393" s="136">
        <f t="shared" si="39"/>
        <v>0.11403191829709877</v>
      </c>
    </row>
    <row r="394" spans="2:8" hidden="1" outlineLevel="1" x14ac:dyDescent="0.25">
      <c r="B394" s="101"/>
      <c r="C394" s="138"/>
      <c r="E394" s="135"/>
      <c r="F394" s="135"/>
      <c r="G394" s="135"/>
      <c r="H394" s="136"/>
    </row>
    <row r="395" spans="2:8" hidden="1" outlineLevel="1" x14ac:dyDescent="0.25">
      <c r="B395" s="101">
        <f>MAX(B388:B394)+1</f>
        <v>29</v>
      </c>
      <c r="C395" s="138">
        <f>MAX(C392:C394)+10000</f>
        <v>60000</v>
      </c>
      <c r="D395" s="101"/>
      <c r="E395" s="135">
        <f>D$356+(D$368*$C395)+D$363*($C395-$J$360-$J$361-$J$362)+D$360*$J$360+D$361*$J$361+D$362*$J$362</f>
        <v>2066.1</v>
      </c>
      <c r="F395" s="135">
        <f>E$356+(E$368*$C395)+E$363*($C395-$J$360-$J$361-$J$362)+E$360*$J$360+E$361*$J$361+E$362*$J$362+(D395*$E$357)</f>
        <v>2309.8927334958903</v>
      </c>
      <c r="G395" s="135">
        <f>F395-E395</f>
        <v>243.79273349589039</v>
      </c>
      <c r="H395" s="136">
        <f>G395/E395</f>
        <v>0.11799657978601732</v>
      </c>
    </row>
    <row r="396" spans="2:8" hidden="1" outlineLevel="1" x14ac:dyDescent="0.25">
      <c r="B396" s="101">
        <f>MAX(B388:B395)+1</f>
        <v>30</v>
      </c>
      <c r="C396" s="138">
        <f>MAX(C393:C395)+10000</f>
        <v>70000</v>
      </c>
      <c r="D396" s="101"/>
      <c r="E396" s="135">
        <f>D$356+(D$368*$C396)+D$363*($C396-$J$360-$J$361-$J$362)+D$360*$J$360+D$361*$J$361+D$362*$J$362</f>
        <v>2213.4</v>
      </c>
      <c r="F396" s="135">
        <f>E$356+(E$368*$C396)+E$363*($C396-$J$360-$J$361-$J$362)+E$360*$J$360+E$361*$J$361+E$362*$J$362+(D396*$E$357)</f>
        <v>2482.1810221633068</v>
      </c>
      <c r="G396" s="135">
        <f>F396-E396</f>
        <v>268.78102216330672</v>
      </c>
      <c r="H396" s="136">
        <f>G396/E396</f>
        <v>0.12143355117163943</v>
      </c>
    </row>
    <row r="397" spans="2:8" hidden="1" outlineLevel="1" x14ac:dyDescent="0.25">
      <c r="B397" s="101">
        <f>MAX(B388:B396)+1</f>
        <v>31</v>
      </c>
      <c r="C397" s="138">
        <f>MAX(C394:C396)+10000</f>
        <v>80000</v>
      </c>
      <c r="D397" s="101"/>
      <c r="E397" s="135">
        <f>D$356+(D$368*$C397)+D$363*($C397-$J$360-$J$361-$J$362)+D$360*$J$360+D$361*$J$361+D$362*$J$362</f>
        <v>2360.7000000000003</v>
      </c>
      <c r="F397" s="135">
        <f>E$356+(E$368*$C397)+E$363*($C397-$J$360-$J$361-$J$362)+E$360*$J$360+E$361*$J$361+E$362*$J$362+(D397*$E$357)</f>
        <v>2654.4693108307238</v>
      </c>
      <c r="G397" s="135">
        <f>F397-E397</f>
        <v>293.7693108307235</v>
      </c>
      <c r="H397" s="136">
        <f>G397/E397</f>
        <v>0.12444161089114393</v>
      </c>
    </row>
    <row r="398" spans="2:8" hidden="1" outlineLevel="1" x14ac:dyDescent="0.25">
      <c r="B398" s="101">
        <f>MAX(B389:B397)+1</f>
        <v>32</v>
      </c>
      <c r="C398" s="138">
        <f>MAX(C395:C397)+10000</f>
        <v>90000</v>
      </c>
      <c r="D398" s="101"/>
      <c r="E398" s="135">
        <f>D$356+(D$368*$C398)+D$363*($C398-$J$360-$J$361-$J$362)+D$360*$J$360+D$361*$J$361+D$362*$J$362</f>
        <v>2508</v>
      </c>
      <c r="F398" s="135">
        <f>E$356+(E$368*$C398)+E$363*($C398-$J$360-$J$361-$J$362)+E$360*$J$360+E$361*$J$361+E$362*$J$362+(D398*$E$357)</f>
        <v>2826.7575994981403</v>
      </c>
      <c r="G398" s="135">
        <f>F398-E398</f>
        <v>318.75759949814028</v>
      </c>
      <c r="H398" s="136">
        <f>G398/E398</f>
        <v>0.12709633153833344</v>
      </c>
    </row>
    <row r="399" spans="2:8" hidden="1" outlineLevel="1" x14ac:dyDescent="0.25">
      <c r="B399" s="101">
        <f>MAX(B390:B398)+1</f>
        <v>33</v>
      </c>
      <c r="C399" s="138">
        <f>MAX(C396:C398)+10000</f>
        <v>100000</v>
      </c>
      <c r="D399" s="101"/>
      <c r="E399" s="135">
        <f>D$356+(D$368*$C399)+D$363*($C399-$J$360-$J$361-$J$362)+D$360*$J$360+D$361*$J$361+D$362*$J$362</f>
        <v>2655.3</v>
      </c>
      <c r="F399" s="135">
        <f>E$356+(E$368*$C399)+E$363*($C399-$J$360-$J$361-$J$362)+E$360*$J$360+E$361*$J$361+E$362*$J$362+(D399*$E$357)</f>
        <v>2999.0458881655572</v>
      </c>
      <c r="G399" s="135">
        <f>F399-E399</f>
        <v>343.74588816555706</v>
      </c>
      <c r="H399" s="136">
        <f>G399/E399</f>
        <v>0.12945651646350959</v>
      </c>
    </row>
    <row r="400" spans="2:8" hidden="1" outlineLevel="1" x14ac:dyDescent="0.25">
      <c r="B400" s="101"/>
      <c r="C400" s="138"/>
      <c r="E400" s="101"/>
      <c r="F400" s="101"/>
      <c r="G400" s="135"/>
      <c r="H400" s="136"/>
    </row>
    <row r="401" spans="2:8" hidden="1" outlineLevel="1" x14ac:dyDescent="0.25">
      <c r="B401" s="101">
        <f>MAX(B392:B400)+1</f>
        <v>34</v>
      </c>
      <c r="C401" s="138">
        <f>MAX(C398:C400)+25000</f>
        <v>125000</v>
      </c>
      <c r="D401" s="101"/>
      <c r="E401" s="135" t="e">
        <f>D$356+(D$368*$C401)+D$364*($C401-$J$360-$J$361-$J$362-$J$363)+D$360*$J$360+D$361*$J$361+D$362*$J$362+D$363*$J$363</f>
        <v>#REF!</v>
      </c>
      <c r="F401" s="135" t="e">
        <f>E$356+(E$368*$C401)+E$364*($C401-$J$360-$J$361-$J$362-$J$363)+E$360*$J$360+E$361*$J$361+E$362*$J$362+E$363*$J$363+(D401*$E$357)</f>
        <v>#REF!</v>
      </c>
      <c r="G401" s="135" t="e">
        <f>F401-E401</f>
        <v>#REF!</v>
      </c>
      <c r="H401" s="136" t="e">
        <f>G401/E401</f>
        <v>#REF!</v>
      </c>
    </row>
    <row r="402" spans="2:8" hidden="1" outlineLevel="1" x14ac:dyDescent="0.25">
      <c r="B402" s="101">
        <f>MAX(B393:B401)+1</f>
        <v>35</v>
      </c>
      <c r="C402" s="138">
        <f>MAX(C399:C401)+25000</f>
        <v>150000</v>
      </c>
      <c r="D402" s="101"/>
      <c r="E402" s="135" t="e">
        <f>D$356+(D$368*$C402)+D$364*($C402-$J$360-$J$361-$J$362-$J$363)+D$360*$J$360+D$361*$J$361+D$362*$J$362+D$363*$J$363</f>
        <v>#REF!</v>
      </c>
      <c r="F402" s="135" t="e">
        <f>E$356+(E$368*$C402)+E$364*($C402-$J$360-$J$361-$J$362-$J$363)+E$360*$J$360+E$361*$J$361+E$362*$J$362+E$363*$J$363+(D402*$E$357)</f>
        <v>#REF!</v>
      </c>
      <c r="G402" s="135" t="e">
        <f>F402-E402</f>
        <v>#REF!</v>
      </c>
      <c r="H402" s="136" t="e">
        <f>G402/E402</f>
        <v>#REF!</v>
      </c>
    </row>
    <row r="403" spans="2:8" hidden="1" outlineLevel="1" x14ac:dyDescent="0.25">
      <c r="B403" s="101">
        <f>MAX(B394:B402)+1</f>
        <v>36</v>
      </c>
      <c r="C403" s="138">
        <f>MAX(C400:C402)+25000</f>
        <v>175000</v>
      </c>
      <c r="D403" s="101"/>
      <c r="E403" s="135" t="e">
        <f>D$356+(D$368*$C403)+D$364*($C403-$J$360-$J$361-$J$362-$J$363)+D$360*$J$360+D$361*$J$361+D$362*$J$362+D$363*$J$363</f>
        <v>#REF!</v>
      </c>
      <c r="F403" s="135" t="e">
        <f>E$356+(E$368*$C403)+E$364*($C403-$J$360-$J$361-$J$362-$J$363)+E$360*$J$360+E$361*$J$361+E$362*$J$362+E$363*$J$363+(D403*$E$357)</f>
        <v>#REF!</v>
      </c>
      <c r="G403" s="135" t="e">
        <f>F403-E403</f>
        <v>#REF!</v>
      </c>
      <c r="H403" s="136" t="e">
        <f>G403/E403</f>
        <v>#REF!</v>
      </c>
    </row>
    <row r="404" spans="2:8" hidden="1" outlineLevel="1" x14ac:dyDescent="0.25">
      <c r="B404" s="101">
        <f>MAX(B395:B403)+1</f>
        <v>37</v>
      </c>
      <c r="C404" s="138">
        <f>MAX(C401:C403)+25000</f>
        <v>200000</v>
      </c>
      <c r="D404" s="101"/>
      <c r="E404" s="135" t="e">
        <f>D$356+(D$368*$C404)+D$364*($C404-$J$360-$J$361-$J$362-$J$363)+D$360*$J$360+D$361*$J$361+D$362*$J$362+D$363*$J$363</f>
        <v>#REF!</v>
      </c>
      <c r="F404" s="135" t="e">
        <f>E$356+(E$368*$C404)+E$364*($C404-$J$360-$J$361-$J$362-$J$363)+E$360*$J$360+E$361*$J$361+E$362*$J$362+E$363*$J$363+(D404*$E$357)</f>
        <v>#REF!</v>
      </c>
      <c r="G404" s="135" t="e">
        <f>F404-E404</f>
        <v>#REF!</v>
      </c>
      <c r="H404" s="136" t="e">
        <f>G404/E404</f>
        <v>#REF!</v>
      </c>
    </row>
    <row r="405" spans="2:8" hidden="1" outlineLevel="1" x14ac:dyDescent="0.25">
      <c r="B405" s="101">
        <f>MAX(B397:B404)+1</f>
        <v>38</v>
      </c>
      <c r="C405" s="138">
        <f>MAX(C403:C404)+50000</f>
        <v>250000</v>
      </c>
      <c r="D405" s="101"/>
      <c r="E405" s="135" t="e">
        <f>D$356+(D$368*$C405)+D$364*($C405-$J$360-$J$361-$J$362-$J$363)+D$360*$J$360+D$361*$J$361+D$362*$J$362+D$363*$J$363</f>
        <v>#REF!</v>
      </c>
      <c r="F405" s="135" t="e">
        <f>E$356+(E$368*$C405)+E$364*($C405-$J$360-$J$361-$J$362-$J$363)+E$360*$J$360+E$361*$J$361+E$362*$J$362+E$363*$J$363+(D405*$E$357)</f>
        <v>#REF!</v>
      </c>
      <c r="G405" s="135" t="e">
        <f>F405-E405</f>
        <v>#REF!</v>
      </c>
      <c r="H405" s="136" t="e">
        <f>G405/E405</f>
        <v>#REF!</v>
      </c>
    </row>
    <row r="406" spans="2:8" hidden="1" outlineLevel="1" x14ac:dyDescent="0.25">
      <c r="B406" s="101"/>
      <c r="C406" s="138"/>
      <c r="E406" s="135"/>
      <c r="F406" s="135"/>
      <c r="G406" s="135"/>
      <c r="H406" s="136"/>
    </row>
    <row r="407" spans="2:8" hidden="1" outlineLevel="1" x14ac:dyDescent="0.25">
      <c r="B407" s="101">
        <f>MAX(B399:B406)+1</f>
        <v>39</v>
      </c>
      <c r="C407" s="138">
        <f>MAX(C404:C405)+50000</f>
        <v>300000</v>
      </c>
      <c r="D407" s="101"/>
      <c r="E407" s="135" t="e">
        <f>D$356+(D$368*$C407)+D$364*($C407-$J$360-$J$361-$J$362-$J$363)+D$360*$J$360+D$361*$J$361+D$362*$J$362+D$363*$J$363</f>
        <v>#REF!</v>
      </c>
      <c r="F407" s="135" t="e">
        <f>E$356+(E$368*$C407)+E$364*($C407-$J$360-$J$361-$J$362-$J$363)+E$360*$J$360+E$361*$J$361+E$362*$J$362+E$363*$J$363+(D407*$E$357)</f>
        <v>#REF!</v>
      </c>
      <c r="G407" s="135" t="e">
        <f>F407-E407</f>
        <v>#REF!</v>
      </c>
      <c r="H407" s="136" t="e">
        <f>G407/E407</f>
        <v>#REF!</v>
      </c>
    </row>
    <row r="408" spans="2:8" hidden="1" outlineLevel="1" x14ac:dyDescent="0.25">
      <c r="B408" s="101">
        <f>MAX(B400:B407)+1</f>
        <v>40</v>
      </c>
      <c r="C408" s="138">
        <f>MAX(C405:C407)+50000</f>
        <v>350000</v>
      </c>
      <c r="D408" s="101"/>
      <c r="E408" s="135" t="e">
        <f>D$356+(D$368*$C408)+D$364*($C408-$J$360-$J$361-$J$362-$J$363)+D$360*$J$360+D$361*$J$361+D$362*$J$362+D$363*$J$363</f>
        <v>#REF!</v>
      </c>
      <c r="F408" s="135" t="e">
        <f>E$356+(E$368*$C408)+E$364*($C408-$J$360-$J$361-$J$362-$J$363)+E$360*$J$360+E$361*$J$361+E$362*$J$362+E$363*$J$363+(D408*$E$357)</f>
        <v>#REF!</v>
      </c>
      <c r="G408" s="135" t="e">
        <f>F408-E408</f>
        <v>#REF!</v>
      </c>
      <c r="H408" s="136" t="e">
        <f>G408/E408</f>
        <v>#REF!</v>
      </c>
    </row>
    <row r="409" spans="2:8" hidden="1" outlineLevel="1" x14ac:dyDescent="0.25">
      <c r="B409" s="101">
        <f>MAX(B401:B408)+1</f>
        <v>41</v>
      </c>
      <c r="C409" s="138">
        <f>MAX(C406:C408)+50000</f>
        <v>400000</v>
      </c>
      <c r="D409" s="101"/>
      <c r="E409" s="135" t="e">
        <f>D$356+(D$368*$C409)+D$364*($C409-$J$360-$J$361-$J$362-$J$363)+D$360*$J$360+D$361*$J$361+D$362*$J$362+D$363*$J$363</f>
        <v>#REF!</v>
      </c>
      <c r="F409" s="135" t="e">
        <f>E$356+(E$368*$C409)+E$364*($C409-$J$360-$J$361-$J$362-$J$363)+E$360*$J$360+E$361*$J$361+E$362*$J$362+E$363*$J$363+(D409*$E$357)</f>
        <v>#REF!</v>
      </c>
      <c r="G409" s="135" t="e">
        <f>F409-E409</f>
        <v>#REF!</v>
      </c>
      <c r="H409" s="136" t="e">
        <f>G409/E409</f>
        <v>#REF!</v>
      </c>
    </row>
    <row r="410" spans="2:8" hidden="1" outlineLevel="1" x14ac:dyDescent="0.25">
      <c r="B410" s="101">
        <f>MAX(B401:B409)+1</f>
        <v>42</v>
      </c>
      <c r="C410" s="138">
        <f>MAX(C407:C409)+50000</f>
        <v>450000</v>
      </c>
      <c r="D410" s="101"/>
      <c r="E410" s="135" t="e">
        <f>D$356+(D$368*$C410)+D$364*($C410-$J$360-$J$361-$J$362-$J$363)+D$360*$J$360+D$361*$J$361+D$362*$J$362+D$363*$J$363</f>
        <v>#REF!</v>
      </c>
      <c r="F410" s="135" t="e">
        <f>E$356+(E$368*$C410)+E$364*($C410-$J$360-$J$361-$J$362-$J$363)+E$360*$J$360+E$361*$J$361+E$362*$J$362+E$363*$J$363+(D410*$E$357)</f>
        <v>#REF!</v>
      </c>
      <c r="G410" s="135" t="e">
        <f>F410-E410</f>
        <v>#REF!</v>
      </c>
      <c r="H410" s="136" t="e">
        <f>G410/E410</f>
        <v>#REF!</v>
      </c>
    </row>
    <row r="411" spans="2:8" hidden="1" outlineLevel="1" x14ac:dyDescent="0.25">
      <c r="B411" s="101">
        <f>MAX(B402:B410)+1</f>
        <v>43</v>
      </c>
      <c r="C411" s="138">
        <f>MAX(C408:C410)+50000</f>
        <v>500000</v>
      </c>
      <c r="D411" s="101"/>
      <c r="E411" s="135" t="e">
        <f>D$356+(D$368*$C411)+D$364*($C411-$J$360-$J$361-$J$362-$J$363)+D$360*$J$360+D$361*$J$361+D$362*$J$362+D$363*$J$363</f>
        <v>#REF!</v>
      </c>
      <c r="F411" s="135" t="e">
        <f>E$356+(E$368*$C411)+E$364*($C411-$J$360-$J$361-$J$362-$J$363)+E$360*$J$360+E$361*$J$361+E$362*$J$362+E$363*$J$363+(D411*$E$357)</f>
        <v>#REF!</v>
      </c>
      <c r="G411" s="135" t="e">
        <f>F411-E411</f>
        <v>#REF!</v>
      </c>
      <c r="H411" s="136" t="e">
        <f>G411/E411</f>
        <v>#REF!</v>
      </c>
    </row>
    <row r="412" spans="2:8" hidden="1" outlineLevel="1" x14ac:dyDescent="0.25">
      <c r="B412" s="101"/>
      <c r="C412" s="138"/>
      <c r="E412" s="135"/>
      <c r="F412" s="135"/>
      <c r="G412" s="135"/>
      <c r="H412" s="136"/>
    </row>
    <row r="413" spans="2:8" hidden="1" outlineLevel="1" x14ac:dyDescent="0.25">
      <c r="B413" s="101">
        <f>MAX(B404:B412)+1</f>
        <v>44</v>
      </c>
      <c r="C413" s="138">
        <f>MAX(C410:C412)+100000</f>
        <v>600000</v>
      </c>
      <c r="D413" s="101"/>
      <c r="E413" s="135" t="e">
        <f>D$356+(D$368*$C413)+D$365*($C413-$J$360-$J$361-$J$362-$J$363-$J$364)+(D$360*$J$360)+(D$361*$J$361)+(D$362*$J$362)+(D$363*$J$363)+(D$364*$J$364)</f>
        <v>#REF!</v>
      </c>
      <c r="F413" s="135" t="e">
        <f>E$356+(E$368*$C413)+E$365*($C413-$J$360-$J$361-$J$362-$J$363-$J$364)+(E$360*$J$360)+(E$361*$J$361)+(E$362*$J$362)+(E$363*$J$363)+(E$364*$J$364)+(D413*$E$357)</f>
        <v>#REF!</v>
      </c>
      <c r="G413" s="135" t="e">
        <f>F413-E413</f>
        <v>#REF!</v>
      </c>
      <c r="H413" s="136" t="e">
        <f>G413/E413</f>
        <v>#REF!</v>
      </c>
    </row>
    <row r="414" spans="2:8" hidden="1" outlineLevel="1" x14ac:dyDescent="0.25">
      <c r="B414" s="101">
        <f>MAX(B405:B413)+1</f>
        <v>45</v>
      </c>
      <c r="C414" s="138">
        <f>MAX(C411:C413)+200000</f>
        <v>800000</v>
      </c>
      <c r="D414" s="101"/>
      <c r="E414" s="135" t="e">
        <f>D$356+(D$368*$C414)+D$365*($C414-$J$360-$J$361-$J$362-$J$363-$J$364)+(D$360*$J$360)+(D$361*$J$361)+(D$362*$J$362)+(D$363*$J$363)+(D$364*$J$364)</f>
        <v>#REF!</v>
      </c>
      <c r="F414" s="135" t="e">
        <f>E$356+(E$368*$C414)+E$365*($C414-$J$360-$J$361-$J$362-$J$363-$J$364)+(E$360*$J$360)+(E$361*$J$361)+(E$362*$J$362)+(E$363*$J$363)+(E$364*$J$364)+(D414*$E$357)</f>
        <v>#REF!</v>
      </c>
      <c r="G414" s="135" t="e">
        <f>F414-E414</f>
        <v>#REF!</v>
      </c>
      <c r="H414" s="136" t="e">
        <f>G414/E414</f>
        <v>#REF!</v>
      </c>
    </row>
    <row r="415" spans="2:8" hidden="1" outlineLevel="1" x14ac:dyDescent="0.25">
      <c r="B415" s="101">
        <f>MAX(B406:B414)+1</f>
        <v>46</v>
      </c>
      <c r="C415" s="138">
        <f>MAX(C412:C414)+200000</f>
        <v>1000000</v>
      </c>
      <c r="D415" s="101"/>
      <c r="E415" s="135" t="e">
        <f>D$356+(D$368*$C415)+D$365*($C415-$J$360-$J$361-$J$362-$J$363-$J$364)+(D$360*$J$360)+(D$361*$J$361)+(D$362*$J$362)+(D$363*$J$363)+(D$364*$J$364)</f>
        <v>#REF!</v>
      </c>
      <c r="F415" s="135" t="e">
        <f>E$356+(E$368*$C415)+E$365*($C415-$J$360-$J$361-$J$362-$J$363-$J$364)+(E$360*$J$360)+(E$361*$J$361)+(E$362*$J$362)+(E$363*$J$363)+(E$364*$J$364)+(D415*$E$357)</f>
        <v>#REF!</v>
      </c>
      <c r="G415" s="135" t="e">
        <f>F415-E415</f>
        <v>#REF!</v>
      </c>
      <c r="H415" s="136" t="e">
        <f>G415/E415</f>
        <v>#REF!</v>
      </c>
    </row>
    <row r="416" spans="2:8" hidden="1" outlineLevel="1" x14ac:dyDescent="0.25">
      <c r="B416" s="101"/>
    </row>
    <row r="417" spans="2:7" collapsed="1" x14ac:dyDescent="0.25">
      <c r="B417" s="101"/>
      <c r="C417" s="138"/>
      <c r="D417" s="137"/>
      <c r="E417" s="137"/>
      <c r="F417" s="137"/>
      <c r="G417" s="32"/>
    </row>
  </sheetData>
  <printOptions horizontalCentered="1"/>
  <pageMargins left="0.7" right="0.7" top="0.5" bottom="0.25" header="0.3" footer="0.3"/>
  <pageSetup scale="70" orientation="portrait" r:id="rId1"/>
  <rowBreaks count="6" manualBreakCount="6">
    <brk id="57" max="16383" man="1"/>
    <brk id="126" max="16383" man="1"/>
    <brk id="200" max="16383" man="1"/>
    <brk id="274" max="16383" man="1"/>
    <brk id="345" max="7" man="1"/>
    <brk id="27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46A42A-D881-4993-A414-95D3F4D8A1CF}"/>
</file>

<file path=customXml/itemProps2.xml><?xml version="1.0" encoding="utf-8"?>
<ds:datastoreItem xmlns:ds="http://schemas.openxmlformats.org/officeDocument/2006/customXml" ds:itemID="{00A5E326-B4C3-4846-A674-10FFE33974B6}"/>
</file>

<file path=customXml/itemProps3.xml><?xml version="1.0" encoding="utf-8"?>
<ds:datastoreItem xmlns:ds="http://schemas.openxmlformats.org/officeDocument/2006/customXml" ds:itemID="{6375B4FB-DB88-49AE-A9B0-5C0A79B45C7B}"/>
</file>

<file path=customXml/itemProps4.xml><?xml version="1.0" encoding="utf-8"?>
<ds:datastoreItem xmlns:ds="http://schemas.openxmlformats.org/officeDocument/2006/customXml" ds:itemID="{35D73B2E-3979-4226-90E4-DDA046ED8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Rate Design ---&gt;</vt:lpstr>
      <vt:lpstr>Exh 17, Class Revenue</vt:lpstr>
      <vt:lpstr>Exh 18, Class Rates</vt:lpstr>
      <vt:lpstr>Exh 19, RES Monthly Impact</vt:lpstr>
      <vt:lpstr>Exh 19a COM Monthly Impact</vt:lpstr>
      <vt:lpstr>Exh 20, Bill Impacts</vt:lpstr>
      <vt:lpstr>'Exh 17, Class Revenue'!Print_Area</vt:lpstr>
      <vt:lpstr>'Exh 18, Class Rates'!Print_Area</vt:lpstr>
      <vt:lpstr>'Exh 19, RES Monthly Impact'!Print_Area</vt:lpstr>
      <vt:lpstr>'Exh 20, Bill Impacts'!Print_Area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Maryalice</dc:creator>
  <cp:lastModifiedBy>Archer, Pamela</cp:lastModifiedBy>
  <dcterms:created xsi:type="dcterms:W3CDTF">2020-12-29T19:07:53Z</dcterms:created>
  <dcterms:modified xsi:type="dcterms:W3CDTF">2020-12-29T21:41:03Z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574621d5-d22f-4f7b-a86f-53adefd86d53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0x0101006E56B4D1795A2E4DB2F0B01679ED314A00A9B141868A9DE943AC0520515758323A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