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Modified Parity Increase" sheetId="1" r:id="rId1"/>
  </sheets>
  <definedNames>
    <definedName name="_xlnm.Print_Area" localSheetId="0">'Modified Parity Increase'!$A$5:$U$39</definedName>
    <definedName name="_xlnm.Print_Titles" localSheetId="0">'Modified Parity Increase'!$A:$B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<sst xmlns="http://schemas.openxmlformats.org/spreadsheetml/2006/main" count="67" uniqueCount="67">
  <si>
    <t>Puget Sound Energy</t>
  </si>
  <si>
    <t>Twelve Months ended September 30, 2003</t>
  </si>
  <si>
    <t>Summary - Increase based on Cost of Service Parity Ratios</t>
  </si>
  <si>
    <t>Voltage Level</t>
  </si>
  <si>
    <t>Schedule</t>
  </si>
  <si>
    <t>Revenue Required from Rates (COS, TMP2, Line 11)</t>
  </si>
  <si>
    <t>Proforma
Tariffed Revenue
Effective
6-30-01</t>
  </si>
  <si>
    <t>Total Operating Revenue (COS, TMP2, Line 7)</t>
  </si>
  <si>
    <t>Revenue Required from Rates</t>
  </si>
  <si>
    <t>% to Total COS Costs</t>
  </si>
  <si>
    <t>Parity Cost of Service at Proposed Revenues</t>
  </si>
  <si>
    <t>Proforma Revenue % to Total</t>
  </si>
  <si>
    <t>Parity Difference</t>
  </si>
  <si>
    <t>Parity Movement</t>
  </si>
  <si>
    <t>New Ratio Sales of Electricty to Revenue Requirement</t>
  </si>
  <si>
    <t>Proposed Revenue</t>
  </si>
  <si>
    <t>Revenue Increase</t>
  </si>
  <si>
    <t>% Increase</t>
  </si>
  <si>
    <t>Constrained Increase</t>
  </si>
  <si>
    <t>Respread Increase</t>
  </si>
  <si>
    <t>Final Revenue Increase</t>
  </si>
  <si>
    <t>Final % Increase</t>
  </si>
  <si>
    <t>26/31 Adjustment</t>
  </si>
  <si>
    <t>Really Final % Increase</t>
  </si>
  <si>
    <t>A</t>
  </si>
  <si>
    <t>B</t>
  </si>
  <si>
    <t>C</t>
  </si>
  <si>
    <t>D =
A - (C - B)</t>
  </si>
  <si>
    <t>E =
D / Sum(D)</t>
  </si>
  <si>
    <t>F =
E * Proposed Revenue</t>
  </si>
  <si>
    <t>G =
B / Sum(B)</t>
  </si>
  <si>
    <t>H =
G - E</t>
  </si>
  <si>
    <t>I =
H * Parity Movement</t>
  </si>
  <si>
    <t>J =
G - I</t>
  </si>
  <si>
    <t>K =
J * Proposed Revenue</t>
  </si>
  <si>
    <t>L =
K - B</t>
  </si>
  <si>
    <t>M =
L / B</t>
  </si>
  <si>
    <t>N</t>
  </si>
  <si>
    <t>O</t>
  </si>
  <si>
    <t>P</t>
  </si>
  <si>
    <t>Q =
P / B</t>
  </si>
  <si>
    <t>R</t>
  </si>
  <si>
    <t>S</t>
  </si>
  <si>
    <t>Total 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</si>
  <si>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</si>
  <si>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</si>
  <si>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</si>
  <si>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</si>
  <si>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</si>
  <si>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</si>
  <si>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</si>
  <si>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</t>
  </si>
  <si>
    <t>Seasonal Irrigation &amp; Drainage Pumping</t>
  </si>
  <si>
    <t>Interruptible Total Electric Schools</t>
  </si>
  <si>
    <t>Total Primary Voltage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</si>
  <si>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</si>
  <si>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</si>
  <si>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</si>
  <si>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</si>
  <si>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</si>
  <si>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</si>
  <si>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</si>
  <si>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</si>
  <si>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 xml:space="preserve">Proposed Revenue = </t>
  </si>
  <si>
    <t>% Move to Parity</t>
  </si>
  <si>
    <t>Max Increase</t>
  </si>
  <si>
    <t>Min Increase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</si>
</sst>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0.0%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  <numFmt numFmtId="185" formatCode="m/d/yy\ h:m\i\n"/>
    <numFmt numFmtId="186" formatCode="&quot;$&quot;#,##0.0_);[Red]\(&quot;$&quot;#,##0.0\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.0000"/>
    <numFmt numFmtId="195" formatCode="0.0000000"/>
    <numFmt numFmtId="196" formatCode="0.0000\ "/>
    <numFmt numFmtId="197" formatCode="&quot;$&quot;#,##0.0000_);[Red]\(&quot;$&quot;#,##0.0000\)"/>
    <numFmt numFmtId="198" formatCode="mm/dd/yy"/>
    <numFmt numFmtId="199" formatCode="#,###"/>
    <numFmt numFmtId="200" formatCode="#,###.0"/>
    <numFmt numFmtId="201" formatCode="#,###.00"/>
    <numFmt numFmtId="202" formatCode="_(* #,##0.0000000_);_(* \(#,##0.0000000\);_(* &quot;-&quot;???????_);_(@_)"/>
    <numFmt numFmtId="203" formatCode="0.0000%"/>
    <numFmt numFmtId="204" formatCode="0.00000%"/>
    <numFmt numFmtId="205" formatCode="0.000000%"/>
    <numFmt numFmtId="206" formatCode="[$-409]dddd\,\ mmmm\ dd\,\ yyyy"/>
    <numFmt numFmtId="207" formatCode="[$-F800]dddd\,\ mmmm\ dd\,\ yyyy"/>
    <numFmt numFmtId="208" formatCode="0.000000"/>
    <numFmt numFmtId="209" formatCode="[$-409]mmmm\ d\,\ yyyy;@"/>
    <numFmt numFmtId="210" formatCode="&quot;$&quot;#,##0.000_);[Red]\(&quot;$&quot;#,##0.000\)"/>
    <numFmt numFmtId="211" formatCode="&quot;$&quot;#,##0.00000_);[Red]\(&quot;$&quot;#,##0.00000\)"/>
    <numFmt numFmtId="212" formatCode="&quot;$&quot;#,##0.000000_);[Red]\(&quot;$&quot;#,##0.000000\)"/>
  </numFmts>
  <fonts count="4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7" fontId="0" fillId="0" borderId="2" xfId="17" applyNumberFormat="1" applyFont="1" applyFill="1" applyBorder="1" applyAlignment="1">
      <alignment/>
    </xf>
    <xf numFmtId="175" fontId="0" fillId="0" borderId="2" xfId="15" applyNumberFormat="1" applyFont="1" applyFill="1" applyBorder="1" applyAlignment="1">
      <alignment/>
    </xf>
    <xf numFmtId="10" fontId="0" fillId="0" borderId="2" xfId="21" applyNumberFormat="1" applyFont="1" applyFill="1" applyBorder="1" applyAlignment="1" quotePrefix="1">
      <alignment horizontal="right"/>
    </xf>
    <xf numFmtId="167" fontId="0" fillId="0" borderId="0" xfId="17" applyNumberFormat="1" applyFont="1" applyFill="1" applyBorder="1" applyAlignment="1">
      <alignment/>
    </xf>
    <xf numFmtId="10" fontId="0" fillId="0" borderId="0" xfId="21" applyNumberFormat="1" applyFont="1" applyFill="1" applyAlignment="1" quotePrefix="1">
      <alignment horizontal="right"/>
    </xf>
    <xf numFmtId="4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left" indent="1"/>
    </xf>
    <xf numFmtId="175" fontId="0" fillId="0" borderId="0" xfId="15" applyNumberFormat="1" applyFont="1" applyFill="1" applyBorder="1" applyAlignment="1">
      <alignment/>
    </xf>
    <xf numFmtId="10" fontId="0" fillId="0" borderId="0" xfId="21" applyNumberFormat="1" applyFont="1" applyFill="1" applyBorder="1" applyAlignment="1" quotePrefix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167" fontId="0" fillId="0" borderId="3" xfId="17" applyNumberFormat="1" applyFont="1" applyFill="1" applyBorder="1" applyAlignment="1">
      <alignment/>
    </xf>
    <xf numFmtId="175" fontId="0" fillId="0" borderId="3" xfId="15" applyNumberFormat="1" applyFont="1" applyFill="1" applyBorder="1" applyAlignment="1">
      <alignment/>
    </xf>
    <xf numFmtId="10" fontId="0" fillId="0" borderId="3" xfId="21" applyNumberFormat="1" applyFont="1" applyFill="1" applyBorder="1" applyAlignment="1" quotePrefix="1">
      <alignment horizontal="right"/>
    </xf>
    <xf numFmtId="43" fontId="0" fillId="0" borderId="0" xfId="0" applyNumberFormat="1" applyFont="1" applyFill="1" applyAlignment="1">
      <alignment/>
    </xf>
    <xf numFmtId="167" fontId="0" fillId="0" borderId="0" xfId="17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9" fontId="0" fillId="0" borderId="0" xfId="21" applyFont="1" applyFill="1" applyAlignment="1">
      <alignment/>
    </xf>
    <xf numFmtId="10" fontId="0" fillId="0" borderId="0" xfId="21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pane xSplit="2" ySplit="6" topLeftCell="Q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2.75"/>
  <cols>
    <col min="1" max="1" width="35.57421875" style="2" customWidth="1"/>
    <col min="2" max="2" width="8.7109375" style="2" customWidth="1"/>
    <col min="3" max="6" width="14.8515625" style="2" customWidth="1"/>
    <col min="7" max="7" width="10.28125" style="2" customWidth="1"/>
    <col min="8" max="8" width="14.8515625" style="2" customWidth="1"/>
    <col min="9" max="9" width="9.7109375" style="2" customWidth="1"/>
    <col min="10" max="11" width="10.28125" style="2" customWidth="1"/>
    <col min="12" max="12" width="11.421875" style="2" bestFit="1" customWidth="1"/>
    <col min="13" max="13" width="14.8515625" style="2" customWidth="1"/>
    <col min="14" max="14" width="13.28125" style="2" customWidth="1"/>
    <col min="15" max="15" width="8.00390625" style="2" customWidth="1"/>
    <col min="16" max="16" width="9.8515625" style="2" customWidth="1"/>
    <col min="17" max="17" width="12.00390625" style="2" customWidth="1"/>
    <col min="18" max="18" width="14.28125" style="2" customWidth="1"/>
    <col min="19" max="19" width="8.57421875" style="2" customWidth="1"/>
    <col min="20" max="20" width="14.28125" style="2" customWidth="1"/>
    <col min="21" max="21" width="7.57421875" style="2" customWidth="1"/>
    <col min="22" max="16384" width="8.8515625" style="2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1:21" s="5" customFormat="1" ht="63.75">
      <c r="A6" s="3" t="s">
        <v>3</v>
      </c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</row>
    <row r="7" spans="1:21" s="9" customFormat="1" ht="38.25">
      <c r="A7" s="6"/>
      <c r="B7" s="7"/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7" t="s">
        <v>37</v>
      </c>
      <c r="Q7" s="8" t="s">
        <v>38</v>
      </c>
      <c r="R7" s="9" t="s">
        <v>39</v>
      </c>
      <c r="S7" s="8" t="s">
        <v>40</v>
      </c>
      <c r="T7" s="9" t="s">
        <v>41</v>
      </c>
      <c r="U7" s="8" t="s">
        <v>42</v>
      </c>
    </row>
    <row r="8" spans="1:21" s="9" customFormat="1" ht="12.7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S8" s="8"/>
      <c r="U8" s="8"/>
    </row>
    <row r="9" spans="1:21" ht="12.75">
      <c r="A9" s="10" t="s">
        <v>43</v>
      </c>
      <c r="B9" s="11">
        <v>7</v>
      </c>
      <c r="C9" s="12">
        <v>868921922.4329485</v>
      </c>
      <c r="D9" s="12">
        <v>764791848.3859293</v>
      </c>
      <c r="E9" s="12">
        <v>798973351.2823</v>
      </c>
      <c r="F9" s="12">
        <f>+C9-(E9-D9)</f>
        <v>834740419.5365778</v>
      </c>
      <c r="G9" s="13">
        <f>+F9/$F$31</f>
        <v>0.5711469735591261</v>
      </c>
      <c r="H9" s="12">
        <f>+G9*$H$34</f>
        <v>867182983.6680049</v>
      </c>
      <c r="I9" s="13">
        <f>+D9/$D$31</f>
        <v>0.5405336809686351</v>
      </c>
      <c r="J9" s="13">
        <f>+I9-G9</f>
        <v>-0.03061329259049106</v>
      </c>
      <c r="K9" s="13">
        <f>+J9*$K$36</f>
        <v>-0.01530664629524553</v>
      </c>
      <c r="L9" s="13">
        <f>+I9-K9</f>
        <v>0.5558403272638806</v>
      </c>
      <c r="M9" s="12">
        <f>+L9*$H$34</f>
        <v>843942620.2961279</v>
      </c>
      <c r="N9" s="12">
        <f>+M9-D9</f>
        <v>79150771.91019857</v>
      </c>
      <c r="O9" s="14">
        <f>+N9/D9</f>
        <v>0.1034932211650058</v>
      </c>
      <c r="P9" s="14">
        <f>IF(O9&gt;P$38,P$38,IF(O9&lt;P$39,P$39,O9))</f>
        <v>0.1034932211650058</v>
      </c>
      <c r="Q9" s="12">
        <f>IF(O9=P9,0,P9*D9-N9)</f>
        <v>0</v>
      </c>
      <c r="R9" s="12">
        <f>IF(Q9=0,N9-Q$31*(M9/SUMIF(Q$9:Q$29,"=0",M$9:M$29)),N9+Q9)</f>
        <v>72340396.96170601</v>
      </c>
      <c r="S9" s="14">
        <f>+R9/D9</f>
        <v>0.09458834729263693</v>
      </c>
      <c r="T9" s="12">
        <f>R9</f>
        <v>72340396.96170601</v>
      </c>
      <c r="U9" s="14">
        <f>+T9/D9</f>
        <v>0.09458834729263693</v>
      </c>
    </row>
    <row r="10" spans="2:21" ht="12.75"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Q10" s="17"/>
      <c r="S10" s="16"/>
      <c r="U10" s="16"/>
    </row>
    <row r="11" spans="1:21" ht="12.75">
      <c r="A11" s="2" t="s">
        <v>44</v>
      </c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Q11" s="17"/>
      <c r="S11" s="16"/>
      <c r="U11" s="16"/>
    </row>
    <row r="12" spans="1:21" ht="12.75">
      <c r="A12" s="18" t="s">
        <v>45</v>
      </c>
      <c r="B12" s="11">
        <v>24</v>
      </c>
      <c r="C12" s="15">
        <v>181132912.45965418</v>
      </c>
      <c r="D12" s="15">
        <v>173750826.62501916</v>
      </c>
      <c r="E12" s="15">
        <v>181089874.64398834</v>
      </c>
      <c r="F12" s="15">
        <f>+C12-(E12-D12)</f>
        <v>173793864.440685</v>
      </c>
      <c r="G12" s="19">
        <f>+F12/$F$31</f>
        <v>0.11891342191570092</v>
      </c>
      <c r="H12" s="15">
        <f>+G12*$H$34</f>
        <v>180548441.62516552</v>
      </c>
      <c r="I12" s="19">
        <f>+D12/$D$31</f>
        <v>0.12280226846713427</v>
      </c>
      <c r="J12" s="19">
        <f>+I12-G12</f>
        <v>0.003888846551433345</v>
      </c>
      <c r="K12" s="19">
        <f>+J12*$K$36</f>
        <v>0.0019444232757166724</v>
      </c>
      <c r="L12" s="19">
        <f>+I12-K12</f>
        <v>0.1208578451914176</v>
      </c>
      <c r="M12" s="15">
        <f>+L12*$H$34</f>
        <v>183500695.34585333</v>
      </c>
      <c r="N12" s="15">
        <f>+M12-D12</f>
        <v>9749868.720834166</v>
      </c>
      <c r="O12" s="20">
        <f>+N12/D12</f>
        <v>0.056114085384329555</v>
      </c>
      <c r="P12" s="20">
        <f>IF(O12&gt;P$38,P$38,IF(O12&lt;P$39,P$39,O12))</f>
        <v>0.056114085384329555</v>
      </c>
      <c r="Q12" s="17">
        <f>IF(O12=P12,0,P12*D12-N12)</f>
        <v>0</v>
      </c>
      <c r="R12" s="15">
        <f>IF(Q12=0,N12-Q$31*(M12/SUMIF(Q$9:Q$29,"=0",M$9:M$29)),N12+Q12)</f>
        <v>8269070.727511044</v>
      </c>
      <c r="S12" s="20">
        <f>+R12/D12</f>
        <v>0.04759154755192597</v>
      </c>
      <c r="T12" s="15">
        <f>R12</f>
        <v>8269070.727511044</v>
      </c>
      <c r="U12" s="20">
        <f>+T12/D12</f>
        <v>0.04759154755192597</v>
      </c>
    </row>
    <row r="13" spans="1:21" ht="12.75">
      <c r="A13" s="18" t="s">
        <v>46</v>
      </c>
      <c r="B13" s="11" t="s">
        <v>47</v>
      </c>
      <c r="C13" s="15">
        <v>189253486.96454227</v>
      </c>
      <c r="D13" s="15">
        <v>204205358.03691077</v>
      </c>
      <c r="E13" s="15">
        <v>210395137.7559973</v>
      </c>
      <c r="F13" s="15">
        <f>+C13-(E13-D13)</f>
        <v>183063707.24545574</v>
      </c>
      <c r="G13" s="19">
        <f>+F13/$F$31</f>
        <v>0.12525604357316536</v>
      </c>
      <c r="H13" s="15">
        <f>+G13*$H$34</f>
        <v>190178561.06521526</v>
      </c>
      <c r="I13" s="19">
        <f>+D13/$D$31</f>
        <v>0.14432668717136946</v>
      </c>
      <c r="J13" s="19">
        <f>+I13-G13</f>
        <v>0.019070643598204096</v>
      </c>
      <c r="K13" s="19">
        <f>+J13*$K$36</f>
        <v>0.009535321799102048</v>
      </c>
      <c r="L13" s="19">
        <f>+I13-K13</f>
        <v>0.1347913653722674</v>
      </c>
      <c r="M13" s="15">
        <f>+L13*$H$34</f>
        <v>204656216.0135591</v>
      </c>
      <c r="N13" s="15">
        <f>+M13-D13</f>
        <v>450857.9766483307</v>
      </c>
      <c r="O13" s="20">
        <f>+N13/D13</f>
        <v>0.0022078655574102844</v>
      </c>
      <c r="P13" s="20">
        <f>IF(O13&gt;P$38,P$38,IF(O13&lt;P$39,P$39,O13))</f>
        <v>0.03655269643388529</v>
      </c>
      <c r="Q13" s="17">
        <f>IF(O13=P13,0,P13*D13-N13)</f>
        <v>7013398.485847726</v>
      </c>
      <c r="R13" s="15">
        <f>IF(Q13=0,N13-Q$31*(M13/SUMIF(Q$9:Q$29,"=0",M$9:M$29)),N13+Q13)</f>
        <v>7464256.462496057</v>
      </c>
      <c r="S13" s="20">
        <f>+R13/D13</f>
        <v>0.03655269643388529</v>
      </c>
      <c r="T13" s="15">
        <f>R13</f>
        <v>7464256.462496057</v>
      </c>
      <c r="U13" s="20">
        <f>+T13/D13</f>
        <v>0.03655269643388529</v>
      </c>
    </row>
    <row r="14" spans="1:21" ht="12.75">
      <c r="A14" s="18" t="s">
        <v>48</v>
      </c>
      <c r="B14" s="11">
        <v>26</v>
      </c>
      <c r="C14" s="15">
        <v>117701306.34009863</v>
      </c>
      <c r="D14" s="15">
        <v>119831706.34756067</v>
      </c>
      <c r="E14" s="15">
        <v>123642821.0972325</v>
      </c>
      <c r="F14" s="15">
        <f>+C14-(E14-D14)</f>
        <v>113890191.5904268</v>
      </c>
      <c r="G14" s="19">
        <f>+F14/$F$31</f>
        <v>0.0779260674606532</v>
      </c>
      <c r="H14" s="15">
        <f>+G14*$H$34</f>
        <v>118316585.42273246</v>
      </c>
      <c r="I14" s="19">
        <f>+D14/$D$31</f>
        <v>0.08469372871259179</v>
      </c>
      <c r="J14" s="19">
        <f>+I14-G14</f>
        <v>0.006767661251938589</v>
      </c>
      <c r="K14" s="19">
        <f>+J14*$K$36</f>
        <v>0.0033838306259692946</v>
      </c>
      <c r="L14" s="19">
        <f>+I14-K14</f>
        <v>0.08130989808662249</v>
      </c>
      <c r="M14" s="15">
        <f>+L14*$H$34</f>
        <v>123454317.87042344</v>
      </c>
      <c r="N14" s="15">
        <f>+M14-D14</f>
        <v>3622611.522862762</v>
      </c>
      <c r="O14" s="20">
        <f>+N14/D14</f>
        <v>0.030230826492245014</v>
      </c>
      <c r="P14" s="20">
        <f>IF(O14&gt;P$38,P$38,IF(O14&lt;P$39,P$39,O14))</f>
        <v>0.03655269643388529</v>
      </c>
      <c r="Q14" s="17">
        <f>IF(O14=P14,0,P14*D14-N14)</f>
        <v>757560.4624141082</v>
      </c>
      <c r="R14" s="15">
        <f>IF(Q14=0,N14-Q$31*(M14/SUMIF(Q$9:Q$29,"=0",M$9:M$29)),N14+Q14)</f>
        <v>4380171.98527687</v>
      </c>
      <c r="S14" s="20">
        <f>+R14/D14</f>
        <v>0.03655269643388529</v>
      </c>
      <c r="T14" s="15">
        <f>R14-(T18-R18)</f>
        <v>2739292.1103254706</v>
      </c>
      <c r="U14" s="20">
        <f>+T14/D14</f>
        <v>0.022859493483138843</v>
      </c>
    </row>
    <row r="15" spans="1:21" ht="12.75">
      <c r="A15" s="21" t="s">
        <v>49</v>
      </c>
      <c r="B15" s="11"/>
      <c r="C15" s="12">
        <f aca="true" t="shared" si="0" ref="C15:N15">SUM(C12:C14)</f>
        <v>488087705.7642951</v>
      </c>
      <c r="D15" s="12">
        <f t="shared" si="0"/>
        <v>497787891.0094906</v>
      </c>
      <c r="E15" s="12">
        <f t="shared" si="0"/>
        <v>515127833.4972182</v>
      </c>
      <c r="F15" s="12">
        <f t="shared" si="0"/>
        <v>470747763.2765676</v>
      </c>
      <c r="G15" s="13">
        <f t="shared" si="0"/>
        <v>0.3220955329495195</v>
      </c>
      <c r="H15" s="12">
        <f t="shared" si="0"/>
        <v>489043588.1131133</v>
      </c>
      <c r="I15" s="13">
        <f t="shared" si="0"/>
        <v>0.3518226843510955</v>
      </c>
      <c r="J15" s="13">
        <f t="shared" si="0"/>
        <v>0.02972715140157603</v>
      </c>
      <c r="K15" s="13">
        <f t="shared" si="0"/>
        <v>0.014863575700788015</v>
      </c>
      <c r="L15" s="13">
        <f t="shared" si="0"/>
        <v>0.3369591086503075</v>
      </c>
      <c r="M15" s="12">
        <f t="shared" si="0"/>
        <v>511611229.22983587</v>
      </c>
      <c r="N15" s="12">
        <f t="shared" si="0"/>
        <v>13823338.220345259</v>
      </c>
      <c r="O15" s="14">
        <f>+N15/D15</f>
        <v>0.027769534916392148</v>
      </c>
      <c r="P15" s="14">
        <f>IF(O15&gt;P$38,P$38,IF(O15&lt;P$39,P$39,O15))</f>
        <v>0.03655269643388529</v>
      </c>
      <c r="Q15" s="12">
        <f>SUM(Q12:Q14)</f>
        <v>7770958.948261835</v>
      </c>
      <c r="R15" s="12">
        <f>SUM(R12:R14)</f>
        <v>20113499.175283972</v>
      </c>
      <c r="S15" s="14">
        <f>+R15/D15</f>
        <v>0.04040576225045317</v>
      </c>
      <c r="T15" s="12">
        <f>SUM(T12:T14)</f>
        <v>18472619.300332572</v>
      </c>
      <c r="U15" s="14">
        <f>+T15/D15</f>
        <v>0.03710941875840122</v>
      </c>
    </row>
    <row r="16" spans="2:21" ht="12.75"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S16" s="16"/>
      <c r="U16" s="16"/>
    </row>
    <row r="17" spans="1:21" ht="12.75">
      <c r="A17" s="2" t="s">
        <v>50</v>
      </c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S17" s="16"/>
      <c r="U17" s="16"/>
    </row>
    <row r="18" spans="1:21" ht="12.75">
      <c r="A18" s="18" t="s">
        <v>51</v>
      </c>
      <c r="B18" s="11">
        <v>31</v>
      </c>
      <c r="C18" s="15">
        <v>102083829.74948604</v>
      </c>
      <c r="D18" s="15">
        <v>96838451.52020907</v>
      </c>
      <c r="E18" s="15">
        <v>100449254.35131057</v>
      </c>
      <c r="F18" s="15">
        <f>+C18-(E18-D18)</f>
        <v>98473026.91838455</v>
      </c>
      <c r="G18" s="19">
        <f>+F18/$F$31</f>
        <v>0.06737731872725876</v>
      </c>
      <c r="H18" s="15">
        <f>+G18*$H$34</f>
        <v>102300225.66933163</v>
      </c>
      <c r="I18" s="19">
        <f>+D18/$D$31</f>
        <v>0.06844273349669291</v>
      </c>
      <c r="J18" s="19">
        <f>+I18-G18</f>
        <v>0.001065414769434156</v>
      </c>
      <c r="K18" s="19">
        <f>+J18*$K$36</f>
        <v>0.000532707384717078</v>
      </c>
      <c r="L18" s="19">
        <f>+I18-K18</f>
        <v>0.06791002611197583</v>
      </c>
      <c r="M18" s="15">
        <f>+L18*$H$34</f>
        <v>103109045.11631607</v>
      </c>
      <c r="N18" s="15">
        <f>+M18-D18</f>
        <v>6270593.596106991</v>
      </c>
      <c r="O18" s="20">
        <f>+N18/D18</f>
        <v>0.06475313780495953</v>
      </c>
      <c r="P18" s="20">
        <f>IF(O18&gt;P$38,P$38,IF(O18&lt;P$39,P$39,O18))</f>
        <v>0.06475313780495953</v>
      </c>
      <c r="Q18" s="17">
        <f>IF(O18=P18,0,P18*D18-N18)</f>
        <v>0</v>
      </c>
      <c r="R18" s="15">
        <f>IF(Q18=0,N18-Q$31*(M18/SUMIF(Q$9:Q$29,"=0",M$9:M$29)),N18+Q18)</f>
        <v>5438533.168140039</v>
      </c>
      <c r="S18" s="20">
        <f>+R18/D18</f>
        <v>0.05616088529673648</v>
      </c>
      <c r="T18" s="15">
        <f>D18*S31</f>
        <v>7079413.043091439</v>
      </c>
      <c r="U18" s="20">
        <f>+T18/D18</f>
        <v>0.07310539286777057</v>
      </c>
    </row>
    <row r="19" spans="1:21" ht="12.75">
      <c r="A19" s="22" t="s">
        <v>52</v>
      </c>
      <c r="B19" s="11">
        <v>35</v>
      </c>
      <c r="C19" s="15">
        <v>302877.13781971997</v>
      </c>
      <c r="D19" s="15">
        <v>199990.02620000002</v>
      </c>
      <c r="E19" s="15">
        <v>208447.4205259072</v>
      </c>
      <c r="F19" s="15">
        <f>+C19-(E19-D19)</f>
        <v>294419.7434938128</v>
      </c>
      <c r="G19" s="19">
        <f>+F19/$F$31</f>
        <v>0.00020144818858286624</v>
      </c>
      <c r="H19" s="15">
        <f>+G19*$H$34</f>
        <v>305862.5000517846</v>
      </c>
      <c r="I19" s="19">
        <f>+D19/$D$31</f>
        <v>0.00014134740746393217</v>
      </c>
      <c r="J19" s="19">
        <f>+I19-G19</f>
        <v>-6.010078111893407E-05</v>
      </c>
      <c r="K19" s="19">
        <f>+J19*$K$36</f>
        <v>-3.0050390559467036E-05</v>
      </c>
      <c r="L19" s="19">
        <f>+I19-K19</f>
        <v>0.0001713977980233992</v>
      </c>
      <c r="M19" s="15">
        <f>+L19*$H$34</f>
        <v>260236.4378433857</v>
      </c>
      <c r="N19" s="15">
        <f>+M19-D19</f>
        <v>60246.41164338568</v>
      </c>
      <c r="O19" s="20">
        <f>+N19/D19</f>
        <v>0.30124708110761617</v>
      </c>
      <c r="P19" s="20">
        <f>P18</f>
        <v>0.06475313780495953</v>
      </c>
      <c r="Q19" s="17">
        <f>IF(O19=P19,0,P19*D19-N19)</f>
        <v>-47296.42991723961</v>
      </c>
      <c r="R19" s="15">
        <f>IF(Q19=0,N19-Q$31*(M19/SUMIF(Q$9:Q$29,"=0",M$9:M$29)),N19+Q19)</f>
        <v>12949.98172614607</v>
      </c>
      <c r="S19" s="20">
        <f>+R19/D19</f>
        <v>0.06475313780495955</v>
      </c>
      <c r="T19" s="15">
        <f>R19</f>
        <v>12949.98172614607</v>
      </c>
      <c r="U19" s="20">
        <f>+T19/D19</f>
        <v>0.06475313780495955</v>
      </c>
    </row>
    <row r="20" spans="1:21" ht="12.75">
      <c r="A20" s="22" t="s">
        <v>53</v>
      </c>
      <c r="B20" s="11">
        <v>43</v>
      </c>
      <c r="C20" s="15">
        <v>13703952.492502334</v>
      </c>
      <c r="D20" s="15">
        <v>11991712.533453215</v>
      </c>
      <c r="E20" s="15">
        <v>12398488.04767587</v>
      </c>
      <c r="F20" s="15">
        <f>+C20-(E20-D20)</f>
        <v>13297176.978279678</v>
      </c>
      <c r="G20" s="19">
        <f>+F20/$F$31</f>
        <v>0.009098208509228338</v>
      </c>
      <c r="H20" s="15">
        <f>+G20*$H$34</f>
        <v>13813977.778610244</v>
      </c>
      <c r="I20" s="19">
        <f>+D20/$D$31</f>
        <v>0.008475410048505478</v>
      </c>
      <c r="J20" s="19">
        <f>+I20-G20</f>
        <v>-0.00062279846072286</v>
      </c>
      <c r="K20" s="19">
        <f>+J20*$K$36</f>
        <v>-0.00031139923036143</v>
      </c>
      <c r="L20" s="19">
        <f>+I20-K20</f>
        <v>0.008786809278866908</v>
      </c>
      <c r="M20" s="15">
        <f>+L20*$H$34</f>
        <v>13341174.583989464</v>
      </c>
      <c r="N20" s="15">
        <f>+M20-D20</f>
        <v>1349462.0505362488</v>
      </c>
      <c r="O20" s="20">
        <f>+N20/D20</f>
        <v>0.11253288859048796</v>
      </c>
      <c r="P20" s="20">
        <f>IF(O20&gt;P$38,P$38,IF(O20&lt;P$39,P$39,O20))</f>
        <v>0.10965808930165588</v>
      </c>
      <c r="Q20" s="17">
        <f>IF(O20=P20,0,P20*D20-N20)</f>
        <v>-34473.766663050046</v>
      </c>
      <c r="R20" s="15">
        <f>IF(Q20=0,N20-Q$31*(M20/SUMIF(Q$9:Q$29,"=0",M$9:M$29)),N20+Q20)</f>
        <v>1314988.2838731988</v>
      </c>
      <c r="S20" s="20">
        <f>+R20/D20</f>
        <v>0.10965808930165588</v>
      </c>
      <c r="T20" s="15">
        <f>R20</f>
        <v>1314988.2838731988</v>
      </c>
      <c r="U20" s="20">
        <f>+T20/D20</f>
        <v>0.10965808930165588</v>
      </c>
    </row>
    <row r="21" spans="1:21" ht="12.75">
      <c r="A21" s="10" t="s">
        <v>54</v>
      </c>
      <c r="B21" s="11"/>
      <c r="C21" s="12">
        <f aca="true" t="shared" si="1" ref="C21:N21">SUM(C18:C20)</f>
        <v>116090659.3798081</v>
      </c>
      <c r="D21" s="12">
        <f t="shared" si="1"/>
        <v>109030154.07986228</v>
      </c>
      <c r="E21" s="12">
        <f t="shared" si="1"/>
        <v>113056189.81951234</v>
      </c>
      <c r="F21" s="12">
        <f t="shared" si="1"/>
        <v>112064623.64015804</v>
      </c>
      <c r="G21" s="13">
        <f t="shared" si="1"/>
        <v>0.07667697542506996</v>
      </c>
      <c r="H21" s="12">
        <f t="shared" si="1"/>
        <v>116420065.94799365</v>
      </c>
      <c r="I21" s="13">
        <f t="shared" si="1"/>
        <v>0.07705949095266233</v>
      </c>
      <c r="J21" s="13">
        <f t="shared" si="1"/>
        <v>0.0003825155275923619</v>
      </c>
      <c r="K21" s="13">
        <f t="shared" si="1"/>
        <v>0.00019125776379618094</v>
      </c>
      <c r="L21" s="13">
        <f t="shared" si="1"/>
        <v>0.07686823318886614</v>
      </c>
      <c r="M21" s="12">
        <f t="shared" si="1"/>
        <v>116710456.1381489</v>
      </c>
      <c r="N21" s="12">
        <f t="shared" si="1"/>
        <v>7680302.058286626</v>
      </c>
      <c r="O21" s="14">
        <f>+N21/D21</f>
        <v>0.07044199949181919</v>
      </c>
      <c r="P21" s="14">
        <f>IF(O21&gt;P$38,P$38,IF(O21&lt;P$39,P$39,O21))</f>
        <v>0.07044199949181919</v>
      </c>
      <c r="Q21" s="12">
        <f>SUM(Q18:Q20)</f>
        <v>-81770.19658028966</v>
      </c>
      <c r="R21" s="12">
        <f>SUM(R18:R20)</f>
        <v>6766471.433739384</v>
      </c>
      <c r="S21" s="14">
        <f>+R21/D21</f>
        <v>0.06206055096265466</v>
      </c>
      <c r="T21" s="12">
        <f>SUM(T18:T20)</f>
        <v>8407351.308690784</v>
      </c>
      <c r="U21" s="14">
        <f>+T21/D21</f>
        <v>0.07711033135413692</v>
      </c>
    </row>
    <row r="22" spans="2:21" ht="12.75">
      <c r="B22" s="11"/>
      <c r="O22" s="16"/>
      <c r="S22" s="16"/>
      <c r="U22" s="16"/>
    </row>
    <row r="23" spans="1:21" ht="12.75">
      <c r="A23" s="21" t="s">
        <v>55</v>
      </c>
      <c r="B23" s="11" t="s">
        <v>56</v>
      </c>
      <c r="C23" s="12">
        <v>25985659.14778344</v>
      </c>
      <c r="D23" s="12">
        <v>22208536.686845962</v>
      </c>
      <c r="E23" s="12">
        <v>23566281.21325895</v>
      </c>
      <c r="F23" s="12">
        <f>+C23-(E23-D23)</f>
        <v>24627914.621370453</v>
      </c>
      <c r="G23" s="13">
        <f>+F23/$F$31</f>
        <v>0.016850937814748907</v>
      </c>
      <c r="H23" s="12">
        <f>+G23*$H$34</f>
        <v>25585089.667441297</v>
      </c>
      <c r="I23" s="13">
        <f>+D23/$D$31</f>
        <v>0.015696378183950165</v>
      </c>
      <c r="J23" s="13">
        <f>+I23-G23</f>
        <v>-0.0011545596307987425</v>
      </c>
      <c r="K23" s="13">
        <f>+J23*$K$36</f>
        <v>-0.0005772798153993713</v>
      </c>
      <c r="L23" s="13">
        <f>+I23-K23</f>
        <v>0.016273657999349538</v>
      </c>
      <c r="M23" s="12">
        <f>+L23*$H$34</f>
        <v>24708595.07689872</v>
      </c>
      <c r="N23" s="12">
        <f>+M23-D23</f>
        <v>2500058.390052758</v>
      </c>
      <c r="O23" s="14">
        <f>+N23/D23</f>
        <v>0.11257195488856922</v>
      </c>
      <c r="P23" s="14">
        <f>IF(O23&gt;P$38,P$38,IF(O23&lt;P$39,P$39,O23))</f>
        <v>0.10965808930165588</v>
      </c>
      <c r="Q23" s="12">
        <f>IF(O23=P23,0,P23*D23-N23)</f>
        <v>-64712.69078750303</v>
      </c>
      <c r="R23" s="12">
        <f>IF(Q23=0,N23-Q$31*(M23/SUMIF(Q$9:Q$29,"=0",M$9:M$29)),N23+Q23)</f>
        <v>2435345.699265255</v>
      </c>
      <c r="S23" s="14">
        <f>+R23/D23</f>
        <v>0.10965808930165587</v>
      </c>
      <c r="T23" s="12">
        <f>R23</f>
        <v>2435345.699265255</v>
      </c>
      <c r="U23" s="14">
        <f>+T23/D23</f>
        <v>0.10965808930165587</v>
      </c>
    </row>
    <row r="24" spans="2:21" ht="12.75">
      <c r="B24" s="1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0"/>
      <c r="S24" s="20"/>
      <c r="U24" s="20"/>
    </row>
    <row r="25" spans="1:21" ht="12.75">
      <c r="A25" s="21" t="s">
        <v>57</v>
      </c>
      <c r="B25" s="11">
        <v>449</v>
      </c>
      <c r="C25" s="12">
        <v>6538888.062383027</v>
      </c>
      <c r="D25" s="12">
        <v>6379014.859999999</v>
      </c>
      <c r="E25" s="12">
        <v>9797701.59036067</v>
      </c>
      <c r="F25" s="12">
        <f>+C25-(E25-D25)</f>
        <v>3120201.332022357</v>
      </c>
      <c r="G25" s="13">
        <f>+F25/$F$31</f>
        <v>0.0021349074586193956</v>
      </c>
      <c r="H25" s="12">
        <f>+G25*$H$34</f>
        <v>3241469.3687053034</v>
      </c>
      <c r="I25" s="13">
        <f>+D25/$D$31</f>
        <v>0.004508510898104468</v>
      </c>
      <c r="J25" s="13">
        <f>+I25-G25</f>
        <v>0.002373603439485072</v>
      </c>
      <c r="K25" s="13">
        <f>+J25*$K$36</f>
        <v>0.001186801719742536</v>
      </c>
      <c r="L25" s="13">
        <f>+I25-K25</f>
        <v>0.003321709178361932</v>
      </c>
      <c r="M25" s="12">
        <f>+L25*$H$34</f>
        <v>5043412.308077475</v>
      </c>
      <c r="N25" s="12">
        <f>+M25-D25</f>
        <v>-1335602.5519225243</v>
      </c>
      <c r="O25" s="14">
        <f>+N25/D25</f>
        <v>-0.20937442242022375</v>
      </c>
      <c r="P25" s="14">
        <f>IF(O25&gt;P$38,P$38,IF(O25&lt;P$39,P$39,O25))</f>
        <v>0.03655269643388529</v>
      </c>
      <c r="Q25" s="12">
        <f>IF(O25=P25,0,P25*D25-N25)</f>
        <v>1568772.7456473475</v>
      </c>
      <c r="R25" s="12">
        <f>IF(Q25=0,N25-Q$31*(M25/SUMIF(Q$9:Q$29,"=0",M$9:M$29)),N25+Q25)</f>
        <v>233170.19372482318</v>
      </c>
      <c r="S25" s="14">
        <f>+R25/D25</f>
        <v>0.03655269643388528</v>
      </c>
      <c r="T25" s="12">
        <f>R25</f>
        <v>233170.19372482318</v>
      </c>
      <c r="U25" s="14">
        <f>+T25/D25</f>
        <v>0.03655269643388528</v>
      </c>
    </row>
    <row r="26" spans="2:21" ht="12.75">
      <c r="B26" s="1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0"/>
      <c r="S26" s="20"/>
      <c r="U26" s="20"/>
    </row>
    <row r="27" spans="1:21" ht="12.75">
      <c r="A27" s="2" t="s">
        <v>58</v>
      </c>
      <c r="B27" s="11" t="s">
        <v>59</v>
      </c>
      <c r="C27" s="12">
        <v>14530532.079069553</v>
      </c>
      <c r="D27" s="12">
        <v>12888320.439728683</v>
      </c>
      <c r="E27" s="12">
        <v>13094232.970858075</v>
      </c>
      <c r="F27" s="12">
        <f>+C27-(E27-D27)</f>
        <v>14324619.547940161</v>
      </c>
      <c r="G27" s="13">
        <f>+F27/$F$31</f>
        <v>0.009801206351950727</v>
      </c>
      <c r="H27" s="12">
        <f>+G27*$H$34</f>
        <v>14881352.36866585</v>
      </c>
      <c r="I27" s="13">
        <f>+D27/$D$31</f>
        <v>0.009109107665690458</v>
      </c>
      <c r="J27" s="13">
        <f>+I27-G27</f>
        <v>-0.0006920986862602695</v>
      </c>
      <c r="K27" s="13">
        <f>+J27*$K$36</f>
        <v>-0.00034604934313013473</v>
      </c>
      <c r="L27" s="13">
        <f>+I27-K27</f>
        <v>0.009455157008820592</v>
      </c>
      <c r="M27" s="12">
        <f>+L27*$H$34</f>
        <v>14355939.268773308</v>
      </c>
      <c r="N27" s="12">
        <f>+M27-D27</f>
        <v>1467618.8290446252</v>
      </c>
      <c r="O27" s="14">
        <f>+N27/D27</f>
        <v>0.11387200030507005</v>
      </c>
      <c r="P27" s="14">
        <f>IF(O27&gt;P$38,P$38,IF(O27&lt;P$39,P$39,O27))</f>
        <v>0.10965808930165588</v>
      </c>
      <c r="Q27" s="12">
        <f>IF(O27=P27,0,P27*D27-N27)</f>
        <v>-54310.23531650053</v>
      </c>
      <c r="R27" s="12">
        <f>IF(Q27=0,N27-Q$31*(M27/SUMIF(Q$9:Q$29,"=0",M$9:M$29)),N27+Q27)</f>
        <v>1413308.5937281246</v>
      </c>
      <c r="S27" s="14">
        <f>+R27/D27</f>
        <v>0.10965808930165588</v>
      </c>
      <c r="T27" s="12">
        <f>R27</f>
        <v>1413308.5937281246</v>
      </c>
      <c r="U27" s="14">
        <f>+T27/D27</f>
        <v>0.10965808930165588</v>
      </c>
    </row>
    <row r="28" spans="2:21" ht="12.75">
      <c r="B28" s="1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0"/>
      <c r="S28" s="20"/>
      <c r="U28" s="20"/>
    </row>
    <row r="29" spans="1:21" ht="12.75">
      <c r="A29" s="2" t="s">
        <v>60</v>
      </c>
      <c r="B29" s="24" t="s">
        <v>61</v>
      </c>
      <c r="C29" s="12">
        <v>1952184.4384877153</v>
      </c>
      <c r="D29" s="12">
        <v>1797109.2101229976</v>
      </c>
      <c r="E29" s="12">
        <v>1858871.7964915999</v>
      </c>
      <c r="F29" s="12">
        <f>+C29-(E29-D29)</f>
        <v>1890421.852119113</v>
      </c>
      <c r="G29" s="13">
        <f>+F29/$F$31</f>
        <v>0.001293466440965313</v>
      </c>
      <c r="H29" s="12">
        <f>+G29*$H$34</f>
        <v>1963893.952831421</v>
      </c>
      <c r="I29" s="13">
        <f>+D29/$D$31</f>
        <v>0.0012701469798619418</v>
      </c>
      <c r="J29" s="13">
        <f>+I29-G29</f>
        <v>-2.331946110337114E-05</v>
      </c>
      <c r="K29" s="13">
        <f>+J29*$K$36</f>
        <v>-1.165973055168557E-05</v>
      </c>
      <c r="L29" s="13">
        <f>+I29-K29</f>
        <v>0.0012818067104136274</v>
      </c>
      <c r="M29" s="12">
        <f>+L29*$H$34</f>
        <v>1946190.7688933746</v>
      </c>
      <c r="N29" s="12">
        <f>+M29-D29</f>
        <v>149081.55877037696</v>
      </c>
      <c r="O29" s="14">
        <f>+N29/D29</f>
        <v>0.08295631558205276</v>
      </c>
      <c r="P29" s="14">
        <f>IF(O29&gt;P$38,P$38,IF(O29&lt;P$39,P$39,O29))</f>
        <v>0.08295631558205276</v>
      </c>
      <c r="Q29" s="12">
        <f>IF(O29=P29,0,P29*D29-N29)</f>
        <v>0</v>
      </c>
      <c r="R29" s="12">
        <f>IF(Q29=0,N29-Q$31*(M29/SUMIF(Q$9:Q$29,"=0",M$9:M$29)),N29+Q29)</f>
        <v>133376.3573281176</v>
      </c>
      <c r="S29" s="14">
        <f>+R29/D29</f>
        <v>0.07421716864885972</v>
      </c>
      <c r="T29" s="12">
        <f>R29</f>
        <v>133376.3573281176</v>
      </c>
      <c r="U29" s="14">
        <f>+T29/D29</f>
        <v>0.07421716864885972</v>
      </c>
    </row>
    <row r="30" spans="2:21" ht="12.75">
      <c r="B30" s="11"/>
      <c r="O30" s="16"/>
      <c r="S30" s="16"/>
      <c r="U30" s="16"/>
    </row>
    <row r="31" spans="1:21" ht="13.5" thickBot="1">
      <c r="A31" s="2" t="s">
        <v>62</v>
      </c>
      <c r="B31" s="11"/>
      <c r="C31" s="25">
        <f aca="true" t="shared" si="2" ref="C31:N31">SUM(C29,C27,C25,C23,C21,C15,C9)</f>
        <v>1522107551.3047752</v>
      </c>
      <c r="D31" s="25">
        <f t="shared" si="2"/>
        <v>1414882874.67198</v>
      </c>
      <c r="E31" s="25">
        <f t="shared" si="2"/>
        <v>1475474462.1699998</v>
      </c>
      <c r="F31" s="25">
        <f t="shared" si="2"/>
        <v>1461515963.8067555</v>
      </c>
      <c r="G31" s="26">
        <f t="shared" si="2"/>
        <v>0.9999999999999999</v>
      </c>
      <c r="H31" s="25">
        <f t="shared" si="2"/>
        <v>1518318443.0867558</v>
      </c>
      <c r="I31" s="26">
        <f t="shared" si="2"/>
        <v>0.9999999999999999</v>
      </c>
      <c r="J31" s="26">
        <f t="shared" si="2"/>
        <v>0</v>
      </c>
      <c r="K31" s="26">
        <f t="shared" si="2"/>
        <v>0</v>
      </c>
      <c r="L31" s="26">
        <f t="shared" si="2"/>
        <v>0.9999999999999999</v>
      </c>
      <c r="M31" s="25">
        <f t="shared" si="2"/>
        <v>1518318443.0867558</v>
      </c>
      <c r="N31" s="25">
        <f t="shared" si="2"/>
        <v>103435568.4147757</v>
      </c>
      <c r="O31" s="27">
        <f>+N31/D31</f>
        <v>0.07310539286777058</v>
      </c>
      <c r="Q31" s="25">
        <f>SUM(Q29,Q27,Q25,Q23,Q21,Q15,Q9)</f>
        <v>9138938.571224889</v>
      </c>
      <c r="R31" s="25">
        <f>SUM(R29,R27,R25,R23,R21,R15,R9)</f>
        <v>103435568.41477568</v>
      </c>
      <c r="S31" s="14">
        <f>+R31/D31</f>
        <v>0.07310539286777057</v>
      </c>
      <c r="T31" s="25">
        <f>SUM(T29,T27,T25,T23,T21,T15,T9)</f>
        <v>103435568.4147757</v>
      </c>
      <c r="U31" s="14">
        <f>+T31/D31</f>
        <v>0.07310539286777058</v>
      </c>
    </row>
    <row r="32" spans="2:21" ht="13.5" thickTop="1">
      <c r="B32" s="11"/>
      <c r="C32" s="28"/>
      <c r="D32" s="29"/>
      <c r="E32" s="28"/>
      <c r="G32" s="28"/>
      <c r="H32" s="28"/>
      <c r="I32" s="28"/>
      <c r="J32" s="28"/>
      <c r="K32" s="28"/>
      <c r="L32" s="28"/>
      <c r="M32" s="28"/>
      <c r="N32" s="28"/>
      <c r="O32" s="28"/>
      <c r="S32" s="28"/>
      <c r="U32" s="28"/>
    </row>
    <row r="33" spans="2:8" ht="12.75">
      <c r="B33" s="11"/>
      <c r="C33" s="30"/>
      <c r="E33" s="30"/>
      <c r="F33" s="30"/>
      <c r="G33" s="30"/>
      <c r="H33" s="31"/>
    </row>
    <row r="34" spans="1:8" ht="12.75">
      <c r="A34" s="28" t="s">
        <v>63</v>
      </c>
      <c r="B34" s="11"/>
      <c r="C34" s="28"/>
      <c r="E34" s="28"/>
      <c r="F34" s="28"/>
      <c r="G34" s="28"/>
      <c r="H34" s="29">
        <v>1518318443.0867558</v>
      </c>
    </row>
    <row r="35" spans="2:8" ht="12.75">
      <c r="B35" s="11"/>
      <c r="H35" s="31"/>
    </row>
    <row r="36" spans="1:11" ht="12.75">
      <c r="A36" s="2" t="s">
        <v>64</v>
      </c>
      <c r="B36" s="11"/>
      <c r="K36" s="32">
        <v>0.5</v>
      </c>
    </row>
    <row r="37" ht="12.75">
      <c r="B37" s="11"/>
    </row>
    <row r="38" spans="1:16" ht="12.75">
      <c r="A38" s="2" t="s">
        <v>65</v>
      </c>
      <c r="B38" s="11"/>
      <c r="P38" s="33">
        <f>1.5*O31</f>
        <v>0.10965808930165588</v>
      </c>
    </row>
    <row r="39" spans="1:16" ht="12.75">
      <c r="A39" s="2" t="s">
        <v>66</v>
      </c>
      <c r="B39" s="11"/>
      <c r="P39" s="33">
        <f>0.5*O31</f>
        <v>0.03655269643388529</v>
      </c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</sheetData>
  <printOptions horizontalCentered="1" verticalCentered="1"/>
  <pageMargins left="1" right="1" top="1.75" bottom="1" header="1" footer="0.5"/>
  <pageSetup fitToWidth="2" horizontalDpi="600" verticalDpi="600" orientation="landscape" scale="70" r:id="rId1"/>
  <headerFooter alignWithMargins="0">
    <oddHeader>&amp;LSixth Exhibit to
Prefiled Rebuttal Testimony of
James A. Heidell&amp;CPuget Sound Energy
Rate Spread
Modified Parity Increase&amp;RExhibit No. ___(JAH-20)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2004-11-03T08:18:52Z</cp:lastPrinted>
  <dcterms:created xsi:type="dcterms:W3CDTF">2004-11-01T17:48:17Z</dcterms:created>
  <dcterms:modified xsi:type="dcterms:W3CDTF">2004-11-05T00:58:48Z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