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1_{34FAF497-F982-465D-8077-FD07FFE84A4C}" xr6:coauthVersionLast="47" xr6:coauthVersionMax="47" xr10:uidLastSave="{00000000-0000-0000-0000-000000000000}"/>
  <bookViews>
    <workbookView xWindow="-120" yWindow="480" windowWidth="19440" windowHeight="15000" tabRatio="854" xr2:uid="{1970347E-1F47-4818-9708-F3A618293F9D}"/>
  </bookViews>
  <sheets>
    <sheet name="Non-NPC Coal Costs 1.1.2026" sheetId="25" r:id="rId1"/>
    <sheet name="Non-NPC Coal Costs 4.1.2026" sheetId="26" r:id="rId2"/>
    <sheet name="Rev Req Adj- Coal Tracker 2026" sheetId="24" r:id="rId3"/>
    <sheet name="Interest Calc" sheetId="7" r:id="rId4"/>
    <sheet name="Variables" sheetId="3" r:id="rId5"/>
    <sheet name="Unadj. Results" sheetId="4" r:id="rId6"/>
    <sheet name="UE-230172 RY2 Ref.&gt;&gt;" sheetId="23" r:id="rId7"/>
    <sheet name="Non-NPC Coal Costs (RY2)" sheetId="21" r:id="rId8"/>
    <sheet name="Rev Req Adj- Coal Tracker RY2" sheetId="22" r:id="rId9"/>
    <sheet name="Deferred Fly Ash Amort." sheetId="17" r:id="rId10"/>
  </sheet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j1" hidden="1">{"PRINT",#N/A,TRUE,"APPA";"PRINT",#N/A,TRUE,"APS";"PRINT",#N/A,TRUE,"BHPL";"PRINT",#N/A,TRUE,"BHPL2";"PRINT",#N/A,TRUE,"CDWR";"PRINT",#N/A,TRUE,"EWEB";"PRINT",#N/A,TRUE,"LADWP";"PRINT",#N/A,TRUE,"NEVBASE"}</definedName>
    <definedName name="__________j2" hidden="1">{"PRINT",#N/A,TRUE,"APPA";"PRINT",#N/A,TRUE,"APS";"PRINT",#N/A,TRUE,"BHPL";"PRINT",#N/A,TRUE,"BHPL2";"PRINT",#N/A,TRUE,"CDWR";"PRINT",#N/A,TRUE,"EWEB";"PRINT",#N/A,TRUE,"LADWP";"PRINT",#N/A,TRUE,"NEVBASE"}</definedName>
    <definedName name="__________j3" hidden="1">{"PRINT",#N/A,TRUE,"APPA";"PRINT",#N/A,TRUE,"APS";"PRINT",#N/A,TRUE,"BHPL";"PRINT",#N/A,TRUE,"BHPL2";"PRINT",#N/A,TRUE,"CDWR";"PRINT",#N/A,TRUE,"EWEB";"PRINT",#N/A,TRUE,"LADWP";"PRINT",#N/A,TRUE,"NEVBASE"}</definedName>
    <definedName name="__________j4" hidden="1">{"PRINT",#N/A,TRUE,"APPA";"PRINT",#N/A,TRUE,"APS";"PRINT",#N/A,TRUE,"BHPL";"PRINT",#N/A,TRUE,"BHPL2";"PRINT",#N/A,TRUE,"CDWR";"PRINT",#N/A,TRUE,"EWEB";"PRINT",#N/A,TRUE,"LADWP";"PRINT",#N/A,TRUE,"NEVBASE"}</definedName>
    <definedName name="__________j5" hidden="1">{"PRINT",#N/A,TRUE,"APPA";"PRINT",#N/A,TRUE,"APS";"PRINT",#N/A,TRUE,"BHPL";"PRINT",#N/A,TRUE,"BHPL2";"PRINT",#N/A,TRUE,"CDWR";"PRINT",#N/A,TRUE,"EWEB";"PRINT",#N/A,TRUE,"LADWP";"PRINT",#N/A,TRUE,"NEVBASE"}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hidden="1">{#N/A,#N/A,FALSE,"CRPT";#N/A,#N/A,FALSE,"TREND";#N/A,#N/A,FALSE,"%Curve"}</definedName>
    <definedName name="________www1" hidden="1">{#N/A,#N/A,FALSE,"schA"}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www1" hidden="1">{#N/A,#N/A,FALSE,"schA"}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hidden="1">#REF!</definedName>
    <definedName name="__123Graph_AB06" hidden="1">#REF!</definedName>
    <definedName name="__123Graph_B" hidden="1">#REF!</definedName>
    <definedName name="__123Graph_D" hidden="1">#REF!</definedName>
    <definedName name="__123Graph_E" hidden="1">#REF!</definedName>
    <definedName name="__123Graph_ECURRENT" hidden="1">#REF!</definedName>
    <definedName name="__123Graph_F" hidden="1">#REF!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www1" hidden="1">{#N/A,#N/A,FALSE,"schA"}</definedName>
    <definedName name="_1__123Graph_ACHART_17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ex1" hidden="1">{#N/A,#N/A,FALSE,"Summ";#N/A,#N/A,FALSE,"General"}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new1" hidden="1">{#N/A,#N/A,FALSE,"Summ";#N/A,#N/A,FALSE,"General"}</definedName>
    <definedName name="_nofill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ix6" hidden="1">{#N/A,#N/A,FALSE,"CRPT";#N/A,#N/A,FALSE,"TREND";#N/A,#N/A,FALSE,"%Curve"}</definedName>
    <definedName name="_Sort" hidden="1">#REF!</definedName>
    <definedName name="_Table2_Out" hidden="1">#REF!</definedName>
    <definedName name="_www1" hidden="1">{#N/A,#N/A,FALSE,"schA"}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lkjslkj" hidden="1">{0,#N/A,TRUE,0;0,#N/A,TRUE,0;0,#N/A,TRUE,0;0,#N/A,TRUE,0;0,#N/A,TRUE,0;0,#N/A,TRUE,0;0,#N/A,TRUE,0;0,#N/A,TRUE,0}</definedName>
    <definedName name="anscount" hidden="1">1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asdf" hidden="1">#REF!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i" hidden="1">{#N/A,#N/A,FALSE,"BidCo Assumptions";#N/A,#N/A,FALSE,"Credit Stats";#N/A,#N/A,FALSE,"Bidco Summary";#N/A,#N/A,FALSE,"BIDCO Consolidated"}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IQWBGuid" hidden="1">"PRW Allocation Spreadsheet_November - 11312014 Shutdown.xlsx"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bined1stub" hidden="1">{"YTD-Total",#N/A,TRUE,"Provision";"YTD-Utility",#N/A,TRUE,"Prov Utility";"YTD-NonUtility",#N/A,TRUE,"Prov NonUtility"}</definedName>
    <definedName name="copy" hidden="1">#REF!</definedName>
    <definedName name="Cost_Debt">Variables!$D$8</definedName>
    <definedName name="Cost_equity">Variables!$D$10</definedName>
    <definedName name="Cost_pref">Variables!$D$9</definedName>
    <definedName name="Cwvu.GREY_ALL." hidden="1">#REF!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d" hidden="1">{#N/A,#N/A,FALSE,"CHECKREQ"}</definedName>
    <definedName name="dfdfdfd" hidden="1">{#N/A,#N/A,FALSE,"CHECKREQ"}</definedName>
    <definedName name="DFIT" hidden="1">{#N/A,#N/A,FALSE,"Coversheet";#N/A,#N/A,FALSE,"QA"}</definedName>
    <definedName name="dsd" hidden="1">#REF!</definedName>
    <definedName name="DUDE" hidden="1">#REF!</definedName>
    <definedName name="ee" hidden="1">{#N/A,#N/A,FALSE,"Month ";#N/A,#N/A,FALSE,"YTD";#N/A,#N/A,FALSE,"12 mo ended"}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rt" hidden="1">#REF!</definedName>
    <definedName name="Estimate" hidden="1">{#N/A,#N/A,FALSE,"Summ";#N/A,#N/A,FALSE,"General"}</definedName>
    <definedName name="ex" hidden="1">{#N/A,#N/A,FALSE,"Summ";#N/A,#N/A,FALSE,"General"}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f" hidden="1">{#N/A,#N/A,FALSE,"CHECKREQ"}</definedName>
    <definedName name="fdgfas" hidden="1">#REF!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hfjhke" hidden="1">{0,#N/A,TRUE,0;0,#N/A,TRUE,0;0,#N/A,TRUE,0;0,#N/A,TRUE,0;0,#N/A,TRUE,0;0,#N/A,TRUE,0;0,#N/A,TRUE,0;0,#N/A,TRUE,0}</definedName>
    <definedName name="fjljelj" hidden="1">{0,#N/A,TRUE,0;0,#N/A,TRUE,0;0,#N/A,TRUE,0;0,#N/A,TRUE,0;0,#N/A,TRUE,0;0,#N/A,TRUE,0;0,#N/A,TRUE,0;0,#N/A,TRUE,0}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ross_up_factor">Variables!$D$34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j" hidden="1">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"3030739 Celestica"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43041.6469791667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ejflj" hidden="1">{0,#N/A,TRUE,0;0,#N/A,TRUE,0;0,#N/A,TRUE,0;0,#N/A,TRUE,0;0,#N/A,TRUE,0;0,#N/A,TRUE,0;0,#N/A,TRUE,0;0,#N/A,TRUE,0}</definedName>
    <definedName name="jfkjlllje" hidden="1">{0,#N/A,TRUE,0;0,#N/A,TRUE,0;0,#N/A,TRUE,0;0,#N/A,TRUE,0;0,#N/A,TRUE,0;0,#N/A,TRUE,0;0,#N/A,TRUE,0;0,#N/A,TRUE,0}</definedName>
    <definedName name="jfkljsdkljiejgr" hidden="1">{#N/A,#N/A,FALSE,"Summ";#N/A,#N/A,FALSE,"General"}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hidden="1">{#N/A,#N/A,FALSE,"Coversheet";#N/A,#N/A,FALSE,"QA"}</definedName>
    <definedName name="Master" hidden="1">{#N/A,#N/A,FALSE,"Actual";#N/A,#N/A,FALSE,"Normalized";#N/A,#N/A,FALSE,"Electric Actual";#N/A,#N/A,FALSE,"Electric Normalized"}</definedName>
    <definedName name="Masterstub" hidden="1">{#N/A,#N/A,FALSE,"Actual";#N/A,#N/A,FALSE,"Normalized";#N/A,#N/A,FALSE,"Electric Actual";#N/A,#N/A,FALSE,"Electric Normalized"}</definedName>
    <definedName name="Miller" hidden="1">{#N/A,#N/A,FALSE,"Expenditures";#N/A,#N/A,FALSE,"Property Placed In-Service";#N/A,#N/A,FALSE,"CWIP Balances"}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" hidden="1">#REF!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3" hidden="1">{#N/A,#N/A,FALSE,"Wld 2";#N/A,#N/A,FALSE,"MAFunding 2";#N/A,#N/A,FALSE,"MEC 2"}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verall_ROR">Variables!$E$11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l_Workbook_GUID" hidden="1">"VX3CWJGNQX2CCGI81U4N2V76"</definedName>
    <definedName name="Percent_common">Variables!$C$10</definedName>
    <definedName name="Percent_debt">Variables!$C$8</definedName>
    <definedName name="Percent_pref">Variables!$C$9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#REF!</definedName>
    <definedName name="_xlnm.Print_Area" localSheetId="9">'Deferred Fly Ash Amort.'!$A$1:$I$65</definedName>
    <definedName name="_xlnm.Print_Area" localSheetId="7">'Non-NPC Coal Costs (RY2)'!$A$1:$G$33</definedName>
    <definedName name="_xlnm.Print_Area" localSheetId="0">'Non-NPC Coal Costs 1.1.2026'!$A$1:$I$32</definedName>
    <definedName name="_xlnm.Print_Area" localSheetId="1">'Non-NPC Coal Costs 4.1.2026'!$A$1:$I$32</definedName>
    <definedName name="_xlnm.Print_Area" localSheetId="2">'Rev Req Adj- Coal Tracker 2026'!$A$1:$P$88</definedName>
    <definedName name="_xlnm.Print_Area" localSheetId="8">'Rev Req Adj- Coal Tracker RY2'!$A$1:$O$88</definedName>
    <definedName name="_xlnm.Print_Area" localSheetId="5">'Unadj. Results'!$A$1:$D$84</definedName>
    <definedName name="_xlnm.Print_Titles" localSheetId="2">'Rev Req Adj- Coal Tracker 2026'!$A:$A</definedName>
    <definedName name="_xlnm.Print_Titles" localSheetId="8">'Rev Req Adj- Coal Tracker RY2'!$A:$A</definedName>
    <definedName name="q" hidden="1">{#N/A,#N/A,FALSE,"Coversheet";#N/A,#N/A,FALSE,"QA"}</definedName>
    <definedName name="qqq" hidden="1">{#N/A,#N/A,FALSE,"schA"}</definedName>
    <definedName name="qw" hidden="1">#REF!</definedName>
    <definedName name="Restated_Op_revenue">'Unadj. Results'!$F$37</definedName>
    <definedName name="Restated_rate_base">'Unadj. Results'!$F$64</definedName>
    <definedName name="Restated_ROE">'Unadj. Results'!$F$67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l_CC1stub" hidden="1">{#N/A,#N/A,FALSE,"Loans";#N/A,#N/A,FALSE,"Program Costs";#N/A,#N/A,FALSE,"Measures";#N/A,#N/A,FALSE,"Net Lost Rev";#N/A,#N/A,FALSE,"Incentive"}</definedName>
    <definedName name="retail_CCstub" hidden="1">{#N/A,#N/A,FALSE,"Loans";#N/A,#N/A,FALSE,"Program Costs";#N/A,#N/A,FALSE,"Measures";#N/A,#N/A,FALSE,"Net Lost Rev";#N/A,#N/A,FALSE,"Incentive"}</definedName>
    <definedName name="retailstub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"45J5JLNGI27004SIRR034OPHN"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hidden="1">{#N/A,#N/A,FALSE,"Drill Sites";"WP 212",#N/A,FALSE,"MWAG EOR";"WP 213",#N/A,FALSE,"MWAG EOR";#N/A,#N/A,FALSE,"Misc. Facility";#N/A,#N/A,FALSE,"WWTP"}</definedName>
    <definedName name="solver_adj" localSheetId="9" hidden="1">'Deferred Fly Ash Amort.'!$F$11</definedName>
    <definedName name="solver_cvg" localSheetId="9" hidden="1">0.0001</definedName>
    <definedName name="solver_drv" localSheetId="9" hidden="1">1</definedName>
    <definedName name="solver_eng" localSheetId="9" hidden="1">1</definedName>
    <definedName name="solver_est" localSheetId="9" hidden="1">1</definedName>
    <definedName name="solver_itr" localSheetId="9" hidden="1">2147483647</definedName>
    <definedName name="solver_mip" localSheetId="9" hidden="1">2147483647</definedName>
    <definedName name="solver_mni" localSheetId="9" hidden="1">30</definedName>
    <definedName name="solver_mrt" localSheetId="9" hidden="1">0.075</definedName>
    <definedName name="solver_msl" localSheetId="9" hidden="1">2</definedName>
    <definedName name="solver_neg" localSheetId="9" hidden="1">2</definedName>
    <definedName name="solver_nod" localSheetId="9" hidden="1">2147483647</definedName>
    <definedName name="solver_num" localSheetId="9" hidden="1">0</definedName>
    <definedName name="solver_nwt" localSheetId="9" hidden="1">1</definedName>
    <definedName name="solver_opt" localSheetId="9" hidden="1">'Deferred Fly Ash Amort.'!#REF!</definedName>
    <definedName name="solver_pre" localSheetId="9" hidden="1">0.000001</definedName>
    <definedName name="solver_rbv" localSheetId="9" hidden="1">1</definedName>
    <definedName name="solver_rlx" localSheetId="9" hidden="1">2</definedName>
    <definedName name="solver_rsd" localSheetId="9" hidden="1">0</definedName>
    <definedName name="solver_scl" localSheetId="9" hidden="1">1</definedName>
    <definedName name="solver_sho" localSheetId="9" hidden="1">2</definedName>
    <definedName name="solver_ssz" localSheetId="9" hidden="1">100</definedName>
    <definedName name="solver_tim" localSheetId="9" hidden="1">2147483647</definedName>
    <definedName name="solver_tol" localSheetId="9" hidden="1">0.01</definedName>
    <definedName name="solver_typ" localSheetId="9" hidden="1">3</definedName>
    <definedName name="solver_val" localSheetId="9" hidden="1">0</definedName>
    <definedName name="solver_ver" localSheetId="9" hidden="1">3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ippwstub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standard1stub" hidden="1">{"YTD-Total",#N/A,FALSE,"Provision"}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P_Footer_User" hidden="1">"Dylan Moser"</definedName>
    <definedName name="TP_Footer_Version" hidden="1">"v4.00"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adj_Op_revenue">'Unadj. Results'!$B$37</definedName>
    <definedName name="Unadj_rate_base">'Unadj. Results'!$B$64</definedName>
    <definedName name="Unadj_ROE">'Unadj. Results'!$B$67</definedName>
    <definedName name="uncollectible_perc">Variables!$D$20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vcdv" hidden="1">#REF!</definedName>
    <definedName name="w" hidden="1">#REF!</definedName>
    <definedName name="WA_rev_tax_perc">Variables!$D$22</definedName>
    <definedName name="we" hidden="1">{#N/A,#N/A,FALSE,"Pg 6b CustCount_Gas";#N/A,#N/A,FALSE,"QA";#N/A,#N/A,FALSE,"Report";#N/A,#N/A,FALSE,"forecast"}</definedName>
    <definedName name="Weighted_cost_debt">Variables!$E$8</definedName>
    <definedName name="Weighted_cost_equity">Variables!$E$10</definedName>
    <definedName name="Weighted_cost_pref">Variables!$E$9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hidden="1">{"Page 3.4.1",#N/A,FALSE,"Totals";"Page 3.4.2",#N/A,FALSE,"Totals"}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ut._.Syn._.and._.JE." hidden="1">{#N/A,#N/A,FALSE,"June 01 Mapping";#N/A,#N/A,FALSE,"June 01 conv";#N/A,#N/A,FALSE,"reclass";#N/A,#N/A,FALSE,"US FV";#N/A,#N/A,FALSE,"UK FV";#N/A,#N/A,FALSE,"UK GAAP"}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All._.pages.stub" hidden="1">{#N/A,#N/A,FALSE,"Summary 1";#N/A,#N/A,FALSE,"Domestic";#N/A,#N/A,FALSE,"Australia";#N/A,#N/A,FALSE,"Other"}</definedName>
    <definedName name="wrn.All._.Sheets." hidden="1">{"IncSt",#N/A,FALSE,"IS";"BalSht",#N/A,FALSE,"BS";"IntCash",#N/A,FALSE,"Int. Cash";"Stats",#N/A,FALSE,"Stats"}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AllResults.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stub" hidden="1">{#N/A,#N/A,FALSE,"Summary EPS";#N/A,#N/A,FALSE,"1st Qtr Electric";#N/A,#N/A,FALSE,"1st Qtr Australia";#N/A,#N/A,FALSE,"1st Qtr Telecom";#N/A,#N/A,FALSE,"1st QTR Other"}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idCo." hidden="1">{#N/A,#N/A,FALSE,"BidCo Assumptions";#N/A,#N/A,FALSE,"Credit Stats";#N/A,#N/A,FALSE,"Bidco Summary";#N/A,#N/A,FALSE,"BIDCO Consolidated"}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hidden="1">{#N/A,#N/A,FALSE,"CHECKREQ"}</definedName>
    <definedName name="wrn.Combined._.YTD." hidden="1">{"YTD-Total",#N/A,TRUE,"Provision";"YTD-Utility",#N/A,TRUE,"Prov Utility";"YTD-NonUtility",#N/A,TRUE,"Prov NonUtility"}</definedName>
    <definedName name="wrn.Combined._.YTD.stub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hidden="1">{"Conol gross povision grouped",#N/A,FALSE,"Consol Gross";"Consol Gross Grouped",#N/A,FALSE,"Consol Gross"}</definedName>
    <definedName name="wrn.ConsolGrossGrp.stub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CF._.Valuation." hidden="1">{"value box",#N/A,TRUE,"DPL Inc. Fin Statements";"unlevered free cash flows",#N/A,TRUE,"DPL Inc. Fin Statements"}</definedName>
    <definedName name="wrn.ECR." hidden="1">{#N/A,#N/A,FALSE,"schA"}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ASBResults.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Full._.View.stub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FundingResults.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aphResults.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pen._.Issues._.Only.stub" hidden="1">{"Open issues Only",#N/A,FALSE,"TIMELINE"}</definedName>
    <definedName name="wrn.OR._.Carring._.Charge._.JV.1stub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._.Carrying._.Charge._.JV.stub" hidden="1">{#N/A,#N/A,FALSE,"Loans";#N/A,#N/A,FALSE,"Program Costs";#N/A,#N/A,FALSE,"Measures";#N/A,#N/A,FALSE,"Net Lost Rev";#N/A,#N/A,FALSE,"Incentive"}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ayments._.View.stub" hidden="1">{#N/A,#N/A,FALSE,"Consltd-For contngcy";"PaymentView",#N/A,FALSE,"Consltd-For contngcy"}</definedName>
    <definedName name="wrn.PFSreconview." hidden="1">{"PFS recon view",#N/A,FALSE,"Hyperion Proof"}</definedName>
    <definedName name="wrn.PFSreconview.stub" hidden="1">{"PFS recon view",#N/A,FALSE,"Hyperion Proof"}</definedName>
    <definedName name="wrn.PGHCreconview." hidden="1">{"PGHC recon view",#N/A,FALSE,"Hyperion Proof"}</definedName>
    <definedName name="wrn.PGHCreconview.stub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CoCodeView.stub" hidden="1">{"PPM Co Code View",#N/A,FALSE,"Comp Codes"}</definedName>
    <definedName name="wrn.PPMreconview." hidden="1">{"PPM Recon View",#N/A,FALSE,"Hyperion Proof"}</definedName>
    <definedName name="wrn.PPMreconview.stub" hidden="1">{"PPM Recon View",#N/A,FALSE,"Hyperion Proof"}</definedName>
    <definedName name="wrn.Print." hidden="1">{"FC",#N/A,FALSE,"CALENDAR";"P",#N/A,FALSE,"CALENDAR"}</definedName>
    <definedName name="wrn.Print._.Option._.1." hidden="1">{#N/A,#N/A,FALSE,"Wld 1";#N/A,#N/A,FALSE,"MAFunding 1";#N/A,#N/A,FALSE,"MEC 1"}</definedName>
    <definedName name="wrn.Print._.Option._.2." hidden="1">{#N/A,#N/A,FALSE,"Wld 2";#N/A,#N/A,FALSE,"MAFunding 2";#N/A,#N/A,FALSE,"MEC 2"}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All." hidden="1">{"PA1",#N/A,TRUE,"BORDMW";"pa2",#N/A,TRUE,"BORDMW";"PA3",#N/A,TRUE,"BORDMW";"PA4",#N/A,TRUE,"BORDMW"}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hidden="1">{"Electric Only",#N/A,FALSE,"Hyperion Proof"}</definedName>
    <definedName name="wrn.ProofElectricOnly.stub" hidden="1">{"Electric Only",#N/A,FALSE,"Hyperion Proof"}</definedName>
    <definedName name="wrn.ProofTotal." hidden="1">{"Proof Total",#N/A,FALSE,"Hyperion Proof"}</definedName>
    <definedName name="wrn.ProofTotal.stub" hidden="1">{"Proof Total",#N/A,FALSE,"Hyperion Proof"}</definedName>
    <definedName name="wrn.Reformat._.only." hidden="1">{#N/A,#N/A,FALSE,"Dec 1999 mapping"}</definedName>
    <definedName name="wrn.Reformat._.only.stub" hidden="1">{#N/A,#N/A,FALSE,"Dec 1999 mapping"}</definedName>
    <definedName name="wrn.sales." hidden="1">{"sales",#N/A,FALSE,"Sales";"sales existing",#N/A,FALSE,"Sales";"sales rd1",#N/A,FALSE,"Sales";"sales rd2",#N/A,FALSE,"Sales"}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NonUtility._.Only.stub" hidden="1">{"YTD-NonUtility",#N/A,FALSE,"Prov NonUtility"}</definedName>
    <definedName name="wrn.Standard._.Utility._.Only." hidden="1">{"YTD-Utility",#N/A,FALSE,"Prov Utility"}</definedName>
    <definedName name="wrn.Standard._.Utility._.Only.stub" hidden="1">{"YTD-Utility",#N/A,FALSE,"Prov Utility"}</definedName>
    <definedName name="wrn.Standard.stub" hidden="1">{"YTD-Total",#N/A,FALSE,"Provision"}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Summary._.View.stub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test." hidden="1">{#N/A,#N/A,TRUE,"10.1_Historical Cover Sheet";#N/A,#N/A,TRUE,"10.2-10.3_Historical"}</definedName>
    <definedName name="wrn.Total._.Summary." hidden="1">{"Total Summary",#N/A,FALSE,"Summary"}</definedName>
    <definedName name="wrn.UK._.Conversion._.Only." hidden="1">{#N/A,#N/A,FALSE,"Dec 1999 UK Continuing Ops"}</definedName>
    <definedName name="wrn.UK._.Conversion._.Only.stub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Wacc." hidden="1">{"Area1",#N/A,FALSE,"OREWACC";"Area2",#N/A,FALSE,"OREWACC"}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UTC_reg_fee_perc">Variables!$D$21</definedName>
    <definedName name="www" hidden="1">{#N/A,#N/A,FALSE,"schA"}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#REF!</definedName>
    <definedName name="y" hidden="1">#REF!</definedName>
    <definedName name="yuf" hidden="1">{#N/A,#N/A,FALSE,"Summ";#N/A,#N/A,FALSE,"General"}</definedName>
    <definedName name="z" hidden="1">#REF!</definedName>
    <definedName name="Z_01844156_6462_4A28_9785_1A86F4D0C834_.wvu.PrintTitles" hidden="1">#REF!</definedName>
    <definedName name="Z_581AFC92_5FB7_4950_93A7_F010275D5C1A_.wvu.Rows" hidden="1">#REF!,#REF!,#REF!</definedName>
    <definedName name="Z_8DEE9286_69B5_447F_9CA7_1E503CCF77AB_.wvu.Cols" hidden="1">#REF!</definedName>
    <definedName name="Z_8DEE9286_69B5_447F_9CA7_1E503CCF77AB_.wvu.PrintTitles" hidden="1">#REF!</definedName>
    <definedName name="Z_9CFFCCF6_95A1_11D6_8DB9_00105A0C4F46_.wvu.Cols" hidden="1">#REF!</definedName>
    <definedName name="Z_9CFFCCF6_95A1_11D6_8DB9_00105A0C4F46_.wvu.Rows" hidden="1">#REF!</definedName>
    <definedName name="Z_F3B54C8A_1D3B_492A_9994_77E5201A636C_.wvu.Cols" hidden="1">#REF!</definedName>
    <definedName name="Z_F3B54C8A_1D3B_492A_9994_77E5201A636C_.wvu.Rows" hidden="1">#REF!,#REF!</definedName>
    <definedName name="Z_F6530864_A582_11D6_AAF2_0004755110B4_.wvu.Rows" hidden="1">#REF!,#REF!,#REF!</definedName>
    <definedName name="zz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6" i="22" l="1"/>
  <c r="P59" i="24" l="1"/>
  <c r="P65" i="24" s="1"/>
  <c r="A19" i="26"/>
  <c r="A20" i="26" s="1"/>
  <c r="A21" i="26" s="1"/>
  <c r="A22" i="26" s="1"/>
  <c r="A23" i="26" s="1"/>
  <c r="A12" i="26"/>
  <c r="A13" i="26" s="1"/>
  <c r="A14" i="26" s="1"/>
  <c r="A15" i="26" s="1"/>
  <c r="A16" i="26" s="1"/>
  <c r="A17" i="26" s="1"/>
  <c r="C11" i="26" a="1"/>
  <c r="C23" i="26" s="1"/>
  <c r="F27" i="25"/>
  <c r="I27" i="26" s="1"/>
  <c r="A19" i="25"/>
  <c r="A20" i="25" s="1"/>
  <c r="A21" i="25" s="1"/>
  <c r="A22" i="25" s="1"/>
  <c r="A23" i="25" s="1"/>
  <c r="A12" i="25"/>
  <c r="A13" i="25" s="1"/>
  <c r="A14" i="25" s="1"/>
  <c r="A15" i="25" s="1"/>
  <c r="A16" i="25" s="1"/>
  <c r="A17" i="25" s="1"/>
  <c r="C11" i="25" a="1"/>
  <c r="C22" i="25" s="1"/>
  <c r="P35" i="24"/>
  <c r="B35" i="24" s="1"/>
  <c r="E87" i="24"/>
  <c r="K54" i="24"/>
  <c r="K29" i="24"/>
  <c r="K38" i="24" s="1"/>
  <c r="K40" i="24" s="1"/>
  <c r="K16" i="24"/>
  <c r="K74" i="24" s="1"/>
  <c r="K80" i="24" s="1"/>
  <c r="K83" i="24" s="1"/>
  <c r="K85" i="24" s="1"/>
  <c r="K87" i="24" s="1"/>
  <c r="K33" i="24" s="1"/>
  <c r="K67" i="24"/>
  <c r="K65" i="24"/>
  <c r="K63" i="24"/>
  <c r="K59" i="24"/>
  <c r="B86" i="24"/>
  <c r="B82" i="24"/>
  <c r="B79" i="24"/>
  <c r="B78" i="24"/>
  <c r="B76" i="24"/>
  <c r="B75" i="24"/>
  <c r="O65" i="24"/>
  <c r="N65" i="24"/>
  <c r="M65" i="24"/>
  <c r="M67" i="24" s="1"/>
  <c r="L65" i="24"/>
  <c r="J65" i="24"/>
  <c r="I65" i="24"/>
  <c r="H65" i="24"/>
  <c r="G65" i="24"/>
  <c r="F65" i="24"/>
  <c r="E65" i="24"/>
  <c r="E67" i="24" s="1"/>
  <c r="D65" i="24"/>
  <c r="C65" i="24"/>
  <c r="B64" i="24"/>
  <c r="B63" i="24"/>
  <c r="B62" i="24"/>
  <c r="B61" i="24"/>
  <c r="B60" i="24"/>
  <c r="B58" i="24"/>
  <c r="B57" i="24"/>
  <c r="P54" i="24"/>
  <c r="O54" i="24"/>
  <c r="O67" i="24" s="1"/>
  <c r="N54" i="24"/>
  <c r="M54" i="24"/>
  <c r="L54" i="24"/>
  <c r="J54" i="24"/>
  <c r="I54" i="24"/>
  <c r="I67" i="24" s="1"/>
  <c r="H54" i="24"/>
  <c r="H67" i="24" s="1"/>
  <c r="G54" i="24"/>
  <c r="G67" i="24" s="1"/>
  <c r="F54" i="24"/>
  <c r="F67" i="24" s="1"/>
  <c r="E54" i="24"/>
  <c r="D54" i="24"/>
  <c r="C54" i="24"/>
  <c r="B53" i="24"/>
  <c r="B52" i="24"/>
  <c r="B51" i="24"/>
  <c r="B50" i="24"/>
  <c r="B49" i="24"/>
  <c r="B48" i="24"/>
  <c r="B47" i="24"/>
  <c r="B46" i="24"/>
  <c r="B45" i="24"/>
  <c r="B44" i="24"/>
  <c r="B43" i="24"/>
  <c r="B39" i="24"/>
  <c r="B37" i="24"/>
  <c r="B36" i="24"/>
  <c r="B34" i="24"/>
  <c r="B32" i="24"/>
  <c r="B31" i="24"/>
  <c r="B30" i="24"/>
  <c r="P29" i="24"/>
  <c r="O29" i="24"/>
  <c r="N29" i="24"/>
  <c r="M29" i="24"/>
  <c r="L29" i="24"/>
  <c r="J29" i="24"/>
  <c r="I29" i="24"/>
  <c r="H29" i="24"/>
  <c r="G29" i="24"/>
  <c r="F29" i="24"/>
  <c r="E29" i="24"/>
  <c r="D29" i="24"/>
  <c r="C29" i="24"/>
  <c r="B28" i="24"/>
  <c r="B27" i="24"/>
  <c r="B26" i="24"/>
  <c r="B25" i="24"/>
  <c r="B24" i="24"/>
  <c r="B23" i="24"/>
  <c r="B22" i="24"/>
  <c r="B21" i="24"/>
  <c r="B20" i="24"/>
  <c r="B19" i="24"/>
  <c r="P16" i="24"/>
  <c r="P74" i="24" s="1"/>
  <c r="P80" i="24" s="1"/>
  <c r="P83" i="24" s="1"/>
  <c r="P85" i="24" s="1"/>
  <c r="P87" i="24" s="1"/>
  <c r="P33" i="24" s="1"/>
  <c r="O16" i="24"/>
  <c r="N16" i="24"/>
  <c r="N74" i="24" s="1"/>
  <c r="N80" i="24" s="1"/>
  <c r="N83" i="24" s="1"/>
  <c r="N85" i="24" s="1"/>
  <c r="N87" i="24" s="1"/>
  <c r="N33" i="24" s="1"/>
  <c r="M16" i="24"/>
  <c r="L16" i="24"/>
  <c r="L74" i="24" s="1"/>
  <c r="L80" i="24" s="1"/>
  <c r="L83" i="24" s="1"/>
  <c r="L85" i="24" s="1"/>
  <c r="L87" i="24" s="1"/>
  <c r="L33" i="24" s="1"/>
  <c r="L38" i="24" s="1"/>
  <c r="L40" i="24" s="1"/>
  <c r="J16" i="24"/>
  <c r="J74" i="24" s="1"/>
  <c r="J80" i="24" s="1"/>
  <c r="J83" i="24" s="1"/>
  <c r="J85" i="24" s="1"/>
  <c r="J87" i="24" s="1"/>
  <c r="J33" i="24" s="1"/>
  <c r="J38" i="24" s="1"/>
  <c r="J40" i="24" s="1"/>
  <c r="H16" i="24"/>
  <c r="G16" i="24"/>
  <c r="F16" i="24"/>
  <c r="E16" i="24"/>
  <c r="E74" i="24" s="1"/>
  <c r="D16" i="24"/>
  <c r="D74" i="24" s="1"/>
  <c r="D80" i="24" s="1"/>
  <c r="D83" i="24" s="1"/>
  <c r="D85" i="24" s="1"/>
  <c r="D87" i="24" s="1"/>
  <c r="D33" i="24" s="1"/>
  <c r="C16" i="24"/>
  <c r="I16" i="24"/>
  <c r="B14" i="24"/>
  <c r="B13" i="24"/>
  <c r="B12" i="24"/>
  <c r="F74" i="24" l="1"/>
  <c r="F80" i="24" s="1"/>
  <c r="F83" i="24" s="1"/>
  <c r="F85" i="24" s="1"/>
  <c r="F87" i="24" s="1"/>
  <c r="F33" i="24" s="1"/>
  <c r="B65" i="24"/>
  <c r="C18" i="26"/>
  <c r="C11" i="26"/>
  <c r="C19" i="26"/>
  <c r="C24" i="26"/>
  <c r="C12" i="26"/>
  <c r="C20" i="26"/>
  <c r="C16" i="26"/>
  <c r="C13" i="26"/>
  <c r="C21" i="26"/>
  <c r="C17" i="26"/>
  <c r="C14" i="26"/>
  <c r="C22" i="26"/>
  <c r="C15" i="26"/>
  <c r="C18" i="25"/>
  <c r="C23" i="25"/>
  <c r="C24" i="25"/>
  <c r="C17" i="25"/>
  <c r="C11" i="25"/>
  <c r="C12" i="25"/>
  <c r="C20" i="25"/>
  <c r="C13" i="25"/>
  <c r="C21" i="25"/>
  <c r="C15" i="25"/>
  <c r="C16" i="25"/>
  <c r="C19" i="25"/>
  <c r="C14" i="25"/>
  <c r="N67" i="24"/>
  <c r="M74" i="24"/>
  <c r="M80" i="24" s="1"/>
  <c r="M83" i="24" s="1"/>
  <c r="M85" i="24" s="1"/>
  <c r="M87" i="24" s="1"/>
  <c r="M33" i="24" s="1"/>
  <c r="M38" i="24" s="1"/>
  <c r="M40" i="24" s="1"/>
  <c r="M71" i="24" s="1"/>
  <c r="L67" i="24"/>
  <c r="C67" i="24"/>
  <c r="D67" i="24"/>
  <c r="B29" i="24"/>
  <c r="G74" i="24"/>
  <c r="G80" i="24" s="1"/>
  <c r="G83" i="24" s="1"/>
  <c r="G85" i="24" s="1"/>
  <c r="G87" i="24" s="1"/>
  <c r="G33" i="24" s="1"/>
  <c r="G38" i="24" s="1"/>
  <c r="G40" i="24" s="1"/>
  <c r="K71" i="24"/>
  <c r="H74" i="24"/>
  <c r="H80" i="24" s="1"/>
  <c r="H83" i="24" s="1"/>
  <c r="H85" i="24" s="1"/>
  <c r="H87" i="24" s="1"/>
  <c r="H33" i="24" s="1"/>
  <c r="H38" i="24" s="1"/>
  <c r="H40" i="24" s="1"/>
  <c r="J67" i="24"/>
  <c r="J71" i="24" s="1"/>
  <c r="B59" i="24"/>
  <c r="D38" i="24"/>
  <c r="D40" i="24" s="1"/>
  <c r="D71" i="24" s="1"/>
  <c r="F38" i="24"/>
  <c r="F40" i="24" s="1"/>
  <c r="O74" i="24"/>
  <c r="P38" i="24"/>
  <c r="P40" i="24" s="1"/>
  <c r="C74" i="24"/>
  <c r="C80" i="24" s="1"/>
  <c r="C83" i="24" s="1"/>
  <c r="I74" i="24"/>
  <c r="I80" i="24" s="1"/>
  <c r="I83" i="24" s="1"/>
  <c r="I85" i="24" s="1"/>
  <c r="I87" i="24" s="1"/>
  <c r="I33" i="24" s="1"/>
  <c r="I38" i="24" s="1"/>
  <c r="I40" i="24" s="1"/>
  <c r="B16" i="24"/>
  <c r="L71" i="24"/>
  <c r="E80" i="24"/>
  <c r="E83" i="24" s="1"/>
  <c r="E85" i="24" s="1"/>
  <c r="E33" i="24" s="1"/>
  <c r="E38" i="24" s="1"/>
  <c r="E40" i="24" s="1"/>
  <c r="P67" i="24"/>
  <c r="N38" i="24"/>
  <c r="N40" i="24" s="1"/>
  <c r="B15" i="24"/>
  <c r="B54" i="24"/>
  <c r="E11" i="25" l="1" a="1"/>
  <c r="E11" i="26" a="1"/>
  <c r="B67" i="24"/>
  <c r="C6" i="7" s="1"/>
  <c r="E71" i="24"/>
  <c r="I71" i="24"/>
  <c r="P71" i="24"/>
  <c r="G71" i="24"/>
  <c r="F71" i="24"/>
  <c r="B74" i="24"/>
  <c r="H71" i="24"/>
  <c r="N71" i="24"/>
  <c r="C85" i="24"/>
  <c r="E17" i="26" l="1"/>
  <c r="E11" i="26"/>
  <c r="E21" i="26"/>
  <c r="E24" i="26"/>
  <c r="E16" i="26"/>
  <c r="E19" i="26"/>
  <c r="E15" i="26"/>
  <c r="E12" i="26"/>
  <c r="E23" i="26"/>
  <c r="E13" i="26"/>
  <c r="E20" i="26"/>
  <c r="E14" i="26"/>
  <c r="E18" i="26"/>
  <c r="E22" i="26"/>
  <c r="E24" i="25"/>
  <c r="E13" i="25"/>
  <c r="E11" i="25"/>
  <c r="E19" i="25"/>
  <c r="E14" i="25"/>
  <c r="E18" i="25"/>
  <c r="E22" i="25"/>
  <c r="E12" i="25"/>
  <c r="E21" i="25"/>
  <c r="E15" i="25"/>
  <c r="E16" i="25"/>
  <c r="E20" i="25"/>
  <c r="E23" i="25"/>
  <c r="E17" i="25"/>
  <c r="C87" i="24"/>
  <c r="E25" i="25" l="1"/>
  <c r="E25" i="26"/>
  <c r="C33" i="24"/>
  <c r="C38" i="24" l="1"/>
  <c r="C40" i="24" l="1"/>
  <c r="C71" i="24" l="1"/>
  <c r="B68" i="4" l="1"/>
  <c r="F61" i="17"/>
  <c r="B12" i="22"/>
  <c r="B13" i="22"/>
  <c r="B14" i="22"/>
  <c r="B15" i="22"/>
  <c r="C16" i="22"/>
  <c r="D16" i="22"/>
  <c r="E16" i="22"/>
  <c r="F16" i="22"/>
  <c r="G16" i="22"/>
  <c r="H16" i="22"/>
  <c r="I16" i="22"/>
  <c r="J16" i="22"/>
  <c r="K16" i="22"/>
  <c r="L16" i="22"/>
  <c r="M16" i="22"/>
  <c r="N16" i="22"/>
  <c r="O16" i="22"/>
  <c r="B19" i="22"/>
  <c r="B20" i="22"/>
  <c r="B21" i="22"/>
  <c r="B22" i="22"/>
  <c r="B23" i="22"/>
  <c r="B24" i="22"/>
  <c r="B25" i="22"/>
  <c r="B26" i="22"/>
  <c r="B27" i="22"/>
  <c r="B28" i="22"/>
  <c r="C29" i="22"/>
  <c r="D29" i="22"/>
  <c r="D38" i="22" s="1"/>
  <c r="E29" i="22"/>
  <c r="F29" i="22"/>
  <c r="G29" i="22"/>
  <c r="H29" i="22"/>
  <c r="I29" i="22"/>
  <c r="J29" i="22"/>
  <c r="K29" i="22"/>
  <c r="L29" i="22"/>
  <c r="M29" i="22"/>
  <c r="N29" i="22"/>
  <c r="O29" i="22"/>
  <c r="B30" i="22"/>
  <c r="B31" i="22"/>
  <c r="B32" i="22"/>
  <c r="B34" i="22"/>
  <c r="B35" i="22"/>
  <c r="B36" i="22"/>
  <c r="B37" i="22"/>
  <c r="B39" i="22"/>
  <c r="B43" i="22"/>
  <c r="B44" i="22"/>
  <c r="B45" i="22"/>
  <c r="B46" i="22"/>
  <c r="B47" i="22"/>
  <c r="B48" i="22"/>
  <c r="B49" i="22"/>
  <c r="B50" i="22"/>
  <c r="B51" i="22"/>
  <c r="B52" i="22"/>
  <c r="B53" i="22"/>
  <c r="C54" i="22"/>
  <c r="D54" i="22"/>
  <c r="D67" i="22" s="1"/>
  <c r="E54" i="22"/>
  <c r="E67" i="22" s="1"/>
  <c r="F54" i="22"/>
  <c r="F67" i="22" s="1"/>
  <c r="G54" i="22"/>
  <c r="G67" i="22" s="1"/>
  <c r="H54" i="22"/>
  <c r="H67" i="22" s="1"/>
  <c r="I54" i="22"/>
  <c r="J54" i="22"/>
  <c r="K54" i="22"/>
  <c r="L54" i="22"/>
  <c r="L67" i="22" s="1"/>
  <c r="M54" i="22"/>
  <c r="M67" i="22" s="1"/>
  <c r="N54" i="22"/>
  <c r="N67" i="22" s="1"/>
  <c r="O54" i="22"/>
  <c r="B57" i="22"/>
  <c r="B58" i="22"/>
  <c r="B59" i="22"/>
  <c r="B60" i="22"/>
  <c r="B61" i="22"/>
  <c r="B62" i="22"/>
  <c r="B63" i="22"/>
  <c r="B64" i="22"/>
  <c r="C65" i="22"/>
  <c r="D65" i="22"/>
  <c r="E65" i="22"/>
  <c r="F65" i="22"/>
  <c r="G65" i="22"/>
  <c r="H65" i="22"/>
  <c r="I65" i="22"/>
  <c r="I67" i="22" s="1"/>
  <c r="J65" i="22"/>
  <c r="K65" i="22"/>
  <c r="L65" i="22"/>
  <c r="M65" i="22"/>
  <c r="N65" i="22"/>
  <c r="O65" i="22"/>
  <c r="C67" i="22"/>
  <c r="J67" i="22"/>
  <c r="K67" i="22"/>
  <c r="D74" i="22"/>
  <c r="E74" i="22"/>
  <c r="F74" i="22"/>
  <c r="F80" i="22" s="1"/>
  <c r="F83" i="22" s="1"/>
  <c r="F85" i="22" s="1"/>
  <c r="F87" i="22" s="1"/>
  <c r="F33" i="22" s="1"/>
  <c r="F38" i="22" s="1"/>
  <c r="F40" i="22" s="1"/>
  <c r="G74" i="22"/>
  <c r="G80" i="22" s="1"/>
  <c r="G83" i="22" s="1"/>
  <c r="G85" i="22" s="1"/>
  <c r="G87" i="22" s="1"/>
  <c r="G33" i="22" s="1"/>
  <c r="G38" i="22" s="1"/>
  <c r="G40" i="22" s="1"/>
  <c r="H74" i="22"/>
  <c r="H80" i="22" s="1"/>
  <c r="H83" i="22" s="1"/>
  <c r="H85" i="22" s="1"/>
  <c r="H87" i="22" s="1"/>
  <c r="H33" i="22" s="1"/>
  <c r="H38" i="22" s="1"/>
  <c r="H40" i="22" s="1"/>
  <c r="I74" i="22"/>
  <c r="I80" i="22" s="1"/>
  <c r="I83" i="22" s="1"/>
  <c r="I85" i="22" s="1"/>
  <c r="I87" i="22" s="1"/>
  <c r="I33" i="22" s="1"/>
  <c r="J74" i="22"/>
  <c r="L74" i="22"/>
  <c r="M74" i="22"/>
  <c r="N74" i="22"/>
  <c r="O74" i="22"/>
  <c r="O80" i="22" s="1"/>
  <c r="O83" i="22" s="1"/>
  <c r="O85" i="22" s="1"/>
  <c r="O87" i="22" s="1"/>
  <c r="O33" i="22" s="1"/>
  <c r="B75" i="22"/>
  <c r="B76" i="22"/>
  <c r="B77" i="22"/>
  <c r="B78" i="22"/>
  <c r="B79" i="22"/>
  <c r="D80" i="22"/>
  <c r="D83" i="22" s="1"/>
  <c r="D85" i="22" s="1"/>
  <c r="D87" i="22" s="1"/>
  <c r="D33" i="22" s="1"/>
  <c r="E80" i="22"/>
  <c r="J80" i="22"/>
  <c r="J83" i="22" s="1"/>
  <c r="J85" i="22" s="1"/>
  <c r="J87" i="22" s="1"/>
  <c r="J33" i="22" s="1"/>
  <c r="L80" i="22"/>
  <c r="L83" i="22" s="1"/>
  <c r="L85" i="22" s="1"/>
  <c r="L87" i="22" s="1"/>
  <c r="L33" i="22" s="1"/>
  <c r="M80" i="22"/>
  <c r="B82" i="22"/>
  <c r="E83" i="22"/>
  <c r="E85" i="22" s="1"/>
  <c r="E87" i="22" s="1"/>
  <c r="E33" i="22" s="1"/>
  <c r="E38" i="22" s="1"/>
  <c r="E40" i="22" s="1"/>
  <c r="M83" i="22"/>
  <c r="M85" i="22" s="1"/>
  <c r="M87" i="22" s="1"/>
  <c r="M33" i="22" s="1"/>
  <c r="M38" i="22" s="1"/>
  <c r="M40" i="22" s="1"/>
  <c r="B86" i="22"/>
  <c r="B9" i="21" a="1"/>
  <c r="B9" i="21" s="1"/>
  <c r="C9" i="21" a="1"/>
  <c r="C11" i="21" s="1"/>
  <c r="A10" i="21"/>
  <c r="A11" i="21"/>
  <c r="A12" i="21" s="1"/>
  <c r="A13" i="21" s="1"/>
  <c r="A14" i="21" s="1"/>
  <c r="A15" i="21" s="1"/>
  <c r="A17" i="21"/>
  <c r="A18" i="21"/>
  <c r="A19" i="21" s="1"/>
  <c r="A20" i="21" s="1"/>
  <c r="A21" i="21" s="1"/>
  <c r="I27" i="25"/>
  <c r="D41" i="21"/>
  <c r="N80" i="22" l="1"/>
  <c r="N83" i="22" s="1"/>
  <c r="N85" i="22" s="1"/>
  <c r="N87" i="22" s="1"/>
  <c r="N33" i="22" s="1"/>
  <c r="N38" i="22" s="1"/>
  <c r="N40" i="22" s="1"/>
  <c r="B65" i="22"/>
  <c r="O67" i="22"/>
  <c r="O38" i="22"/>
  <c r="O40" i="22" s="1"/>
  <c r="E71" i="22"/>
  <c r="D40" i="22"/>
  <c r="E9" i="21" a="1"/>
  <c r="E14" i="21" s="1"/>
  <c r="B67" i="22"/>
  <c r="G71" i="22"/>
  <c r="J40" i="22"/>
  <c r="J38" i="22"/>
  <c r="L38" i="22"/>
  <c r="L40" i="22" s="1"/>
  <c r="F71" i="22"/>
  <c r="I38" i="22"/>
  <c r="I40" i="22" s="1"/>
  <c r="H71" i="22"/>
  <c r="O71" i="22"/>
  <c r="N71" i="22"/>
  <c r="M71" i="22"/>
  <c r="B15" i="21"/>
  <c r="B29" i="22"/>
  <c r="B16" i="22"/>
  <c r="B11" i="21"/>
  <c r="K74" i="22"/>
  <c r="K80" i="22" s="1"/>
  <c r="K83" i="22" s="1"/>
  <c r="K85" i="22" s="1"/>
  <c r="K87" i="22" s="1"/>
  <c r="K33" i="22" s="1"/>
  <c r="K38" i="22" s="1"/>
  <c r="K40" i="22" s="1"/>
  <c r="C74" i="22"/>
  <c r="B54" i="22"/>
  <c r="C19" i="21"/>
  <c r="C20" i="21"/>
  <c r="C16" i="21"/>
  <c r="B12" i="21"/>
  <c r="B19" i="21"/>
  <c r="C12" i="21"/>
  <c r="B20" i="21"/>
  <c r="B16" i="21"/>
  <c r="C13" i="21"/>
  <c r="C21" i="21"/>
  <c r="C17" i="21"/>
  <c r="B13" i="21"/>
  <c r="B21" i="21"/>
  <c r="B17" i="21"/>
  <c r="C14" i="21"/>
  <c r="C10" i="21"/>
  <c r="C9" i="21"/>
  <c r="C18" i="21"/>
  <c r="B14" i="21"/>
  <c r="B10" i="21"/>
  <c r="B18" i="21"/>
  <c r="C15" i="21"/>
  <c r="K71" i="22" l="1"/>
  <c r="L71" i="22"/>
  <c r="I71" i="22"/>
  <c r="E12" i="21"/>
  <c r="E17" i="21"/>
  <c r="E13" i="21"/>
  <c r="E18" i="21"/>
  <c r="E20" i="21"/>
  <c r="E21" i="21"/>
  <c r="E9" i="21"/>
  <c r="E19" i="21"/>
  <c r="E16" i="21"/>
  <c r="D71" i="22"/>
  <c r="B74" i="22"/>
  <c r="C80" i="22"/>
  <c r="E11" i="21"/>
  <c r="J71" i="22"/>
  <c r="E15" i="21"/>
  <c r="E10" i="21"/>
  <c r="E22" i="21" l="1"/>
  <c r="B80" i="22"/>
  <c r="C83" i="22"/>
  <c r="C85" i="22" l="1"/>
  <c r="B83" i="22"/>
  <c r="B85" i="22" l="1"/>
  <c r="C87" i="22"/>
  <c r="B87" i="22" l="1"/>
  <c r="C33" i="22"/>
  <c r="B33" i="22" l="1"/>
  <c r="C38" i="22"/>
  <c r="B38" i="22" l="1"/>
  <c r="C40" i="22"/>
  <c r="B40" i="22" l="1"/>
  <c r="D9" i="21" a="1"/>
  <c r="C71" i="22"/>
  <c r="B71" i="22" s="1"/>
  <c r="B95" i="22" s="1"/>
  <c r="D19" i="21" l="1"/>
  <c r="F19" i="21" s="1"/>
  <c r="D12" i="21"/>
  <c r="F12" i="21" s="1"/>
  <c r="D10" i="21"/>
  <c r="F10" i="21" s="1"/>
  <c r="D14" i="21"/>
  <c r="F14" i="21" s="1"/>
  <c r="D20" i="21"/>
  <c r="F20" i="21" s="1"/>
  <c r="D15" i="21"/>
  <c r="F15" i="21" s="1"/>
  <c r="D16" i="21"/>
  <c r="F16" i="21" s="1"/>
  <c r="D11" i="21"/>
  <c r="F11" i="21" s="1"/>
  <c r="D9" i="21"/>
  <c r="D21" i="21"/>
  <c r="F21" i="21" s="1"/>
  <c r="D17" i="21"/>
  <c r="F17" i="21" s="1"/>
  <c r="D18" i="21"/>
  <c r="F18" i="21" s="1"/>
  <c r="D13" i="21"/>
  <c r="F13" i="21" s="1"/>
  <c r="D42" i="21" l="1"/>
  <c r="D43" i="21" s="1"/>
  <c r="F9" i="21"/>
  <c r="D22" i="21"/>
  <c r="F22" i="21" l="1"/>
  <c r="F25" i="21" s="1"/>
  <c r="D45" i="21" s="1"/>
  <c r="D46" i="21" s="1"/>
  <c r="D47" i="21" s="1"/>
  <c r="D49" i="21" s="1"/>
  <c r="F34" i="21"/>
  <c r="C7" i="7" l="1"/>
  <c r="F41" i="3"/>
  <c r="B7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G36" i="17"/>
  <c r="G58" i="17"/>
  <c r="G33" i="17"/>
  <c r="G34" i="17"/>
  <c r="G30" i="17"/>
  <c r="G31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E8" i="17"/>
  <c r="B9" i="17"/>
  <c r="B10" i="17"/>
  <c r="B11" i="17"/>
  <c r="B12" i="17"/>
  <c r="G7" i="17"/>
  <c r="F62" i="17"/>
  <c r="G41" i="17"/>
  <c r="G49" i="17"/>
  <c r="G57" i="17"/>
  <c r="E9" i="17"/>
  <c r="G35" i="17"/>
  <c r="E10" i="17"/>
  <c r="E7" i="17"/>
  <c r="H7" i="17"/>
  <c r="I7" i="17"/>
  <c r="D8" i="17"/>
  <c r="E11" i="17"/>
  <c r="B13" i="17"/>
  <c r="E12" i="17"/>
  <c r="G32" i="17"/>
  <c r="G39" i="17"/>
  <c r="G47" i="17"/>
  <c r="G55" i="17"/>
  <c r="G44" i="17"/>
  <c r="G52" i="17"/>
  <c r="G38" i="17"/>
  <c r="G46" i="17"/>
  <c r="G54" i="17"/>
  <c r="G43" i="17"/>
  <c r="G51" i="17"/>
  <c r="G59" i="17"/>
  <c r="G40" i="17"/>
  <c r="G48" i="17"/>
  <c r="G56" i="17"/>
  <c r="G37" i="17"/>
  <c r="G45" i="17"/>
  <c r="G53" i="17"/>
  <c r="G42" i="17"/>
  <c r="G50" i="17"/>
  <c r="H8" i="17"/>
  <c r="I8" i="17"/>
  <c r="D9" i="17"/>
  <c r="B14" i="17"/>
  <c r="E13" i="17"/>
  <c r="H9" i="17"/>
  <c r="I9" i="17"/>
  <c r="D10" i="17"/>
  <c r="B15" i="17"/>
  <c r="E14" i="17"/>
  <c r="H10" i="17"/>
  <c r="I10" i="17"/>
  <c r="D11" i="17"/>
  <c r="B16" i="17"/>
  <c r="E15" i="17"/>
  <c r="B17" i="17"/>
  <c r="E16" i="17"/>
  <c r="H11" i="17"/>
  <c r="I11" i="17"/>
  <c r="D12" i="17"/>
  <c r="H12" i="17"/>
  <c r="I12" i="17"/>
  <c r="D13" i="17"/>
  <c r="B18" i="17"/>
  <c r="E17" i="17"/>
  <c r="H13" i="17"/>
  <c r="I13" i="17"/>
  <c r="D14" i="17"/>
  <c r="B19" i="17"/>
  <c r="E18" i="17"/>
  <c r="H14" i="17"/>
  <c r="I14" i="17"/>
  <c r="D15" i="17"/>
  <c r="B20" i="17"/>
  <c r="E19" i="17"/>
  <c r="H15" i="17"/>
  <c r="I15" i="17"/>
  <c r="D16" i="17"/>
  <c r="B21" i="17"/>
  <c r="E20" i="17"/>
  <c r="B22" i="17"/>
  <c r="E21" i="17"/>
  <c r="H16" i="17"/>
  <c r="I16" i="17"/>
  <c r="D17" i="17"/>
  <c r="H17" i="17"/>
  <c r="I17" i="17"/>
  <c r="D18" i="17"/>
  <c r="B23" i="17"/>
  <c r="E22" i="17"/>
  <c r="H18" i="17"/>
  <c r="I18" i="17"/>
  <c r="D19" i="17"/>
  <c r="B24" i="17"/>
  <c r="E23" i="17"/>
  <c r="B25" i="17"/>
  <c r="E24" i="17"/>
  <c r="H19" i="17"/>
  <c r="I19" i="17"/>
  <c r="D20" i="17"/>
  <c r="E10" i="3"/>
  <c r="E9" i="3"/>
  <c r="E8" i="3"/>
  <c r="H20" i="17"/>
  <c r="I20" i="17"/>
  <c r="D21" i="17"/>
  <c r="B26" i="17"/>
  <c r="E25" i="17"/>
  <c r="H21" i="17"/>
  <c r="I21" i="17"/>
  <c r="D22" i="17"/>
  <c r="B27" i="17"/>
  <c r="E26" i="17"/>
  <c r="H22" i="17"/>
  <c r="I22" i="17"/>
  <c r="D23" i="17"/>
  <c r="B28" i="17"/>
  <c r="E27" i="17"/>
  <c r="E11" i="3"/>
  <c r="H23" i="17"/>
  <c r="I23" i="17"/>
  <c r="D24" i="17"/>
  <c r="B29" i="17"/>
  <c r="E28" i="17"/>
  <c r="B30" i="17"/>
  <c r="E29" i="17"/>
  <c r="H24" i="17"/>
  <c r="I24" i="17"/>
  <c r="D25" i="17"/>
  <c r="H25" i="17"/>
  <c r="I25" i="17"/>
  <c r="D26" i="17"/>
  <c r="B31" i="17"/>
  <c r="E30" i="17"/>
  <c r="H26" i="17"/>
  <c r="I26" i="17"/>
  <c r="D27" i="17"/>
  <c r="B32" i="17"/>
  <c r="E31" i="17"/>
  <c r="H27" i="17"/>
  <c r="I27" i="17"/>
  <c r="D28" i="17"/>
  <c r="B33" i="17"/>
  <c r="E32" i="17"/>
  <c r="H28" i="17"/>
  <c r="I28" i="17"/>
  <c r="D29" i="17"/>
  <c r="B34" i="17"/>
  <c r="E33" i="17"/>
  <c r="H29" i="17"/>
  <c r="I29" i="17"/>
  <c r="D30" i="17"/>
  <c r="B35" i="17"/>
  <c r="E35" i="17"/>
  <c r="E34" i="17"/>
  <c r="H30" i="17"/>
  <c r="I30" i="17"/>
  <c r="D31" i="17"/>
  <c r="H31" i="17"/>
  <c r="I31" i="17"/>
  <c r="D32" i="17"/>
  <c r="H32" i="17"/>
  <c r="I32" i="17"/>
  <c r="D33" i="17"/>
  <c r="H33" i="17"/>
  <c r="I33" i="17"/>
  <c r="D34" i="17"/>
  <c r="H34" i="17"/>
  <c r="I34" i="17"/>
  <c r="D35" i="17"/>
  <c r="H35" i="17"/>
  <c r="I35" i="17"/>
  <c r="D36" i="17"/>
  <c r="H36" i="17"/>
  <c r="I36" i="17"/>
  <c r="D37" i="17"/>
  <c r="H37" i="17"/>
  <c r="I37" i="17"/>
  <c r="D38" i="17"/>
  <c r="H38" i="17"/>
  <c r="I38" i="17"/>
  <c r="D39" i="17"/>
  <c r="H39" i="17"/>
  <c r="I39" i="17"/>
  <c r="D40" i="17"/>
  <c r="H40" i="17"/>
  <c r="I40" i="17"/>
  <c r="D41" i="17"/>
  <c r="H41" i="17"/>
  <c r="I41" i="17"/>
  <c r="D42" i="17"/>
  <c r="H42" i="17"/>
  <c r="I42" i="17"/>
  <c r="D43" i="17"/>
  <c r="H43" i="17"/>
  <c r="I43" i="17"/>
  <c r="D44" i="17"/>
  <c r="H44" i="17"/>
  <c r="I44" i="17"/>
  <c r="D45" i="17"/>
  <c r="H45" i="17"/>
  <c r="I45" i="17"/>
  <c r="D46" i="17"/>
  <c r="H46" i="17"/>
  <c r="I46" i="17"/>
  <c r="D47" i="17"/>
  <c r="H47" i="17"/>
  <c r="I47" i="17"/>
  <c r="D48" i="17"/>
  <c r="H48" i="17"/>
  <c r="I48" i="17"/>
  <c r="D49" i="17"/>
  <c r="H49" i="17"/>
  <c r="I49" i="17"/>
  <c r="D50" i="17"/>
  <c r="H50" i="17"/>
  <c r="I50" i="17"/>
  <c r="D51" i="17"/>
  <c r="H51" i="17"/>
  <c r="I51" i="17"/>
  <c r="D52" i="17"/>
  <c r="H52" i="17"/>
  <c r="I52" i="17"/>
  <c r="D53" i="17"/>
  <c r="H53" i="17"/>
  <c r="I53" i="17"/>
  <c r="D54" i="17"/>
  <c r="H54" i="17"/>
  <c r="I54" i="17"/>
  <c r="D55" i="17"/>
  <c r="H55" i="17"/>
  <c r="I55" i="17"/>
  <c r="D56" i="17"/>
  <c r="H56" i="17"/>
  <c r="I56" i="17"/>
  <c r="D57" i="17"/>
  <c r="H57" i="17"/>
  <c r="I57" i="17"/>
  <c r="D58" i="17"/>
  <c r="H58" i="17"/>
  <c r="I58" i="17"/>
  <c r="D59" i="17"/>
  <c r="H59" i="17"/>
  <c r="I59" i="17"/>
  <c r="B51" i="4"/>
  <c r="B26" i="4"/>
  <c r="B35" i="4" s="1"/>
  <c r="B13" i="4"/>
  <c r="B62" i="4"/>
  <c r="D26" i="3"/>
  <c r="D30" i="3"/>
  <c r="D32" i="3"/>
  <c r="D34" i="3"/>
  <c r="B64" i="4" l="1"/>
  <c r="B71" i="4"/>
  <c r="B77" i="4" s="1"/>
  <c r="B80" i="4" s="1"/>
  <c r="B82" i="4" s="1"/>
  <c r="B37" i="4"/>
  <c r="B66" i="4" l="1"/>
  <c r="B67" i="4" s="1"/>
  <c r="K70" i="24" s="1"/>
  <c r="D70" i="24" l="1"/>
  <c r="M70" i="24"/>
  <c r="L70" i="24"/>
  <c r="J70" i="24"/>
  <c r="E70" i="24"/>
  <c r="N70" i="24"/>
  <c r="F70" i="24"/>
  <c r="G70" i="24"/>
  <c r="H70" i="24"/>
  <c r="I70" i="24"/>
  <c r="P70" i="24"/>
  <c r="C70" i="24"/>
  <c r="C8" i="7"/>
  <c r="O77" i="24" s="1"/>
  <c r="N70" i="22"/>
  <c r="L70" i="22"/>
  <c r="J70" i="22"/>
  <c r="E70" i="22"/>
  <c r="I70" i="22"/>
  <c r="F70" i="22"/>
  <c r="K70" i="22"/>
  <c r="M70" i="22"/>
  <c r="H70" i="22"/>
  <c r="O70" i="22"/>
  <c r="C70" i="22"/>
  <c r="G70" i="22"/>
  <c r="B70" i="22"/>
  <c r="D70" i="22"/>
  <c r="B77" i="24" l="1"/>
  <c r="O80" i="24"/>
  <c r="O83" i="24" l="1"/>
  <c r="B80" i="24"/>
  <c r="O85" i="24" l="1"/>
  <c r="B83" i="24"/>
  <c r="O87" i="24" l="1"/>
  <c r="B85" i="24"/>
  <c r="O33" i="24" l="1"/>
  <c r="B87" i="24"/>
  <c r="O38" i="24" l="1"/>
  <c r="B33" i="24"/>
  <c r="O40" i="24" l="1"/>
  <c r="B38" i="24"/>
  <c r="D11" i="25" l="1" a="1"/>
  <c r="D11" i="26" a="1"/>
  <c r="O71" i="24"/>
  <c r="B71" i="24" s="1"/>
  <c r="B40" i="24"/>
  <c r="B70" i="24" s="1"/>
  <c r="O70" i="24"/>
  <c r="B95" i="24" l="1"/>
  <c r="D18" i="26"/>
  <c r="F18" i="26" s="1"/>
  <c r="D22" i="26"/>
  <c r="F22" i="26" s="1"/>
  <c r="D15" i="26"/>
  <c r="F15" i="26" s="1"/>
  <c r="D11" i="26"/>
  <c r="D16" i="26"/>
  <c r="F16" i="26" s="1"/>
  <c r="D17" i="26"/>
  <c r="F17" i="26" s="1"/>
  <c r="I17" i="26" s="1"/>
  <c r="D20" i="26"/>
  <c r="F20" i="26" s="1"/>
  <c r="D14" i="26"/>
  <c r="F14" i="26" s="1"/>
  <c r="D13" i="26"/>
  <c r="F13" i="26" s="1"/>
  <c r="D19" i="26"/>
  <c r="F19" i="26" s="1"/>
  <c r="I19" i="26" s="1"/>
  <c r="D12" i="26"/>
  <c r="F12" i="26" s="1"/>
  <c r="D24" i="26"/>
  <c r="F24" i="26" s="1"/>
  <c r="D21" i="26"/>
  <c r="F21" i="26" s="1"/>
  <c r="D23" i="26"/>
  <c r="F23" i="26" s="1"/>
  <c r="D22" i="25"/>
  <c r="F22" i="25" s="1"/>
  <c r="I22" i="25" s="1"/>
  <c r="D17" i="25"/>
  <c r="F17" i="25" s="1"/>
  <c r="I17" i="25" s="1"/>
  <c r="D19" i="25"/>
  <c r="F19" i="25" s="1"/>
  <c r="I19" i="25" s="1"/>
  <c r="D18" i="25"/>
  <c r="F18" i="25" s="1"/>
  <c r="I18" i="25" s="1"/>
  <c r="D12" i="25"/>
  <c r="F12" i="25" s="1"/>
  <c r="I12" i="25" s="1"/>
  <c r="D14" i="25"/>
  <c r="F14" i="25" s="1"/>
  <c r="I14" i="25" s="1"/>
  <c r="D21" i="25"/>
  <c r="F21" i="25" s="1"/>
  <c r="I21" i="25" s="1"/>
  <c r="D16" i="25"/>
  <c r="F16" i="25" s="1"/>
  <c r="I16" i="25" s="1"/>
  <c r="D23" i="25"/>
  <c r="F23" i="25" s="1"/>
  <c r="I23" i="25" s="1"/>
  <c r="D20" i="25"/>
  <c r="F20" i="25" s="1"/>
  <c r="I20" i="25" s="1"/>
  <c r="D11" i="25"/>
  <c r="D15" i="25"/>
  <c r="F15" i="25" s="1"/>
  <c r="I15" i="25" s="1"/>
  <c r="D13" i="25"/>
  <c r="F13" i="25" s="1"/>
  <c r="I13" i="25" s="1"/>
  <c r="D24" i="25"/>
  <c r="F24" i="25" s="1"/>
  <c r="I24" i="25" s="1"/>
  <c r="D25" i="25" l="1"/>
  <c r="I12" i="26"/>
  <c r="I23" i="26"/>
  <c r="I15" i="26"/>
  <c r="I22" i="26"/>
  <c r="D25" i="26"/>
  <c r="F11" i="26"/>
  <c r="I16" i="26"/>
  <c r="I13" i="26"/>
  <c r="I18" i="26"/>
  <c r="I21" i="26"/>
  <c r="I14" i="26"/>
  <c r="I24" i="26"/>
  <c r="F11" i="25"/>
  <c r="F25" i="25" s="1"/>
  <c r="I20" i="26"/>
  <c r="I11" i="26" l="1"/>
  <c r="I25" i="26" s="1"/>
  <c r="I28" i="26" s="1"/>
  <c r="F25" i="26"/>
  <c r="I11" i="25"/>
  <c r="I25" i="25" s="1"/>
  <c r="I28" i="25" s="1"/>
  <c r="F28" i="26" l="1"/>
  <c r="F34" i="26"/>
  <c r="F28" i="25"/>
  <c r="B96" i="24" s="1"/>
  <c r="F34" i="25"/>
  <c r="K25" i="25"/>
</calcChain>
</file>

<file path=xl/sharedStrings.xml><?xml version="1.0" encoding="utf-8"?>
<sst xmlns="http://schemas.openxmlformats.org/spreadsheetml/2006/main" count="459" uniqueCount="214">
  <si>
    <t xml:space="preserve">Capital Structure </t>
  </si>
  <si>
    <t>Embedded Cost</t>
  </si>
  <si>
    <t>Weighted Cost</t>
  </si>
  <si>
    <t>DEBT%</t>
  </si>
  <si>
    <t>PREFERRED %</t>
  </si>
  <si>
    <t>COMMON %</t>
  </si>
  <si>
    <t>PacifiCorp</t>
  </si>
  <si>
    <t>Estimated Price Change</t>
  </si>
  <si>
    <t>Return on Rate Base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</si>
  <si>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</si>
  <si>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</si>
  <si>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</si>
  <si>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</si>
  <si>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</si>
  <si>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</si>
  <si>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</si>
  <si>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</si>
  <si>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</si>
  <si>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</si>
  <si>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</si>
  <si>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</si>
  <si>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</si>
  <si>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</si>
  <si>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</si>
  <si>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</si>
  <si>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</si>
  <si>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</si>
  <si>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</si>
  <si>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</si>
  <si>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</si>
  <si>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</si>
  <si>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</si>
  <si>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</si>
  <si>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</si>
  <si>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</si>
  <si>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</si>
  <si>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</si>
  <si>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</si>
  <si>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</si>
  <si>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</si>
  <si>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</si>
  <si>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</si>
  <si>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</si>
  <si>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</si>
  <si>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</si>
  <si>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</si>
  <si>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</si>
  <si>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</si>
  <si>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</si>
  <si>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</si>
  <si>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</si>
  <si>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</si>
  <si>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</si>
  <si>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</si>
  <si>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</si>
  <si>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</si>
  <si>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</si>
  <si>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</si>
  <si>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</si>
  <si>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</si>
  <si>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Equity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</si>
  <si>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</si>
  <si>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</si>
  <si>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</si>
  <si>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</si>
  <si>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</si>
  <si>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</si>
  <si>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</si>
  <si>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</si>
  <si>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</si>
  <si>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</si>
  <si>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Weighted Cost of Debt</t>
  </si>
  <si>
    <t>Federal Income Taxes Before Credits</t>
  </si>
  <si>
    <t>Federal Income Taxes</t>
  </si>
  <si>
    <t>WUTC Regulatory Fee</t>
  </si>
  <si>
    <t>Operating Deductions</t>
  </si>
  <si>
    <t>Uncollectable Accounts</t>
  </si>
  <si>
    <t>Taxes Other - Resource Supplier</t>
  </si>
  <si>
    <t>Taxes Other - Gross Receipts</t>
  </si>
  <si>
    <t>Sub-Total</t>
  </si>
  <si>
    <t>Net Operating Income</t>
  </si>
  <si>
    <t>Net to Gross Bump-up Factor</t>
  </si>
  <si>
    <t>State Taxes</t>
  </si>
  <si>
    <t>Capital Structure and Cost</t>
  </si>
  <si>
    <t>Estimated Return on Equity Impact</t>
  </si>
  <si>
    <t>Above</t>
  </si>
  <si>
    <t>Reference</t>
  </si>
  <si>
    <t>NOI</t>
  </si>
  <si>
    <t>Rate Base</t>
  </si>
  <si>
    <t>Rev. Req.</t>
  </si>
  <si>
    <t xml:space="preserve">Notes: </t>
  </si>
  <si>
    <t>Line No.</t>
  </si>
  <si>
    <t>A</t>
  </si>
  <si>
    <t>B</t>
  </si>
  <si>
    <t>C</t>
  </si>
  <si>
    <t>D</t>
  </si>
  <si>
    <t>E</t>
  </si>
  <si>
    <t>F</t>
  </si>
  <si>
    <t>WUTC Public Utility Tax</t>
  </si>
  <si>
    <t>Total Restating Adjustments</t>
  </si>
  <si>
    <t>Federal Income Tax @ 21.00%</t>
  </si>
  <si>
    <t>Washington 2023 General Rate Case</t>
  </si>
  <si>
    <t>10.1</t>
  </si>
  <si>
    <t>10.5</t>
  </si>
  <si>
    <t>10.8</t>
  </si>
  <si>
    <t>Energy &amp; Other Tax Credits</t>
  </si>
  <si>
    <t>Fly Ash Revenues - Year 1</t>
  </si>
  <si>
    <t>Coal Resources O&amp;M</t>
  </si>
  <si>
    <t>Description</t>
  </si>
  <si>
    <t>Adj. No.
Ref.</t>
  </si>
  <si>
    <t>10.4</t>
  </si>
  <si>
    <t>Jim Bridger Mine Rate Base - Year 1</t>
  </si>
  <si>
    <t>Existing Coal Fired Generation Assets - Year 1</t>
  </si>
  <si>
    <t>10.6</t>
  </si>
  <si>
    <t>6.4</t>
  </si>
  <si>
    <t>Interest Synchronization</t>
  </si>
  <si>
    <t>Compliance Filing</t>
  </si>
  <si>
    <t>Pro Forma JB Units 3, 4 Additions - 
Year 1</t>
  </si>
  <si>
    <t>check to "Rev Req" tab</t>
  </si>
  <si>
    <t>Remove Deferred State Tax Expense &amp; Balance</t>
  </si>
  <si>
    <t>The table below presents the Company's ratemaking adjustments for coal resource costs and their impact on net operating income (NOI), rate base, and the Washington revenue requirement.</t>
  </si>
  <si>
    <t>Deferred Fly Ash Revenues Amortization</t>
  </si>
  <si>
    <t>UE-191024 WA GRC JBG Factor</t>
  </si>
  <si>
    <t>WA-alloc. Share</t>
  </si>
  <si>
    <t>Month</t>
  </si>
  <si>
    <t>In - Rates</t>
  </si>
  <si>
    <t>Opening Bal.</t>
  </si>
  <si>
    <t>Amortization</t>
  </si>
  <si>
    <t>Interest Rate</t>
  </si>
  <si>
    <t>Balance</t>
  </si>
  <si>
    <t>Quarter</t>
  </si>
  <si>
    <t>Q1'21</t>
  </si>
  <si>
    <t>Q2'21</t>
  </si>
  <si>
    <t>Q3'21</t>
  </si>
  <si>
    <t>Q4'21</t>
  </si>
  <si>
    <t>Q1'22</t>
  </si>
  <si>
    <t>Q2'22</t>
  </si>
  <si>
    <t>Q3'22</t>
  </si>
  <si>
    <t>Q4'22</t>
  </si>
  <si>
    <t>Q1'23</t>
  </si>
  <si>
    <t>Q2'23</t>
  </si>
  <si>
    <t>Q3'23</t>
  </si>
  <si>
    <t>Q4'23</t>
  </si>
  <si>
    <t>Q1'24</t>
  </si>
  <si>
    <t>Q2'24</t>
  </si>
  <si>
    <t>Annual Amortization</t>
  </si>
  <si>
    <t>1) Actuals through March 25, 2024.  Interest Rate updated to reflect 2024 FERC Q1 and Q2 interest rates.</t>
  </si>
  <si>
    <t>Net Coal Cost Revenue Requirement - Net Fly Ash Deferred Revenues Amortization</t>
  </si>
  <si>
    <t>Deferral @ 50% of difference</t>
  </si>
  <si>
    <r>
      <t>Booked</t>
    </r>
    <r>
      <rPr>
        <b/>
        <vertAlign val="superscript"/>
        <sz val="10"/>
        <color theme="1"/>
        <rFont val="Arial"/>
        <family val="2"/>
      </rPr>
      <t>1</t>
    </r>
  </si>
  <si>
    <t>(1) The revenue requirement column is calculated using the Company's approved return on rate base of 7.29% and the NOI conversion factor of 75.182%.</t>
  </si>
  <si>
    <t>The development of these percentages can be found on the "Variables" tab.</t>
  </si>
  <si>
    <t>"Variables" tab</t>
  </si>
  <si>
    <t>Total Estimated Amortization</t>
  </si>
  <si>
    <t>2) Interest rate for 2024 Q3 and after will be updated as rates are publised by FERC, and will impact the overall total amount amortized.</t>
  </si>
  <si>
    <r>
      <t>Interest Rate</t>
    </r>
    <r>
      <rPr>
        <b/>
        <vertAlign val="superscript"/>
        <sz val="10"/>
        <color theme="1"/>
        <rFont val="Arial"/>
        <family val="2"/>
      </rPr>
      <t>2</t>
    </r>
  </si>
  <si>
    <t>Def State Tax Rate in the Combined Deferred Tax Rate</t>
  </si>
  <si>
    <t>Combined Deferred Tax Rate</t>
  </si>
  <si>
    <t>Ratio of Deferred State Tax Rate to Combined Deferred Tax rate</t>
  </si>
  <si>
    <t>14.5</t>
  </si>
  <si>
    <t>14.6_C</t>
  </si>
  <si>
    <t>14.7_C</t>
  </si>
  <si>
    <t>14.4_R</t>
  </si>
  <si>
    <t>Jim Bridger Mine Rate Base - Year 2</t>
  </si>
  <si>
    <t>Summary of Non-NPC Coal Resource Costs - Rate Year 2</t>
  </si>
  <si>
    <t>NEW</t>
  </si>
  <si>
    <t>Coal Decomm., Other Closure and Reclamation Costs_2026</t>
  </si>
  <si>
    <t>Stipulated Rate Year 2 Rate Change</t>
  </si>
  <si>
    <t>Per stipulation</t>
  </si>
  <si>
    <t>Compliance Impacts - NPC and associated adj.</t>
  </si>
  <si>
    <t>7.1_C/15.1_C</t>
  </si>
  <si>
    <t>7.6_C/15.6_C</t>
  </si>
  <si>
    <t>Sitpulated Rate Year 2 Rate Change, with NPC/PTC/Wind Tax Update</t>
  </si>
  <si>
    <t>Rate Year 2 Fly Ash Revenues Update</t>
  </si>
  <si>
    <t>Total Updated Rate Year 2 Price Change for Compliance</t>
  </si>
  <si>
    <t>Non-NPC Coal Tracker Rate Year 2 Price Change</t>
  </si>
  <si>
    <t>Rate Year 2 Base Rate Price Change</t>
  </si>
  <si>
    <t>WA 2023 GRC - RevReqSummary Model (Non-Coal Costs) RY2.xlsx</t>
  </si>
  <si>
    <t>Total Rate Year 2 Price Change for Compliance</t>
  </si>
  <si>
    <t>Check</t>
  </si>
  <si>
    <t xml:space="preserve">(2) Line No. 1 through 6 items are adjustments as filed in rate year 1's non-NPC coal cost tracker compliance workpaper. </t>
  </si>
  <si>
    <t>Non-NPC Coal Cost Tracker RY 2 Incremental Price Change</t>
  </si>
  <si>
    <t>Net Non-NPC Coal Cost Revenue Requirement - Net Fly Ash Deferred Revenues Amortization</t>
  </si>
  <si>
    <t>Total Coal Cost Tracker RY2 Rev. Req.</t>
  </si>
  <si>
    <t>Fly Ash Revenues - Year 2</t>
  </si>
  <si>
    <t>13.5</t>
  </si>
  <si>
    <t>Adj. Ref.</t>
  </si>
  <si>
    <t>Change From (MYRP RY2)</t>
  </si>
  <si>
    <t>Washington 2023 Multi-Year Rate Plan</t>
  </si>
  <si>
    <t>check to "Rev Req Adj" tab</t>
  </si>
  <si>
    <t>check to RY2 comparison</t>
  </si>
  <si>
    <t>Change From (1/1/2026)</t>
  </si>
  <si>
    <t>Washington Allocated Rate Base - Coal Cost Tracker</t>
  </si>
  <si>
    <t>CY 2026 Pro Forma Interest - Coal Cost Tracker</t>
  </si>
  <si>
    <t>"Rev Req Adj- Coal Tracker 2026" tab</t>
  </si>
  <si>
    <t>Total Coal Cost Tracker Rev. Req. - Jan 1, 2026</t>
  </si>
  <si>
    <t>Revenue Requirement Adjustment Summary - Non-NPC Coal Cost (Effective 1/1/2026)</t>
  </si>
  <si>
    <t>Revenue Requirement Adjustment Summary - Non-NPC Coal Cost (Effective 4/1/2026)</t>
  </si>
  <si>
    <t>Coal Decomm., Other Closure and Reclamation Costs - Year 1</t>
  </si>
  <si>
    <t>Coal Decomm., Other Closure and Reclamation Costs - Year 2</t>
  </si>
  <si>
    <t>Pro Forma JB Units 3, 4 Additions - 
Year 2</t>
  </si>
  <si>
    <t>Existing Coal Fired Generation Assets - Year 2</t>
  </si>
  <si>
    <t>Year 2 Results with Price Change</t>
  </si>
  <si>
    <t>PCORC (Coal Tracker) - Calendar Year 2026</t>
  </si>
  <si>
    <t>Washington 2025 Power Cost Only Rate Case</t>
  </si>
  <si>
    <t>Deferred Fly Ash Revenues Amortization (Annual)</t>
  </si>
  <si>
    <t>Total Adjustments</t>
  </si>
  <si>
    <t>Summary of Non-NPC Coal Resource Costs - Effective 1/1/2026</t>
  </si>
  <si>
    <t>Adjustment Summary</t>
  </si>
  <si>
    <t>Washington-Allocated</t>
  </si>
  <si>
    <t>Non-NPC Coal Cost Tracker (2026) - Interest True-up Calculation</t>
  </si>
  <si>
    <t>UE-230172 Approved Variables</t>
  </si>
  <si>
    <t>Rate Year 2 Results of Operations</t>
  </si>
  <si>
    <t>Revenue Requirement Adjustment Summary - (UE-230172) Rate Year 2 Compliance Filing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</si>
</sst>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21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9"/>
      <name val="Arial"/>
      <family val="2"/>
    </font>
    <font>
      <b/>
      <u val="singleAccounting"/>
      <sz val="10"/>
      <name val="Arial"/>
      <family val="2"/>
    </font>
    <font>
      <i/>
      <u val="singleAccounting"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4" fillId="0" borderId="0"/>
  </cellStyleXfs>
  <cellXfs count="245">
    <xf numFmtId="0" fontId="0" fillId="0" borderId="0" xfId="0"/>
    <xf numFmtId="164" fontId="6" fillId="0" borderId="0" xfId="1" applyNumberFormat="1" applyFont="1" applyAlignment="1">
      <alignment horizontal="left"/>
    </xf>
    <xf numFmtId="164" fontId="4" fillId="0" borderId="0" xfId="1" applyNumberFormat="1" applyFont="1" applyFill="1" applyBorder="1"/>
    <xf numFmtId="164" fontId="4" fillId="0" borderId="0" xfId="1" applyNumberFormat="1" applyFont="1"/>
    <xf numFmtId="164" fontId="6" fillId="0" borderId="0" xfId="1" applyNumberFormat="1" applyFont="1" applyFill="1" applyBorder="1"/>
    <xf numFmtId="164" fontId="6" fillId="0" borderId="0" xfId="1" applyNumberFormat="1" applyFont="1"/>
    <xf numFmtId="164" fontId="6" fillId="0" borderId="0" xfId="1" applyNumberFormat="1" applyFont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0" borderId="4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Fill="1" applyBorder="1" applyProtection="1">
      <protection locked="0"/>
    </xf>
    <xf numFmtId="164" fontId="4" fillId="0" borderId="0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/>
    <xf numFmtId="165" fontId="4" fillId="0" borderId="0" xfId="2" applyNumberFormat="1" applyFont="1" applyFill="1" applyBorder="1" applyAlignment="1">
      <alignment vertical="center"/>
    </xf>
    <xf numFmtId="165" fontId="4" fillId="0" borderId="9" xfId="2" applyNumberFormat="1" applyFont="1" applyFill="1" applyBorder="1" applyAlignment="1">
      <alignment vertical="center"/>
    </xf>
    <xf numFmtId="165" fontId="4" fillId="0" borderId="10" xfId="2" applyNumberFormat="1" applyFont="1" applyFill="1" applyBorder="1" applyAlignment="1">
      <alignment vertical="center"/>
    </xf>
    <xf numFmtId="0" fontId="4" fillId="0" borderId="0" xfId="0" applyFont="1"/>
    <xf numFmtId="165" fontId="4" fillId="0" borderId="0" xfId="2" applyNumberFormat="1" applyFont="1" applyBorder="1" applyAlignment="1">
      <alignment vertical="center"/>
    </xf>
    <xf numFmtId="164" fontId="6" fillId="0" borderId="0" xfId="1" quotePrefix="1" applyNumberFormat="1" applyFont="1" applyBorder="1" applyAlignment="1">
      <alignment horizontal="left" vertical="center"/>
    </xf>
    <xf numFmtId="10" fontId="4" fillId="0" borderId="0" xfId="2" applyNumberFormat="1" applyFont="1" applyBorder="1" applyAlignment="1">
      <alignment vertical="center"/>
    </xf>
    <xf numFmtId="0" fontId="6" fillId="0" borderId="0" xfId="0" applyFont="1"/>
    <xf numFmtId="0" fontId="6" fillId="0" borderId="2" xfId="0" applyFont="1" applyBorder="1"/>
    <xf numFmtId="164" fontId="4" fillId="0" borderId="9" xfId="1" applyNumberFormat="1" applyFont="1" applyFill="1" applyBorder="1" applyProtection="1">
      <protection locked="0"/>
    </xf>
    <xf numFmtId="164" fontId="4" fillId="0" borderId="9" xfId="1" quotePrefix="1" applyNumberFormat="1" applyFont="1" applyFill="1" applyBorder="1" applyAlignment="1" applyProtection="1">
      <alignment horizontal="left"/>
      <protection locked="0"/>
    </xf>
    <xf numFmtId="164" fontId="4" fillId="0" borderId="9" xfId="1" applyNumberFormat="1" applyFont="1" applyFill="1" applyBorder="1" applyAlignment="1" applyProtection="1">
      <alignment horizontal="left"/>
      <protection locked="0"/>
    </xf>
    <xf numFmtId="164" fontId="4" fillId="0" borderId="13" xfId="1" applyNumberFormat="1" applyFont="1" applyFill="1" applyBorder="1" applyAlignment="1" applyProtection="1">
      <alignment horizontal="left"/>
      <protection locked="0"/>
    </xf>
    <xf numFmtId="164" fontId="4" fillId="0" borderId="9" xfId="1" applyNumberFormat="1" applyFont="1" applyFill="1" applyBorder="1"/>
    <xf numFmtId="165" fontId="4" fillId="0" borderId="0" xfId="2" applyNumberFormat="1" applyFont="1"/>
    <xf numFmtId="165" fontId="4" fillId="0" borderId="2" xfId="2" applyNumberFormat="1" applyFont="1" applyBorder="1"/>
    <xf numFmtId="0" fontId="6" fillId="0" borderId="0" xfId="0" applyFont="1" applyAlignment="1">
      <alignment horizontal="center" vertical="center" wrapText="1"/>
    </xf>
    <xf numFmtId="0" fontId="6" fillId="0" borderId="0" xfId="0" quotePrefix="1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4" fillId="0" borderId="2" xfId="0" applyFont="1" applyBorder="1"/>
    <xf numFmtId="165" fontId="4" fillId="0" borderId="0" xfId="2" quotePrefix="1" applyNumberFormat="1" applyFont="1"/>
    <xf numFmtId="10" fontId="4" fillId="0" borderId="0" xfId="2" applyNumberFormat="1" applyFont="1"/>
    <xf numFmtId="165" fontId="4" fillId="0" borderId="3" xfId="2" quotePrefix="1" applyNumberFormat="1" applyFont="1" applyBorder="1"/>
    <xf numFmtId="165" fontId="4" fillId="0" borderId="0" xfId="2" quotePrefix="1" applyNumberFormat="1" applyFont="1" applyBorder="1"/>
    <xf numFmtId="0" fontId="4" fillId="0" borderId="0" xfId="0" quotePrefix="1" applyFont="1" applyAlignment="1">
      <alignment horizontal="left"/>
    </xf>
    <xf numFmtId="164" fontId="5" fillId="0" borderId="0" xfId="1" applyNumberFormat="1" applyFont="1" applyFill="1"/>
    <xf numFmtId="0" fontId="5" fillId="0" borderId="0" xfId="0" applyFont="1"/>
    <xf numFmtId="164" fontId="4" fillId="0" borderId="0" xfId="1" quotePrefix="1" applyNumberFormat="1" applyFont="1" applyFill="1" applyBorder="1" applyAlignment="1" applyProtection="1">
      <alignment horizontal="center"/>
      <protection locked="0"/>
    </xf>
    <xf numFmtId="164" fontId="4" fillId="0" borderId="10" xfId="1" applyNumberFormat="1" applyFont="1" applyFill="1" applyBorder="1" applyProtection="1">
      <protection locked="0"/>
    </xf>
    <xf numFmtId="164" fontId="4" fillId="0" borderId="0" xfId="1" quotePrefix="1" applyNumberFormat="1" applyFont="1" applyFill="1" applyBorder="1" applyAlignment="1" applyProtection="1">
      <alignment horizontal="left"/>
      <protection locked="0"/>
    </xf>
    <xf numFmtId="164" fontId="4" fillId="0" borderId="10" xfId="1" quotePrefix="1" applyNumberFormat="1" applyFont="1" applyFill="1" applyBorder="1" applyAlignment="1" applyProtection="1">
      <alignment horizontal="left"/>
      <protection locked="0"/>
    </xf>
    <xf numFmtId="164" fontId="4" fillId="0" borderId="0" xfId="1" applyNumberFormat="1" applyFont="1" applyFill="1" applyBorder="1" applyAlignment="1" applyProtection="1">
      <alignment horizontal="left"/>
      <protection locked="0"/>
    </xf>
    <xf numFmtId="164" fontId="4" fillId="0" borderId="10" xfId="1" applyNumberFormat="1" applyFont="1" applyFill="1" applyBorder="1" applyAlignment="1" applyProtection="1">
      <alignment horizontal="left"/>
      <protection locked="0"/>
    </xf>
    <xf numFmtId="164" fontId="4" fillId="0" borderId="10" xfId="1" applyNumberFormat="1" applyFont="1" applyFill="1" applyBorder="1"/>
    <xf numFmtId="164" fontId="4" fillId="0" borderId="2" xfId="1" applyNumberFormat="1" applyFont="1" applyFill="1" applyBorder="1" applyAlignment="1" applyProtection="1">
      <alignment horizontal="left"/>
      <protection locked="0"/>
    </xf>
    <xf numFmtId="164" fontId="4" fillId="0" borderId="2" xfId="1" quotePrefix="1" applyNumberFormat="1" applyFont="1" applyFill="1" applyBorder="1" applyAlignment="1" applyProtection="1">
      <alignment horizontal="left"/>
      <protection locked="0"/>
    </xf>
    <xf numFmtId="164" fontId="4" fillId="0" borderId="14" xfId="1" applyNumberFormat="1" applyFont="1" applyFill="1" applyBorder="1" applyAlignment="1" applyProtection="1">
      <alignment horizontal="left"/>
      <protection locked="0"/>
    </xf>
    <xf numFmtId="164" fontId="4" fillId="0" borderId="13" xfId="1" quotePrefix="1" applyNumberFormat="1" applyFont="1" applyFill="1" applyBorder="1" applyAlignment="1" applyProtection="1">
      <alignment horizontal="left"/>
      <protection locked="0"/>
    </xf>
    <xf numFmtId="164" fontId="4" fillId="0" borderId="14" xfId="1" quotePrefix="1" applyNumberFormat="1" applyFont="1" applyFill="1" applyBorder="1" applyAlignment="1" applyProtection="1">
      <alignment horizontal="left"/>
      <protection locked="0"/>
    </xf>
    <xf numFmtId="164" fontId="6" fillId="0" borderId="9" xfId="1" applyNumberFormat="1" applyFont="1" applyFill="1" applyBorder="1" applyAlignment="1" applyProtection="1">
      <alignment horizontal="center" wrapText="1"/>
      <protection locked="0"/>
    </xf>
    <xf numFmtId="164" fontId="6" fillId="0" borderId="0" xfId="1" applyNumberFormat="1" applyFont="1" applyFill="1" applyBorder="1" applyAlignment="1" applyProtection="1">
      <alignment horizontal="center" wrapText="1"/>
      <protection locked="0"/>
    </xf>
    <xf numFmtId="164" fontId="6" fillId="0" borderId="0" xfId="1" applyNumberFormat="1" applyFont="1" applyFill="1" applyAlignment="1">
      <alignment horizontal="left"/>
    </xf>
    <xf numFmtId="164" fontId="6" fillId="0" borderId="0" xfId="1" applyNumberFormat="1" applyFont="1" applyFill="1" applyBorder="1" applyAlignment="1">
      <alignment horizontal="left"/>
    </xf>
    <xf numFmtId="164" fontId="8" fillId="0" borderId="0" xfId="1" applyNumberFormat="1" applyFont="1" applyFill="1" applyBorder="1" applyAlignment="1">
      <alignment horizontal="left"/>
    </xf>
    <xf numFmtId="164" fontId="6" fillId="0" borderId="0" xfId="1" applyNumberFormat="1" applyFont="1" applyFill="1"/>
    <xf numFmtId="0" fontId="5" fillId="0" borderId="0" xfId="0" applyFont="1" applyAlignment="1">
      <alignment horizontal="center"/>
    </xf>
    <xf numFmtId="164" fontId="5" fillId="0" borderId="0" xfId="1" applyNumberFormat="1" applyFont="1" applyFill="1" applyBorder="1"/>
    <xf numFmtId="164" fontId="9" fillId="0" borderId="0" xfId="1" applyNumberFormat="1" applyFont="1" applyFill="1" applyBorder="1"/>
    <xf numFmtId="0" fontId="9" fillId="0" borderId="0" xfId="0" applyFont="1"/>
    <xf numFmtId="0" fontId="5" fillId="0" borderId="0" xfId="0" applyFont="1" applyAlignment="1">
      <alignment horizontal="left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165" fontId="4" fillId="0" borderId="5" xfId="2" applyNumberFormat="1" applyFont="1" applyFill="1" applyBorder="1"/>
    <xf numFmtId="165" fontId="4" fillId="0" borderId="0" xfId="2" applyNumberFormat="1" applyFont="1" applyFill="1" applyBorder="1"/>
    <xf numFmtId="165" fontId="4" fillId="0" borderId="6" xfId="2" applyNumberFormat="1" applyFont="1" applyFill="1" applyBorder="1"/>
    <xf numFmtId="165" fontId="4" fillId="0" borderId="2" xfId="2" applyNumberFormat="1" applyFont="1" applyFill="1" applyBorder="1"/>
    <xf numFmtId="165" fontId="4" fillId="0" borderId="0" xfId="2" applyNumberFormat="1" applyFont="1" applyFill="1"/>
    <xf numFmtId="164" fontId="4" fillId="0" borderId="2" xfId="1" applyNumberFormat="1" applyFont="1" applyFill="1" applyBorder="1" applyAlignment="1">
      <alignment vertical="center"/>
    </xf>
    <xf numFmtId="164" fontId="5" fillId="0" borderId="0" xfId="0" applyNumberFormat="1" applyFont="1"/>
    <xf numFmtId="0" fontId="5" fillId="0" borderId="0" xfId="0" quotePrefix="1" applyFont="1" applyAlignment="1">
      <alignment horizontal="center"/>
    </xf>
    <xf numFmtId="0" fontId="4" fillId="0" borderId="0" xfId="0" applyFont="1" applyAlignment="1" applyProtection="1">
      <alignment horizontal="left"/>
      <protection locked="0"/>
    </xf>
    <xf numFmtId="164" fontId="6" fillId="0" borderId="9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9" xfId="1" applyNumberFormat="1" applyFont="1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164" fontId="6" fillId="0" borderId="0" xfId="1" applyNumberFormat="1" applyFont="1" applyFill="1" applyBorder="1" applyAlignment="1">
      <alignment horizontal="center"/>
    </xf>
    <xf numFmtId="43" fontId="4" fillId="0" borderId="0" xfId="0" applyNumberFormat="1" applyFont="1"/>
    <xf numFmtId="164" fontId="4" fillId="0" borderId="0" xfId="2" applyNumberFormat="1" applyFont="1" applyBorder="1" applyAlignment="1">
      <alignment vertical="center"/>
    </xf>
    <xf numFmtId="0" fontId="7" fillId="0" borderId="0" xfId="0" applyFont="1"/>
    <xf numFmtId="164" fontId="6" fillId="2" borderId="0" xfId="1" applyNumberFormat="1" applyFont="1" applyFill="1" applyBorder="1" applyAlignment="1">
      <alignment vertical="center"/>
    </xf>
    <xf numFmtId="164" fontId="4" fillId="2" borderId="11" xfId="1" applyNumberFormat="1" applyFont="1" applyFill="1" applyBorder="1" applyProtection="1">
      <protection locked="0"/>
    </xf>
    <xf numFmtId="164" fontId="4" fillId="2" borderId="1" xfId="1" applyNumberFormat="1" applyFont="1" applyFill="1" applyBorder="1" applyProtection="1">
      <protection locked="0"/>
    </xf>
    <xf numFmtId="164" fontId="4" fillId="2" borderId="12" xfId="1" applyNumberFormat="1" applyFont="1" applyFill="1" applyBorder="1" applyProtection="1">
      <protection locked="0"/>
    </xf>
    <xf numFmtId="164" fontId="4" fillId="2" borderId="0" xfId="1" applyNumberFormat="1" applyFont="1" applyFill="1" applyBorder="1" applyProtection="1">
      <protection locked="0"/>
    </xf>
    <xf numFmtId="164" fontId="4" fillId="2" borderId="24" xfId="1" applyNumberFormat="1" applyFont="1" applyFill="1" applyBorder="1" applyProtection="1">
      <protection locked="0"/>
    </xf>
    <xf numFmtId="164" fontId="4" fillId="2" borderId="9" xfId="1" applyNumberFormat="1" applyFont="1" applyFill="1" applyBorder="1" applyProtection="1">
      <protection locked="0"/>
    </xf>
    <xf numFmtId="164" fontId="4" fillId="2" borderId="10" xfId="1" applyNumberFormat="1" applyFont="1" applyFill="1" applyBorder="1" applyProtection="1">
      <protection locked="0"/>
    </xf>
    <xf numFmtId="164" fontId="4" fillId="2" borderId="9" xfId="1" quotePrefix="1" applyNumberFormat="1" applyFont="1" applyFill="1" applyBorder="1" applyAlignment="1" applyProtection="1">
      <alignment horizontal="left"/>
      <protection locked="0"/>
    </xf>
    <xf numFmtId="164" fontId="4" fillId="2" borderId="9" xfId="1" applyNumberFormat="1" applyFont="1" applyFill="1" applyBorder="1" applyAlignment="1" applyProtection="1">
      <alignment horizontal="left"/>
      <protection locked="0"/>
    </xf>
    <xf numFmtId="164" fontId="4" fillId="2" borderId="0" xfId="1" applyNumberFormat="1" applyFont="1" applyFill="1" applyBorder="1" applyAlignment="1" applyProtection="1">
      <alignment horizontal="left"/>
      <protection locked="0"/>
    </xf>
    <xf numFmtId="164" fontId="4" fillId="2" borderId="10" xfId="1" applyNumberFormat="1" applyFont="1" applyFill="1" applyBorder="1" applyAlignment="1" applyProtection="1">
      <alignment horizontal="left"/>
      <protection locked="0"/>
    </xf>
    <xf numFmtId="164" fontId="4" fillId="2" borderId="15" xfId="1" applyNumberFormat="1" applyFont="1" applyFill="1" applyBorder="1" applyAlignment="1"/>
    <xf numFmtId="164" fontId="4" fillId="2" borderId="3" xfId="1" applyNumberFormat="1" applyFont="1" applyFill="1" applyBorder="1" applyAlignment="1"/>
    <xf numFmtId="164" fontId="4" fillId="2" borderId="16" xfId="1" applyNumberFormat="1" applyFont="1" applyFill="1" applyBorder="1" applyAlignment="1"/>
    <xf numFmtId="164" fontId="4" fillId="2" borderId="11" xfId="1" quotePrefix="1" applyNumberFormat="1" applyFont="1" applyFill="1" applyBorder="1" applyAlignment="1" applyProtection="1">
      <alignment horizontal="left"/>
      <protection locked="0"/>
    </xf>
    <xf numFmtId="164" fontId="4" fillId="2" borderId="1" xfId="1" quotePrefix="1" applyNumberFormat="1" applyFont="1" applyFill="1" applyBorder="1" applyAlignment="1" applyProtection="1">
      <alignment horizontal="left"/>
      <protection locked="0"/>
    </xf>
    <xf numFmtId="164" fontId="4" fillId="2" borderId="12" xfId="1" quotePrefix="1" applyNumberFormat="1" applyFont="1" applyFill="1" applyBorder="1" applyAlignment="1" applyProtection="1">
      <alignment horizontal="left"/>
      <protection locked="0"/>
    </xf>
    <xf numFmtId="164" fontId="4" fillId="2" borderId="15" xfId="1" applyNumberFormat="1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vertical="center"/>
    </xf>
    <xf numFmtId="164" fontId="4" fillId="2" borderId="16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vertical="center"/>
    </xf>
    <xf numFmtId="165" fontId="4" fillId="2" borderId="9" xfId="2" applyNumberFormat="1" applyFont="1" applyFill="1" applyBorder="1" applyAlignment="1">
      <alignment vertical="center"/>
    </xf>
    <xf numFmtId="165" fontId="4" fillId="2" borderId="0" xfId="2" applyNumberFormat="1" applyFont="1" applyFill="1" applyBorder="1" applyAlignment="1">
      <alignment vertical="center"/>
    </xf>
    <xf numFmtId="165" fontId="4" fillId="2" borderId="10" xfId="2" applyNumberFormat="1" applyFont="1" applyFill="1" applyBorder="1" applyAlignment="1">
      <alignment vertical="center"/>
    </xf>
    <xf numFmtId="164" fontId="4" fillId="2" borderId="24" xfId="1" applyNumberFormat="1" applyFont="1" applyFill="1" applyBorder="1" applyAlignment="1">
      <alignment vertical="center"/>
    </xf>
    <xf numFmtId="164" fontId="4" fillId="2" borderId="9" xfId="1" applyNumberFormat="1" applyFont="1" applyFill="1" applyBorder="1" applyAlignment="1">
      <alignment vertical="center"/>
    </xf>
    <xf numFmtId="164" fontId="4" fillId="2" borderId="10" xfId="1" applyNumberFormat="1" applyFont="1" applyFill="1" applyBorder="1" applyAlignment="1">
      <alignment vertical="center"/>
    </xf>
    <xf numFmtId="164" fontId="4" fillId="2" borderId="9" xfId="1" applyNumberFormat="1" applyFont="1" applyFill="1" applyBorder="1"/>
    <xf numFmtId="164" fontId="4" fillId="2" borderId="17" xfId="1" applyNumberFormat="1" applyFont="1" applyFill="1" applyBorder="1"/>
    <xf numFmtId="164" fontId="4" fillId="2" borderId="17" xfId="1" applyNumberFormat="1" applyFont="1" applyFill="1" applyBorder="1" applyProtection="1">
      <protection locked="0"/>
    </xf>
    <xf numFmtId="164" fontId="4" fillId="2" borderId="18" xfId="1" applyNumberFormat="1" applyFont="1" applyFill="1" applyBorder="1" applyProtection="1">
      <protection locked="0"/>
    </xf>
    <xf numFmtId="164" fontId="4" fillId="2" borderId="19" xfId="1" applyNumberFormat="1" applyFont="1" applyFill="1" applyBorder="1" applyProtection="1">
      <protection locked="0"/>
    </xf>
    <xf numFmtId="165" fontId="4" fillId="0" borderId="5" xfId="2" applyNumberFormat="1" applyFont="1" applyBorder="1"/>
    <xf numFmtId="165" fontId="4" fillId="0" borderId="7" xfId="0" applyNumberFormat="1" applyFont="1" applyBorder="1"/>
    <xf numFmtId="43" fontId="4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quotePrefix="1" applyFont="1" applyAlignment="1">
      <alignment horizontal="centerContinuous"/>
    </xf>
    <xf numFmtId="164" fontId="4" fillId="0" borderId="0" xfId="0" applyNumberFormat="1" applyFont="1"/>
    <xf numFmtId="10" fontId="4" fillId="0" borderId="0" xfId="2" applyNumberFormat="1" applyFont="1" applyBorder="1"/>
    <xf numFmtId="164" fontId="12" fillId="0" borderId="0" xfId="1" applyNumberFormat="1" applyFont="1" applyFill="1" applyBorder="1"/>
    <xf numFmtId="164" fontId="6" fillId="0" borderId="10" xfId="1" applyNumberFormat="1" applyFont="1" applyFill="1" applyBorder="1" applyAlignment="1" applyProtection="1">
      <alignment horizontal="center" wrapText="1"/>
      <protection locked="0"/>
    </xf>
    <xf numFmtId="164" fontId="5" fillId="0" borderId="2" xfId="1" applyNumberFormat="1" applyFont="1" applyFill="1" applyBorder="1"/>
    <xf numFmtId="164" fontId="9" fillId="0" borderId="2" xfId="1" applyNumberFormat="1" applyFont="1" applyFill="1" applyBorder="1"/>
    <xf numFmtId="43" fontId="6" fillId="0" borderId="0" xfId="1" applyFont="1" applyFill="1" applyBorder="1"/>
    <xf numFmtId="164" fontId="4" fillId="0" borderId="0" xfId="9" applyNumberFormat="1" applyFont="1" applyFill="1"/>
    <xf numFmtId="165" fontId="4" fillId="0" borderId="0" xfId="8" applyNumberFormat="1" applyFont="1" applyBorder="1"/>
    <xf numFmtId="164" fontId="4" fillId="0" borderId="0" xfId="9" applyNumberFormat="1" applyFont="1"/>
    <xf numFmtId="10" fontId="4" fillId="0" borderId="0" xfId="9" applyNumberFormat="1" applyFont="1"/>
    <xf numFmtId="10" fontId="4" fillId="0" borderId="0" xfId="9" applyNumberFormat="1" applyFont="1" applyFill="1"/>
    <xf numFmtId="164" fontId="4" fillId="0" borderId="0" xfId="9" applyNumberFormat="1" applyFont="1" applyFill="1" applyBorder="1"/>
    <xf numFmtId="164" fontId="4" fillId="3" borderId="0" xfId="9" applyNumberFormat="1" applyFont="1" applyFill="1"/>
    <xf numFmtId="164" fontId="4" fillId="0" borderId="25" xfId="9" applyNumberFormat="1" applyFont="1" applyFill="1" applyBorder="1"/>
    <xf numFmtId="164" fontId="4" fillId="0" borderId="26" xfId="9" applyNumberFormat="1" applyFont="1" applyBorder="1"/>
    <xf numFmtId="164" fontId="4" fillId="0" borderId="27" xfId="9" applyNumberFormat="1" applyFont="1" applyBorder="1"/>
    <xf numFmtId="164" fontId="4" fillId="0" borderId="0" xfId="9" applyNumberFormat="1" applyFont="1" applyBorder="1"/>
    <xf numFmtId="164" fontId="4" fillId="0" borderId="20" xfId="9" applyNumberFormat="1" applyFont="1" applyFill="1" applyBorder="1"/>
    <xf numFmtId="164" fontId="4" fillId="0" borderId="21" xfId="9" applyNumberFormat="1" applyFont="1" applyFill="1" applyBorder="1" applyAlignment="1">
      <alignment horizontal="right"/>
    </xf>
    <xf numFmtId="164" fontId="4" fillId="0" borderId="0" xfId="9" applyNumberFormat="1" applyFont="1" applyAlignment="1">
      <alignment horizontal="right"/>
    </xf>
    <xf numFmtId="0" fontId="16" fillId="0" borderId="0" xfId="7" applyFont="1"/>
    <xf numFmtId="164" fontId="17" fillId="0" borderId="0" xfId="9" applyNumberFormat="1" applyFont="1" applyBorder="1"/>
    <xf numFmtId="0" fontId="17" fillId="0" borderId="0" xfId="7" applyFont="1"/>
    <xf numFmtId="0" fontId="17" fillId="0" borderId="0" xfId="7" applyFont="1" applyAlignment="1">
      <alignment horizontal="center"/>
    </xf>
    <xf numFmtId="0" fontId="17" fillId="0" borderId="0" xfId="7" applyFont="1" applyAlignment="1">
      <alignment horizontal="center" wrapText="1"/>
    </xf>
    <xf numFmtId="14" fontId="16" fillId="0" borderId="0" xfId="7" applyNumberFormat="1" applyFont="1"/>
    <xf numFmtId="10" fontId="16" fillId="0" borderId="0" xfId="7" applyNumberFormat="1" applyFont="1"/>
    <xf numFmtId="43" fontId="16" fillId="0" borderId="0" xfId="7" applyNumberFormat="1" applyFont="1"/>
    <xf numFmtId="17" fontId="16" fillId="0" borderId="0" xfId="7" applyNumberFormat="1" applyFont="1"/>
    <xf numFmtId="164" fontId="4" fillId="0" borderId="22" xfId="9" applyNumberFormat="1" applyFont="1" applyFill="1" applyBorder="1"/>
    <xf numFmtId="164" fontId="16" fillId="0" borderId="0" xfId="7" applyNumberFormat="1" applyFont="1"/>
    <xf numFmtId="164" fontId="6" fillId="0" borderId="0" xfId="1" applyNumberFormat="1" applyFont="1" applyFill="1" applyBorder="1" applyAlignment="1">
      <alignment horizontal="right"/>
    </xf>
    <xf numFmtId="164" fontId="4" fillId="0" borderId="20" xfId="9" applyNumberFormat="1" applyFont="1" applyBorder="1"/>
    <xf numFmtId="164" fontId="4" fillId="0" borderId="21" xfId="9" applyNumberFormat="1" applyFont="1" applyBorder="1" applyAlignment="1">
      <alignment horizontal="right"/>
    </xf>
    <xf numFmtId="164" fontId="4" fillId="0" borderId="22" xfId="9" applyNumberFormat="1" applyFont="1" applyBorder="1"/>
    <xf numFmtId="164" fontId="13" fillId="0" borderId="0" xfId="1" applyNumberFormat="1" applyFont="1" applyFill="1" applyBorder="1" applyAlignment="1">
      <alignment horizontal="right"/>
    </xf>
    <xf numFmtId="164" fontId="14" fillId="0" borderId="0" xfId="1" applyNumberFormat="1" applyFont="1" applyFill="1" applyBorder="1"/>
    <xf numFmtId="164" fontId="15" fillId="0" borderId="0" xfId="1" applyNumberFormat="1" applyFont="1" applyFill="1" applyBorder="1" applyAlignment="1">
      <alignment horizontal="right"/>
    </xf>
    <xf numFmtId="164" fontId="15" fillId="0" borderId="0" xfId="1" applyNumberFormat="1" applyFont="1" applyFill="1" applyBorder="1"/>
    <xf numFmtId="164" fontId="8" fillId="0" borderId="0" xfId="1" applyNumberFormat="1" applyFont="1" applyFill="1" applyBorder="1"/>
    <xf numFmtId="164" fontId="7" fillId="0" borderId="0" xfId="1" applyNumberFormat="1" applyFont="1" applyFill="1" applyBorder="1"/>
    <xf numFmtId="164" fontId="7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 applyProtection="1">
      <alignment horizontal="center"/>
      <protection locked="0"/>
    </xf>
    <xf numFmtId="164" fontId="20" fillId="0" borderId="0" xfId="1" applyNumberFormat="1" applyFont="1" applyFill="1" applyBorder="1" applyAlignment="1" applyProtection="1">
      <alignment horizontal="right"/>
      <protection locked="0"/>
    </xf>
    <xf numFmtId="164" fontId="4" fillId="0" borderId="0" xfId="1" applyNumberFormat="1" applyFont="1" applyFill="1" applyBorder="1" applyAlignment="1">
      <alignment horizontal="center"/>
    </xf>
    <xf numFmtId="164" fontId="4" fillId="0" borderId="23" xfId="1" quotePrefix="1" applyNumberFormat="1" applyFont="1" applyFill="1" applyBorder="1" applyAlignment="1" applyProtection="1">
      <alignment horizontal="center"/>
      <protection locked="0"/>
    </xf>
    <xf numFmtId="164" fontId="4" fillId="0" borderId="29" xfId="1" quotePrefix="1" applyNumberFormat="1" applyFont="1" applyFill="1" applyBorder="1" applyAlignment="1" applyProtection="1">
      <alignment horizontal="center"/>
      <protection locked="0"/>
    </xf>
    <xf numFmtId="164" fontId="4" fillId="0" borderId="30" xfId="1" quotePrefix="1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164" fontId="5" fillId="0" borderId="0" xfId="1" applyNumberFormat="1" applyFont="1" applyBorder="1"/>
    <xf numFmtId="43" fontId="5" fillId="0" borderId="0" xfId="1" applyFont="1" applyBorder="1"/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8" fillId="0" borderId="0" xfId="0" applyFont="1"/>
    <xf numFmtId="164" fontId="8" fillId="0" borderId="0" xfId="0" applyNumberFormat="1" applyFont="1"/>
    <xf numFmtId="0" fontId="11" fillId="0" borderId="0" xfId="6" applyFont="1" applyAlignment="1">
      <alignment horizontal="left"/>
    </xf>
    <xf numFmtId="0" fontId="5" fillId="0" borderId="0" xfId="6" applyFont="1" applyAlignment="1">
      <alignment horizontal="center"/>
    </xf>
    <xf numFmtId="0" fontId="10" fillId="0" borderId="0" xfId="6" applyFont="1" applyAlignment="1">
      <alignment horizontal="centerContinuous"/>
    </xf>
    <xf numFmtId="0" fontId="5" fillId="0" borderId="0" xfId="6" applyFont="1"/>
    <xf numFmtId="0" fontId="5" fillId="0" borderId="0" xfId="6" applyFont="1" applyAlignment="1">
      <alignment horizontal="left"/>
    </xf>
    <xf numFmtId="0" fontId="4" fillId="0" borderId="0" xfId="6" applyAlignment="1">
      <alignment horizontal="center"/>
    </xf>
    <xf numFmtId="0" fontId="9" fillId="0" borderId="0" xfId="6" applyFont="1" applyAlignment="1">
      <alignment horizontal="center"/>
    </xf>
    <xf numFmtId="0" fontId="9" fillId="0" borderId="2" xfId="6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wrapText="1"/>
    </xf>
    <xf numFmtId="0" fontId="9" fillId="0" borderId="1" xfId="6" applyFont="1" applyBorder="1" applyAlignment="1">
      <alignment horizontal="center"/>
    </xf>
    <xf numFmtId="0" fontId="9" fillId="0" borderId="2" xfId="6" applyFont="1" applyBorder="1" applyAlignment="1">
      <alignment horizontal="center"/>
    </xf>
    <xf numFmtId="0" fontId="5" fillId="0" borderId="0" xfId="6" applyFont="1" applyAlignment="1">
      <alignment horizontal="center" vertical="center" wrapText="1"/>
    </xf>
    <xf numFmtId="43" fontId="5" fillId="0" borderId="0" xfId="6" applyNumberFormat="1" applyFont="1"/>
    <xf numFmtId="164" fontId="5" fillId="0" borderId="0" xfId="6" applyNumberFormat="1" applyFont="1"/>
    <xf numFmtId="0" fontId="9" fillId="0" borderId="0" xfId="6" applyFont="1"/>
    <xf numFmtId="0" fontId="5" fillId="0" borderId="0" xfId="6" applyFont="1" applyAlignment="1">
      <alignment horizontal="right"/>
    </xf>
    <xf numFmtId="164" fontId="5" fillId="0" borderId="2" xfId="6" applyNumberFormat="1" applyFont="1" applyBorder="1"/>
    <xf numFmtId="164" fontId="9" fillId="0" borderId="28" xfId="6" applyNumberFormat="1" applyFont="1" applyBorder="1"/>
    <xf numFmtId="164" fontId="5" fillId="0" borderId="2" xfId="0" applyNumberFormat="1" applyFont="1" applyBorder="1"/>
    <xf numFmtId="164" fontId="9" fillId="0" borderId="28" xfId="0" applyNumberFormat="1" applyFont="1" applyBorder="1"/>
    <xf numFmtId="0" fontId="9" fillId="0" borderId="2" xfId="0" applyFont="1" applyBorder="1" applyAlignment="1">
      <alignment horizontal="center" wrapText="1"/>
    </xf>
    <xf numFmtId="164" fontId="5" fillId="0" borderId="0" xfId="1" applyNumberFormat="1" applyFont="1" applyAlignment="1">
      <alignment horizontal="right"/>
    </xf>
    <xf numFmtId="164" fontId="9" fillId="0" borderId="28" xfId="1" applyNumberFormat="1" applyFont="1" applyFill="1" applyBorder="1"/>
    <xf numFmtId="164" fontId="5" fillId="4" borderId="0" xfId="1" applyNumberFormat="1" applyFont="1" applyFill="1"/>
    <xf numFmtId="0" fontId="5" fillId="4" borderId="0" xfId="6" applyFont="1" applyFill="1"/>
    <xf numFmtId="0" fontId="5" fillId="4" borderId="0" xfId="6" applyFont="1" applyFill="1" applyAlignment="1">
      <alignment horizontal="center"/>
    </xf>
    <xf numFmtId="164" fontId="5" fillId="4" borderId="0" xfId="1" applyNumberFormat="1" applyFont="1" applyFill="1" applyBorder="1"/>
    <xf numFmtId="0" fontId="5" fillId="4" borderId="0" xfId="6" quotePrefix="1" applyFont="1" applyFill="1" applyAlignment="1">
      <alignment horizontal="center"/>
    </xf>
    <xf numFmtId="0" fontId="5" fillId="0" borderId="0" xfId="6" applyFont="1" applyAlignment="1">
      <alignment horizontal="center" vertical="center"/>
    </xf>
    <xf numFmtId="0" fontId="4" fillId="0" borderId="0" xfId="6"/>
    <xf numFmtId="164" fontId="4" fillId="0" borderId="9" xfId="6" applyNumberFormat="1" applyBorder="1"/>
    <xf numFmtId="164" fontId="4" fillId="0" borderId="0" xfId="6" applyNumberFormat="1"/>
    <xf numFmtId="164" fontId="4" fillId="2" borderId="10" xfId="6" applyNumberFormat="1" applyFill="1" applyBorder="1"/>
    <xf numFmtId="164" fontId="4" fillId="2" borderId="0" xfId="6" applyNumberFormat="1" applyFill="1"/>
    <xf numFmtId="164" fontId="4" fillId="2" borderId="9" xfId="6" applyNumberFormat="1" applyFill="1" applyBorder="1"/>
    <xf numFmtId="164" fontId="4" fillId="0" borderId="0" xfId="1" applyNumberFormat="1" applyFont="1" applyFill="1" applyBorder="1" applyAlignment="1"/>
    <xf numFmtId="15" fontId="6" fillId="0" borderId="2" xfId="0" applyNumberFormat="1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6" applyAlignment="1">
      <alignment horizontal="left" wrapText="1"/>
    </xf>
    <xf numFmtId="0" fontId="17" fillId="0" borderId="0" xfId="7" applyFont="1" applyAlignment="1">
      <alignment horizontal="center"/>
    </xf>
    <xf numFmtId="0" fontId="6" fillId="0" borderId="0" xfId="11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164" fontId="5" fillId="0" borderId="0" xfId="0" applyNumberFormat="1" applyFont="1" applyFill="1"/>
    <xf numFmtId="0" fontId="4" fillId="0" borderId="0" xfId="0" applyFont="1" applyFill="1"/>
    <xf numFmtId="165" fontId="1" fillId="0" borderId="0" xfId="5" applyNumberFormat="1" applyFont="1" applyFill="1" applyBorder="1" applyAlignment="1">
      <alignment horizontal="center"/>
    </xf>
    <xf numFmtId="17" fontId="1" fillId="0" borderId="0" xfId="0" applyNumberFormat="1" applyFont="1" applyFill="1"/>
    <xf numFmtId="41" fontId="1" fillId="0" borderId="0" xfId="10" applyFont="1" applyFill="1" applyBorder="1" applyAlignment="1">
      <alignment horizontal="center"/>
    </xf>
    <xf numFmtId="0" fontId="1" fillId="0" borderId="0" xfId="0" applyFont="1" applyFill="1"/>
    <xf numFmtId="0" fontId="4" fillId="0" borderId="20" xfId="0" applyFont="1" applyFill="1" applyBorder="1"/>
    <xf numFmtId="0" fontId="4" fillId="0" borderId="21" xfId="0" applyFont="1" applyFill="1" applyBorder="1"/>
    <xf numFmtId="165" fontId="1" fillId="0" borderId="22" xfId="5" applyNumberFormat="1" applyFont="1" applyFill="1" applyBorder="1" applyAlignment="1">
      <alignment horizontal="center"/>
    </xf>
    <xf numFmtId="164" fontId="4" fillId="2" borderId="0" xfId="6" applyNumberFormat="1" applyFill="1" applyBorder="1"/>
    <xf numFmtId="164" fontId="6" fillId="0" borderId="20" xfId="1" applyNumberFormat="1" applyFont="1" applyFill="1" applyBorder="1" applyAlignment="1">
      <alignment horizontal="center"/>
    </xf>
    <xf numFmtId="164" fontId="6" fillId="0" borderId="21" xfId="1" applyNumberFormat="1" applyFont="1" applyFill="1" applyBorder="1" applyAlignment="1">
      <alignment horizontal="center"/>
    </xf>
    <xf numFmtId="164" fontId="6" fillId="0" borderId="22" xfId="1" applyNumberFormat="1" applyFont="1" applyFill="1" applyBorder="1" applyAlignment="1">
      <alignment horizontal="center"/>
    </xf>
  </cellXfs>
  <cellStyles count="12">
    <cellStyle name="Comma" xfId="1" builtinId="3"/>
    <cellStyle name="Comma [0]" xfId="10" builtinId="6"/>
    <cellStyle name="Comma 2" xfId="4" xr:uid="{00000000-0005-0000-0000-000001000000}"/>
    <cellStyle name="Comma 3" xfId="9" xr:uid="{F0AAB8F7-F64E-4584-ABF9-DAE85CE185AE}"/>
    <cellStyle name="Normal" xfId="0" builtinId="0"/>
    <cellStyle name="Normal 2" xfId="3" xr:uid="{00000000-0005-0000-0000-000003000000}"/>
    <cellStyle name="Normal 2 3" xfId="11" xr:uid="{804F44CC-B2D1-468C-AF7D-84EF33750F23}"/>
    <cellStyle name="Normal 3" xfId="6" xr:uid="{00000000-0005-0000-0000-000004000000}"/>
    <cellStyle name="Normal 4" xfId="7" xr:uid="{A99FA767-9D34-43AD-9A7F-75B0E21D0F86}"/>
    <cellStyle name="Percent" xfId="2" builtinId="5"/>
    <cellStyle name="Percent 2" xfId="5" xr:uid="{00000000-0005-0000-0000-000006000000}"/>
    <cellStyle name="Percent 3" xfId="8" xr:uid="{8A10BB52-20E5-46EA-BB6E-91DD44497DD0}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E3A42-3977-4FBF-95C6-9B0B650A81AE}">
  <sheetPr>
    <pageSetUpPr fitToPage="1"/>
  </sheetPr>
  <dimension ref="A1:L47"/>
  <sheetViews>
    <sheetView tabSelected="1" view="pageBreakPreview" zoomScaleNormal="100" zoomScaleSheetLayoutView="100" workbookViewId="0">
      <selection activeCell="C41" sqref="C41"/>
    </sheetView>
  </sheetViews>
  <sheetFormatPr defaultColWidth="9.140625" defaultRowHeight="11.25"/>
  <cols>
    <col min="1" max="1" width="4.28515625" style="46" customWidth="1"/>
    <col min="2" max="2" width="10.85546875" style="65" customWidth="1"/>
    <col min="3" max="3" width="44.85546875" style="46" customWidth="1"/>
    <col min="4" max="4" width="10.7109375" style="46" customWidth="1"/>
    <col min="5" max="5" width="12" style="46" bestFit="1" customWidth="1"/>
    <col min="6" max="6" width="10.7109375" style="46" customWidth="1"/>
    <col min="7" max="7" width="26.7109375" style="46" customWidth="1"/>
    <col min="8" max="8" width="2.140625" style="46" customWidth="1"/>
    <col min="9" max="9" width="11.7109375" style="46" bestFit="1" customWidth="1"/>
    <col min="10" max="10" width="9.140625" style="46"/>
    <col min="11" max="11" width="9.5703125" style="46" bestFit="1" customWidth="1"/>
    <col min="12" max="12" width="10" style="46" customWidth="1"/>
    <col min="13" max="16384" width="9.140625" style="46"/>
  </cols>
  <sheetData>
    <row r="1" spans="1:9" s="22" customFormat="1" ht="12.75">
      <c r="A1" s="22" t="s">
        <v>6</v>
      </c>
      <c r="B1" s="229"/>
    </row>
    <row r="2" spans="1:9" s="22" customFormat="1" ht="12.75">
      <c r="A2" s="22" t="s">
        <v>204</v>
      </c>
      <c r="B2" s="229"/>
    </row>
    <row r="3" spans="1:9" s="22" customFormat="1" ht="12.75">
      <c r="A3" s="129" t="s">
        <v>196</v>
      </c>
      <c r="B3" s="229"/>
      <c r="C3" s="228"/>
      <c r="D3" s="228"/>
      <c r="E3" s="228"/>
      <c r="F3" s="228"/>
      <c r="G3" s="228"/>
      <c r="H3" s="228"/>
    </row>
    <row r="4" spans="1:9" ht="6" customHeight="1">
      <c r="A4" s="69"/>
    </row>
    <row r="5" spans="1:9" ht="12.75" customHeight="1">
      <c r="A5" s="224" t="s">
        <v>120</v>
      </c>
      <c r="B5" s="224"/>
      <c r="C5" s="224"/>
      <c r="D5" s="224"/>
      <c r="E5" s="224"/>
      <c r="F5" s="224"/>
      <c r="G5" s="224"/>
      <c r="H5" s="180"/>
    </row>
    <row r="6" spans="1:9" ht="12.75" customHeight="1">
      <c r="A6" s="224"/>
      <c r="B6" s="224"/>
      <c r="C6" s="224"/>
      <c r="D6" s="224"/>
      <c r="E6" s="224"/>
      <c r="F6" s="224"/>
      <c r="G6" s="224"/>
      <c r="H6" s="180"/>
    </row>
    <row r="7" spans="1:9" ht="12.75">
      <c r="B7" s="37"/>
    </row>
    <row r="9" spans="1:9">
      <c r="B9" s="74" t="s">
        <v>92</v>
      </c>
      <c r="C9" s="74" t="s">
        <v>93</v>
      </c>
      <c r="D9" s="74" t="s">
        <v>94</v>
      </c>
      <c r="E9" s="74" t="s">
        <v>95</v>
      </c>
      <c r="F9" s="74" t="s">
        <v>96</v>
      </c>
      <c r="G9" s="74" t="s">
        <v>97</v>
      </c>
      <c r="H9" s="74"/>
    </row>
    <row r="10" spans="1:9" s="73" customFormat="1" ht="24.75" customHeight="1">
      <c r="A10" s="72" t="s">
        <v>91</v>
      </c>
      <c r="B10" s="72" t="s">
        <v>109</v>
      </c>
      <c r="C10" s="72" t="s">
        <v>108</v>
      </c>
      <c r="D10" s="70" t="s">
        <v>87</v>
      </c>
      <c r="E10" s="71" t="s">
        <v>88</v>
      </c>
      <c r="F10" s="70" t="s">
        <v>89</v>
      </c>
      <c r="G10" s="86" t="s">
        <v>86</v>
      </c>
      <c r="H10" s="74"/>
      <c r="I10" s="207" t="s">
        <v>187</v>
      </c>
    </row>
    <row r="11" spans="1:9">
      <c r="A11" s="65">
        <v>1</v>
      </c>
      <c r="B11" s="65" t="s">
        <v>102</v>
      </c>
      <c r="C11" s="46" t="str">
        <f t="array" ref="C11:C24">TRANSPOSE('Rev Req Adj- Coal Tracker 2026'!C9:P9)</f>
        <v>Coal Resources O&amp;M</v>
      </c>
      <c r="D11" s="45">
        <f t="array" ref="D11:D24">TRANSPOSE('Rev Req Adj- Coal Tracker 2026'!C40:P40)</f>
        <v>0</v>
      </c>
      <c r="E11" s="45">
        <f t="array" ref="E11:E24">TRANSPOSE('Rev Req Adj- Coal Tracker 2026'!C67:P67)</f>
        <v>0</v>
      </c>
      <c r="F11" s="45">
        <f t="shared" ref="F11:F24" si="0">-(D11-(E11*Overall_ROR))/gross_up_factor</f>
        <v>0</v>
      </c>
      <c r="G11" s="45"/>
      <c r="H11" s="45"/>
      <c r="I11" s="81">
        <f>F11-'Non-NPC Coal Costs (RY2)'!F9</f>
        <v>-1838314.0879933408</v>
      </c>
    </row>
    <row r="12" spans="1:9">
      <c r="A12" s="65">
        <f>A11+1</f>
        <v>2</v>
      </c>
      <c r="B12" s="82" t="s">
        <v>110</v>
      </c>
      <c r="C12" s="46" t="str">
        <v>Jim Bridger Mine Rate Base - Year 1</v>
      </c>
      <c r="D12" s="45">
        <v>0</v>
      </c>
      <c r="E12" s="45">
        <v>0</v>
      </c>
      <c r="F12" s="45">
        <f t="shared" si="0"/>
        <v>0</v>
      </c>
      <c r="G12" s="45"/>
      <c r="H12" s="45"/>
      <c r="I12" s="81">
        <f>F12-'Non-NPC Coal Costs (RY2)'!F10</f>
        <v>-517667.62609015405</v>
      </c>
    </row>
    <row r="13" spans="1:9">
      <c r="A13" s="65">
        <f t="shared" ref="A13:A23" si="1">A12+1</f>
        <v>3</v>
      </c>
      <c r="B13" s="65" t="s">
        <v>103</v>
      </c>
      <c r="C13" s="46" t="str">
        <v>Existing Coal Fired Generation Assets - Year 1</v>
      </c>
      <c r="D13" s="66">
        <v>0</v>
      </c>
      <c r="E13" s="66">
        <v>0</v>
      </c>
      <c r="F13" s="45">
        <f t="shared" si="0"/>
        <v>0</v>
      </c>
      <c r="G13" s="45"/>
      <c r="H13" s="45"/>
      <c r="I13" s="81">
        <f>F13-'Non-NPC Coal Costs (RY2)'!F11</f>
        <v>-494785.59021295694</v>
      </c>
    </row>
    <row r="14" spans="1:9">
      <c r="A14" s="65">
        <f>A13+1</f>
        <v>4</v>
      </c>
      <c r="B14" s="65" t="s">
        <v>113</v>
      </c>
      <c r="C14" s="46" t="str">
        <v>Pro Forma JB Units 3, 4 Additions - 
Year 1</v>
      </c>
      <c r="D14" s="66">
        <v>0</v>
      </c>
      <c r="E14" s="66">
        <v>0</v>
      </c>
      <c r="F14" s="45">
        <f t="shared" si="0"/>
        <v>0</v>
      </c>
      <c r="G14" s="45"/>
      <c r="H14" s="45"/>
      <c r="I14" s="81">
        <f>F14-'Non-NPC Coal Costs (RY2)'!F12</f>
        <v>-303214.67463599198</v>
      </c>
    </row>
    <row r="15" spans="1:9">
      <c r="A15" s="65">
        <f t="shared" si="1"/>
        <v>5</v>
      </c>
      <c r="B15" s="65" t="s">
        <v>104</v>
      </c>
      <c r="C15" s="46" t="str">
        <v>Fly Ash Revenues - Year 1</v>
      </c>
      <c r="D15" s="45">
        <v>0</v>
      </c>
      <c r="E15" s="45">
        <v>0</v>
      </c>
      <c r="F15" s="45">
        <f t="shared" si="0"/>
        <v>0</v>
      </c>
      <c r="G15" s="45"/>
      <c r="H15" s="45"/>
      <c r="I15" s="81">
        <f>F15-'Non-NPC Coal Costs (RY2)'!F13</f>
        <v>2365295.9543615868</v>
      </c>
    </row>
    <row r="16" spans="1:9">
      <c r="A16" s="65">
        <f t="shared" si="1"/>
        <v>6</v>
      </c>
      <c r="B16" s="65" t="s">
        <v>114</v>
      </c>
      <c r="C16" s="46" t="str">
        <v>Coal Decomm., Other Closure and Reclamation Costs - Year 1</v>
      </c>
      <c r="D16" s="45">
        <v>-4288458.9060298428</v>
      </c>
      <c r="E16" s="45">
        <v>-16284222.220060062</v>
      </c>
      <c r="F16" s="45">
        <f t="shared" si="0"/>
        <v>4125108.5448477888</v>
      </c>
      <c r="G16" s="45"/>
      <c r="H16" s="45"/>
      <c r="I16" s="81">
        <f>F16-'Non-NPC Coal Costs (RY2)'!F14</f>
        <v>0</v>
      </c>
    </row>
    <row r="17" spans="1:12">
      <c r="A17" s="65">
        <f t="shared" si="1"/>
        <v>7</v>
      </c>
      <c r="B17" s="65" t="s">
        <v>185</v>
      </c>
      <c r="C17" s="46" t="str">
        <v>Fly Ash Revenues - Year 2</v>
      </c>
      <c r="D17" s="45">
        <v>0</v>
      </c>
      <c r="E17" s="45">
        <v>0</v>
      </c>
      <c r="F17" s="45">
        <f t="shared" si="0"/>
        <v>0</v>
      </c>
      <c r="G17" s="45"/>
      <c r="H17" s="45"/>
      <c r="I17" s="81">
        <f>F17-'Non-NPC Coal Costs (RY2)'!F15</f>
        <v>-973717.30423514836</v>
      </c>
    </row>
    <row r="18" spans="1:12">
      <c r="A18" s="65">
        <v>8</v>
      </c>
      <c r="B18" s="65" t="s">
        <v>162</v>
      </c>
      <c r="C18" s="46" t="str">
        <v>Coal Decomm., Other Closure and Reclamation Costs - Year 2</v>
      </c>
      <c r="D18" s="66">
        <v>0</v>
      </c>
      <c r="E18" s="66">
        <v>-4288458.4545407239</v>
      </c>
      <c r="F18" s="66">
        <f t="shared" si="0"/>
        <v>-415829.08320611145</v>
      </c>
      <c r="G18" s="45"/>
      <c r="H18" s="45"/>
      <c r="I18" s="81">
        <f>F18-'Non-NPC Coal Costs (RY2)'!F16</f>
        <v>0</v>
      </c>
    </row>
    <row r="19" spans="1:12" s="231" customFormat="1">
      <c r="A19" s="230">
        <f t="shared" si="1"/>
        <v>9</v>
      </c>
      <c r="B19" s="230" t="s">
        <v>165</v>
      </c>
      <c r="C19" s="231" t="str">
        <v>Coal Decomm., Other Closure and Reclamation Costs_2026</v>
      </c>
      <c r="D19" s="66">
        <v>0</v>
      </c>
      <c r="E19" s="66">
        <v>-4288458.4545407239</v>
      </c>
      <c r="F19" s="66">
        <f t="shared" si="0"/>
        <v>-415829.08320611145</v>
      </c>
      <c r="G19" s="45"/>
      <c r="H19" s="45"/>
      <c r="I19" s="232">
        <f>F19</f>
        <v>-415829.08320611145</v>
      </c>
    </row>
    <row r="20" spans="1:12">
      <c r="A20" s="65">
        <f t="shared" si="1"/>
        <v>10</v>
      </c>
      <c r="B20" s="65" t="s">
        <v>159</v>
      </c>
      <c r="C20" s="46" t="str">
        <v>Jim Bridger Mine Rate Base - Year 2</v>
      </c>
      <c r="D20" s="66">
        <v>0</v>
      </c>
      <c r="E20" s="66">
        <v>0</v>
      </c>
      <c r="F20" s="66">
        <f t="shared" si="0"/>
        <v>0</v>
      </c>
      <c r="G20" s="45"/>
      <c r="H20" s="45"/>
      <c r="I20" s="81">
        <f>F20-'Non-NPC Coal Costs (RY2)'!F17</f>
        <v>85678.750609973344</v>
      </c>
    </row>
    <row r="21" spans="1:12">
      <c r="A21" s="65">
        <f t="shared" si="1"/>
        <v>11</v>
      </c>
      <c r="B21" s="65" t="s">
        <v>160</v>
      </c>
      <c r="C21" s="46" t="str">
        <v>Existing Coal Fired Generation Assets - Year 2</v>
      </c>
      <c r="D21" s="66">
        <v>0</v>
      </c>
      <c r="E21" s="66">
        <v>0</v>
      </c>
      <c r="F21" s="66">
        <f t="shared" si="0"/>
        <v>0</v>
      </c>
      <c r="G21" s="45"/>
      <c r="H21" s="45"/>
      <c r="I21" s="81">
        <f>F21-'Non-NPC Coal Costs (RY2)'!F18</f>
        <v>141503.26669428416</v>
      </c>
    </row>
    <row r="22" spans="1:12">
      <c r="A22" s="65">
        <f t="shared" si="1"/>
        <v>12</v>
      </c>
      <c r="B22" s="65" t="s">
        <v>161</v>
      </c>
      <c r="C22" s="46" t="str">
        <v>Pro Forma JB Units 3, 4 Additions - 
Year 2</v>
      </c>
      <c r="D22" s="66">
        <v>0</v>
      </c>
      <c r="E22" s="66">
        <v>0</v>
      </c>
      <c r="F22" s="66">
        <f t="shared" si="0"/>
        <v>0</v>
      </c>
      <c r="G22" s="45"/>
      <c r="H22" s="45"/>
      <c r="I22" s="81">
        <f>F22-'Non-NPC Coal Costs (RY2)'!F19</f>
        <v>-11262.182867324766</v>
      </c>
    </row>
    <row r="23" spans="1:12">
      <c r="A23" s="65">
        <f t="shared" si="1"/>
        <v>13</v>
      </c>
      <c r="B23" s="65" t="s">
        <v>170</v>
      </c>
      <c r="C23" s="46" t="str">
        <v>Interest Synchronization</v>
      </c>
      <c r="D23" s="66">
        <v>-138916.10549500046</v>
      </c>
      <c r="E23" s="66">
        <v>0</v>
      </c>
      <c r="F23" s="66">
        <f t="shared" si="0"/>
        <v>184773.09129179918</v>
      </c>
      <c r="G23" s="66"/>
      <c r="H23" s="45"/>
      <c r="I23" s="81">
        <f>F23-'Non-NPC Coal Costs (RY2)'!F20</f>
        <v>7444.949746089289</v>
      </c>
    </row>
    <row r="24" spans="1:12">
      <c r="A24" s="65">
        <v>14</v>
      </c>
      <c r="B24" s="65" t="s">
        <v>171</v>
      </c>
      <c r="C24" s="46" t="str">
        <v>Remove Deferred State Tax Expense &amp; Balance</v>
      </c>
      <c r="D24" s="135">
        <v>-203955.5263655571</v>
      </c>
      <c r="E24" s="135">
        <v>-1182375.2118784534</v>
      </c>
      <c r="F24" s="135">
        <f t="shared" si="0"/>
        <v>156633.73336652105</v>
      </c>
      <c r="G24" s="66"/>
      <c r="H24" s="45"/>
      <c r="I24" s="205">
        <f>F24-'Non-NPC Coal Costs (RY2)'!F21</f>
        <v>-219437.92190038707</v>
      </c>
    </row>
    <row r="25" spans="1:12">
      <c r="A25" s="65"/>
      <c r="C25" s="68"/>
      <c r="D25" s="67">
        <f>SUM(D11:D24)</f>
        <v>-4631330.5378903998</v>
      </c>
      <c r="E25" s="67">
        <f>SUM(E11:E24)</f>
        <v>-26043514.341019962</v>
      </c>
      <c r="F25" s="67">
        <f>SUM(F11:F24)</f>
        <v>3634857.2030938859</v>
      </c>
      <c r="G25" s="45"/>
      <c r="H25" s="45"/>
      <c r="I25" s="184">
        <f>SUM(I11:I24)</f>
        <v>-2174305.5497294813</v>
      </c>
      <c r="K25" s="81">
        <f>F25-'Non-NPC Coal Costs (RY2)'!F22-I25</f>
        <v>0</v>
      </c>
      <c r="L25" s="81" t="s">
        <v>190</v>
      </c>
    </row>
    <row r="26" spans="1:12" ht="6" customHeight="1">
      <c r="A26" s="65"/>
      <c r="C26" s="68"/>
      <c r="D26" s="67"/>
      <c r="E26" s="67"/>
      <c r="F26" s="67"/>
      <c r="G26" s="45"/>
      <c r="H26" s="45"/>
    </row>
    <row r="27" spans="1:12">
      <c r="A27" s="65"/>
      <c r="C27" s="46" t="s">
        <v>205</v>
      </c>
      <c r="D27" s="67"/>
      <c r="E27" s="67"/>
      <c r="F27" s="136">
        <f>-'Deferred Fly Ash Amort.'!F61</f>
        <v>-1735595.4798920334</v>
      </c>
      <c r="G27" s="45"/>
      <c r="H27" s="45"/>
      <c r="I27" s="81">
        <f>F27-'Non-NPC Coal Costs (RY2)'!F24</f>
        <v>0</v>
      </c>
    </row>
    <row r="28" spans="1:12" ht="12" thickBot="1">
      <c r="A28" s="65"/>
      <c r="C28" s="46" t="s">
        <v>147</v>
      </c>
      <c r="D28" s="67"/>
      <c r="E28" s="67"/>
      <c r="F28" s="209">
        <f>SUM(F25:F27)</f>
        <v>1899261.7232018525</v>
      </c>
      <c r="G28" s="45"/>
      <c r="H28" s="45"/>
      <c r="I28" s="206">
        <f>I27+I25</f>
        <v>-2174305.5497294813</v>
      </c>
    </row>
    <row r="29" spans="1:12">
      <c r="A29" s="65"/>
      <c r="C29" s="68"/>
      <c r="D29" s="67"/>
      <c r="E29" s="67"/>
      <c r="F29" s="67"/>
      <c r="G29" s="45"/>
      <c r="H29" s="45"/>
    </row>
    <row r="30" spans="1:12">
      <c r="A30" s="65"/>
      <c r="B30" s="69" t="s">
        <v>90</v>
      </c>
      <c r="C30" s="68"/>
      <c r="D30" s="67"/>
      <c r="E30" s="67"/>
      <c r="F30" s="67"/>
      <c r="G30" s="45"/>
      <c r="H30" s="45"/>
    </row>
    <row r="31" spans="1:12">
      <c r="A31" s="65"/>
      <c r="B31" s="69" t="s">
        <v>150</v>
      </c>
    </row>
    <row r="32" spans="1:12">
      <c r="A32" s="65"/>
      <c r="B32" s="69"/>
    </row>
    <row r="33" spans="1:7">
      <c r="A33" s="65"/>
    </row>
    <row r="34" spans="1:7">
      <c r="A34" s="65"/>
      <c r="F34" s="81">
        <f>F25-'Rev Req Adj- Coal Tracker 2026'!B71</f>
        <v>0</v>
      </c>
      <c r="G34" s="46" t="s">
        <v>189</v>
      </c>
    </row>
    <row r="35" spans="1:7">
      <c r="A35" s="65"/>
    </row>
    <row r="37" spans="1:7">
      <c r="D37" s="87"/>
      <c r="E37" s="81"/>
    </row>
    <row r="38" spans="1:7">
      <c r="C38" s="87"/>
      <c r="D38" s="181"/>
    </row>
    <row r="39" spans="1:7">
      <c r="C39" s="87"/>
      <c r="D39" s="81"/>
    </row>
    <row r="40" spans="1:7">
      <c r="C40" s="87"/>
      <c r="D40" s="81"/>
    </row>
    <row r="41" spans="1:7">
      <c r="C41" s="87"/>
    </row>
    <row r="42" spans="1:7">
      <c r="C42" s="87"/>
      <c r="D42" s="81"/>
    </row>
    <row r="43" spans="1:7">
      <c r="C43" s="87"/>
      <c r="D43" s="81"/>
      <c r="E43" s="182"/>
    </row>
    <row r="44" spans="1:7">
      <c r="C44" s="87"/>
    </row>
    <row r="45" spans="1:7">
      <c r="C45" s="87"/>
      <c r="D45" s="81"/>
    </row>
    <row r="46" spans="1:7">
      <c r="C46" s="87"/>
      <c r="D46" s="81"/>
    </row>
    <row r="47" spans="1:7">
      <c r="C47" s="183"/>
      <c r="D47" s="184"/>
    </row>
  </sheetData>
  <mergeCells count="1">
    <mergeCell ref="A5:G6"/>
  </mergeCells>
  <printOptions horizontalCentered="1"/>
  <pageMargins left="0.7" right="0.7" top="0.75" bottom="0.75" header="0.3" footer="0.3"/>
  <pageSetup scale="91" orientation="landscape" useFirstPageNumber="1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9508F-9401-474C-9F3D-AF70A92BEE39}">
  <sheetPr>
    <pageSetUpPr fitToPage="1"/>
  </sheetPr>
  <dimension ref="A1:L47"/>
  <sheetViews>
    <sheetView view="pageBreakPreview" zoomScaleNormal="100" zoomScaleSheetLayoutView="100" workbookViewId="0">
      <selection activeCell="K10" sqref="K10"/>
    </sheetView>
  </sheetViews>
  <sheetFormatPr defaultColWidth="9.140625" defaultRowHeight="11.25"/>
  <cols>
    <col min="1" max="1" width="4.28515625" style="46" customWidth="1"/>
    <col min="2" max="2" width="10.85546875" style="65" customWidth="1"/>
    <col min="3" max="3" width="50" style="46" customWidth="1"/>
    <col min="4" max="4" width="10.7109375" style="46" customWidth="1"/>
    <col min="5" max="5" width="12" style="46" bestFit="1" customWidth="1"/>
    <col min="6" max="6" width="10.7109375" style="46" customWidth="1"/>
    <col min="7" max="7" width="23.85546875" style="46" customWidth="1"/>
    <col min="8" max="8" width="2.140625" style="46" customWidth="1"/>
    <col min="9" max="9" width="11.7109375" style="46" bestFit="1" customWidth="1"/>
    <col min="10" max="10" width="9.140625" style="46"/>
    <col min="11" max="11" width="9.5703125" style="46" bestFit="1" customWidth="1"/>
    <col min="12" max="12" width="10" style="46" customWidth="1"/>
    <col min="13" max="16384" width="9.140625" style="46"/>
  </cols>
  <sheetData>
    <row r="1" spans="1:9" ht="12.75">
      <c r="A1" s="22" t="s">
        <v>6</v>
      </c>
    </row>
    <row r="2" spans="1:9" ht="12.75">
      <c r="A2" s="22" t="s">
        <v>204</v>
      </c>
    </row>
    <row r="3" spans="1:9" s="18" customFormat="1" ht="12.75">
      <c r="A3" s="129" t="s">
        <v>197</v>
      </c>
      <c r="B3" s="37"/>
      <c r="C3" s="228"/>
      <c r="D3" s="228"/>
      <c r="E3" s="228"/>
      <c r="F3" s="228"/>
      <c r="G3" s="228"/>
      <c r="H3" s="228"/>
    </row>
    <row r="4" spans="1:9" ht="6" customHeight="1">
      <c r="A4" s="69"/>
    </row>
    <row r="5" spans="1:9" ht="12.75" customHeight="1">
      <c r="A5" s="224" t="s">
        <v>120</v>
      </c>
      <c r="B5" s="224"/>
      <c r="C5" s="224"/>
      <c r="D5" s="224"/>
      <c r="E5" s="224"/>
      <c r="F5" s="224"/>
      <c r="G5" s="224"/>
      <c r="H5" s="180"/>
    </row>
    <row r="6" spans="1:9" ht="12.75" customHeight="1">
      <c r="A6" s="224"/>
      <c r="B6" s="224"/>
      <c r="C6" s="224"/>
      <c r="D6" s="224"/>
      <c r="E6" s="224"/>
      <c r="F6" s="224"/>
      <c r="G6" s="224"/>
      <c r="H6" s="180"/>
    </row>
    <row r="7" spans="1:9" ht="12.75">
      <c r="B7" s="37"/>
    </row>
    <row r="9" spans="1:9">
      <c r="B9" s="74" t="s">
        <v>92</v>
      </c>
      <c r="C9" s="74" t="s">
        <v>93</v>
      </c>
      <c r="D9" s="74" t="s">
        <v>94</v>
      </c>
      <c r="E9" s="74" t="s">
        <v>95</v>
      </c>
      <c r="F9" s="74" t="s">
        <v>96</v>
      </c>
      <c r="G9" s="74" t="s">
        <v>97</v>
      </c>
      <c r="H9" s="74"/>
    </row>
    <row r="10" spans="1:9" s="73" customFormat="1" ht="24.75" customHeight="1">
      <c r="A10" s="72" t="s">
        <v>91</v>
      </c>
      <c r="B10" s="72" t="s">
        <v>109</v>
      </c>
      <c r="C10" s="72" t="s">
        <v>108</v>
      </c>
      <c r="D10" s="70" t="s">
        <v>87</v>
      </c>
      <c r="E10" s="71" t="s">
        <v>88</v>
      </c>
      <c r="F10" s="70" t="s">
        <v>89</v>
      </c>
      <c r="G10" s="86" t="s">
        <v>86</v>
      </c>
      <c r="H10" s="74"/>
      <c r="I10" s="207" t="s">
        <v>191</v>
      </c>
    </row>
    <row r="11" spans="1:9">
      <c r="A11" s="65">
        <v>1</v>
      </c>
      <c r="B11" s="65" t="s">
        <v>102</v>
      </c>
      <c r="C11" s="46" t="str">
        <f t="array" ref="C11:C24">TRANSPOSE('Rev Req Adj- Coal Tracker 2026'!C9:P9)</f>
        <v>Coal Resources O&amp;M</v>
      </c>
      <c r="D11" s="45">
        <f t="array" ref="D11:D24">TRANSPOSE('Rev Req Adj- Coal Tracker 2026'!C40:P40)</f>
        <v>0</v>
      </c>
      <c r="E11" s="45">
        <f t="array" ref="E11:E24">TRANSPOSE('Rev Req Adj- Coal Tracker 2026'!C67:P67)</f>
        <v>0</v>
      </c>
      <c r="F11" s="45">
        <f t="shared" ref="F11:F24" si="0">-(D11-(E11*Overall_ROR))/gross_up_factor</f>
        <v>0</v>
      </c>
      <c r="G11" s="45"/>
      <c r="H11" s="45"/>
      <c r="I11" s="81">
        <f>F11-'Non-NPC Coal Costs 1.1.2026'!F11</f>
        <v>0</v>
      </c>
    </row>
    <row r="12" spans="1:9">
      <c r="A12" s="65">
        <f>A11+1</f>
        <v>2</v>
      </c>
      <c r="B12" s="82" t="s">
        <v>110</v>
      </c>
      <c r="C12" s="46" t="str">
        <v>Jim Bridger Mine Rate Base - Year 1</v>
      </c>
      <c r="D12" s="45">
        <v>0</v>
      </c>
      <c r="E12" s="45">
        <v>0</v>
      </c>
      <c r="F12" s="45">
        <f t="shared" si="0"/>
        <v>0</v>
      </c>
      <c r="G12" s="45"/>
      <c r="H12" s="45"/>
      <c r="I12" s="81">
        <f>F12-'Non-NPC Coal Costs 1.1.2026'!F12</f>
        <v>0</v>
      </c>
    </row>
    <row r="13" spans="1:9">
      <c r="A13" s="65">
        <f t="shared" ref="A13:A23" si="1">A12+1</f>
        <v>3</v>
      </c>
      <c r="B13" s="65" t="s">
        <v>103</v>
      </c>
      <c r="C13" s="46" t="str">
        <v>Existing Coal Fired Generation Assets - Year 1</v>
      </c>
      <c r="D13" s="66">
        <v>0</v>
      </c>
      <c r="E13" s="66">
        <v>0</v>
      </c>
      <c r="F13" s="45">
        <f t="shared" si="0"/>
        <v>0</v>
      </c>
      <c r="G13" s="45"/>
      <c r="H13" s="45"/>
      <c r="I13" s="81">
        <f>F13-'Non-NPC Coal Costs 1.1.2026'!F13</f>
        <v>0</v>
      </c>
    </row>
    <row r="14" spans="1:9">
      <c r="A14" s="65">
        <f>A13+1</f>
        <v>4</v>
      </c>
      <c r="B14" s="65" t="s">
        <v>113</v>
      </c>
      <c r="C14" s="46" t="str">
        <v>Pro Forma JB Units 3, 4 Additions - 
Year 1</v>
      </c>
      <c r="D14" s="66">
        <v>0</v>
      </c>
      <c r="E14" s="66">
        <v>0</v>
      </c>
      <c r="F14" s="45">
        <f t="shared" si="0"/>
        <v>0</v>
      </c>
      <c r="G14" s="45"/>
      <c r="H14" s="45"/>
      <c r="I14" s="81">
        <f>F14-'Non-NPC Coal Costs 1.1.2026'!F14</f>
        <v>0</v>
      </c>
    </row>
    <row r="15" spans="1:9">
      <c r="A15" s="65">
        <f t="shared" si="1"/>
        <v>5</v>
      </c>
      <c r="B15" s="65" t="s">
        <v>104</v>
      </c>
      <c r="C15" s="46" t="str">
        <v>Fly Ash Revenues - Year 1</v>
      </c>
      <c r="D15" s="45">
        <v>0</v>
      </c>
      <c r="E15" s="45">
        <v>0</v>
      </c>
      <c r="F15" s="45">
        <f t="shared" si="0"/>
        <v>0</v>
      </c>
      <c r="G15" s="45"/>
      <c r="H15" s="45"/>
      <c r="I15" s="81">
        <f>F15-'Non-NPC Coal Costs 1.1.2026'!F15</f>
        <v>0</v>
      </c>
    </row>
    <row r="16" spans="1:9">
      <c r="A16" s="65">
        <f t="shared" si="1"/>
        <v>6</v>
      </c>
      <c r="B16" s="65" t="s">
        <v>114</v>
      </c>
      <c r="C16" s="46" t="str">
        <v>Coal Decomm., Other Closure and Reclamation Costs - Year 1</v>
      </c>
      <c r="D16" s="45">
        <v>-4288458.9060298428</v>
      </c>
      <c r="E16" s="45">
        <v>-16284222.220060062</v>
      </c>
      <c r="F16" s="45">
        <f t="shared" si="0"/>
        <v>4125108.5448477888</v>
      </c>
      <c r="G16" s="45"/>
      <c r="H16" s="45"/>
      <c r="I16" s="81">
        <f>F16-'Non-NPC Coal Costs 1.1.2026'!F16</f>
        <v>0</v>
      </c>
    </row>
    <row r="17" spans="1:12">
      <c r="A17" s="65">
        <f t="shared" si="1"/>
        <v>7</v>
      </c>
      <c r="B17" s="65" t="s">
        <v>185</v>
      </c>
      <c r="C17" s="46" t="str">
        <v>Fly Ash Revenues - Year 2</v>
      </c>
      <c r="D17" s="45">
        <v>0</v>
      </c>
      <c r="E17" s="45">
        <v>0</v>
      </c>
      <c r="F17" s="45">
        <f t="shared" si="0"/>
        <v>0</v>
      </c>
      <c r="G17" s="45"/>
      <c r="H17" s="45"/>
      <c r="I17" s="81">
        <f>F17-'Non-NPC Coal Costs 1.1.2026'!F17</f>
        <v>0</v>
      </c>
    </row>
    <row r="18" spans="1:12">
      <c r="A18" s="65">
        <v>8</v>
      </c>
      <c r="B18" s="65" t="s">
        <v>162</v>
      </c>
      <c r="C18" s="46" t="str">
        <v>Coal Decomm., Other Closure and Reclamation Costs - Year 2</v>
      </c>
      <c r="D18" s="66">
        <v>0</v>
      </c>
      <c r="E18" s="66">
        <v>-4288458.4545407239</v>
      </c>
      <c r="F18" s="66">
        <f t="shared" si="0"/>
        <v>-415829.08320611145</v>
      </c>
      <c r="G18" s="45"/>
      <c r="H18" s="45"/>
      <c r="I18" s="81">
        <f>F18-'Non-NPC Coal Costs 1.1.2026'!F18</f>
        <v>0</v>
      </c>
    </row>
    <row r="19" spans="1:12">
      <c r="A19" s="65">
        <f t="shared" si="1"/>
        <v>9</v>
      </c>
      <c r="B19" s="65" t="s">
        <v>165</v>
      </c>
      <c r="C19" s="46" t="str">
        <v>Coal Decomm., Other Closure and Reclamation Costs_2026</v>
      </c>
      <c r="D19" s="66">
        <v>0</v>
      </c>
      <c r="E19" s="66">
        <v>-4288458.4545407239</v>
      </c>
      <c r="F19" s="66">
        <f t="shared" si="0"/>
        <v>-415829.08320611145</v>
      </c>
      <c r="G19" s="45"/>
      <c r="H19" s="45"/>
      <c r="I19" s="81">
        <f>F19-'Non-NPC Coal Costs 1.1.2026'!F19</f>
        <v>0</v>
      </c>
    </row>
    <row r="20" spans="1:12">
      <c r="A20" s="65">
        <f t="shared" si="1"/>
        <v>10</v>
      </c>
      <c r="B20" s="65" t="s">
        <v>159</v>
      </c>
      <c r="C20" s="46" t="str">
        <v>Jim Bridger Mine Rate Base - Year 2</v>
      </c>
      <c r="D20" s="66">
        <v>0</v>
      </c>
      <c r="E20" s="66">
        <v>0</v>
      </c>
      <c r="F20" s="66">
        <f t="shared" si="0"/>
        <v>0</v>
      </c>
      <c r="G20" s="45"/>
      <c r="H20" s="45"/>
      <c r="I20" s="81">
        <f>F20-'Non-NPC Coal Costs 1.1.2026'!F20</f>
        <v>0</v>
      </c>
    </row>
    <row r="21" spans="1:12">
      <c r="A21" s="65">
        <f t="shared" si="1"/>
        <v>11</v>
      </c>
      <c r="B21" s="65" t="s">
        <v>160</v>
      </c>
      <c r="C21" s="46" t="str">
        <v>Existing Coal Fired Generation Assets - Year 2</v>
      </c>
      <c r="D21" s="66">
        <v>0</v>
      </c>
      <c r="E21" s="66">
        <v>0</v>
      </c>
      <c r="F21" s="66">
        <f t="shared" si="0"/>
        <v>0</v>
      </c>
      <c r="G21" s="45"/>
      <c r="H21" s="45"/>
      <c r="I21" s="81">
        <f>F21-'Non-NPC Coal Costs 1.1.2026'!F21</f>
        <v>0</v>
      </c>
    </row>
    <row r="22" spans="1:12">
      <c r="A22" s="65">
        <f t="shared" si="1"/>
        <v>12</v>
      </c>
      <c r="B22" s="65" t="s">
        <v>161</v>
      </c>
      <c r="C22" s="46" t="str">
        <v>Pro Forma JB Units 3, 4 Additions - 
Year 2</v>
      </c>
      <c r="D22" s="66">
        <v>0</v>
      </c>
      <c r="E22" s="66">
        <v>0</v>
      </c>
      <c r="F22" s="66">
        <f t="shared" si="0"/>
        <v>0</v>
      </c>
      <c r="G22" s="45"/>
      <c r="H22" s="45"/>
      <c r="I22" s="81">
        <f>F22-'Non-NPC Coal Costs 1.1.2026'!F22</f>
        <v>0</v>
      </c>
    </row>
    <row r="23" spans="1:12">
      <c r="A23" s="65">
        <f t="shared" si="1"/>
        <v>13</v>
      </c>
      <c r="B23" s="65" t="s">
        <v>170</v>
      </c>
      <c r="C23" s="46" t="str">
        <v>Interest Synchronization</v>
      </c>
      <c r="D23" s="66">
        <v>-138916.10549500046</v>
      </c>
      <c r="E23" s="66">
        <v>0</v>
      </c>
      <c r="F23" s="66">
        <f t="shared" si="0"/>
        <v>184773.09129179918</v>
      </c>
      <c r="G23" s="66"/>
      <c r="H23" s="45"/>
      <c r="I23" s="81">
        <f>F23-'Non-NPC Coal Costs 1.1.2026'!F23</f>
        <v>0</v>
      </c>
    </row>
    <row r="24" spans="1:12">
      <c r="A24" s="65">
        <v>14</v>
      </c>
      <c r="B24" s="65" t="s">
        <v>171</v>
      </c>
      <c r="C24" s="46" t="str">
        <v>Remove Deferred State Tax Expense &amp; Balance</v>
      </c>
      <c r="D24" s="135">
        <v>-203955.5263655571</v>
      </c>
      <c r="E24" s="135">
        <v>-1182375.2118784534</v>
      </c>
      <c r="F24" s="135">
        <f t="shared" si="0"/>
        <v>156633.73336652105</v>
      </c>
      <c r="G24" s="66"/>
      <c r="H24" s="45"/>
      <c r="I24" s="205">
        <f>F24-'Non-NPC Coal Costs 1.1.2026'!F24</f>
        <v>0</v>
      </c>
    </row>
    <row r="25" spans="1:12">
      <c r="A25" s="65"/>
      <c r="C25" s="68"/>
      <c r="D25" s="67">
        <f>SUM(D11:D23)</f>
        <v>-4427375.0115248431</v>
      </c>
      <c r="E25" s="67">
        <f>SUM(E11:E23)</f>
        <v>-24861139.12914151</v>
      </c>
      <c r="F25" s="67">
        <f>SUM(F11:F24)</f>
        <v>3634857.2030938859</v>
      </c>
      <c r="G25" s="45"/>
      <c r="H25" s="45"/>
      <c r="I25" s="184">
        <f>SUM(I11:I24)</f>
        <v>0</v>
      </c>
      <c r="K25" s="81"/>
      <c r="L25" s="81"/>
    </row>
    <row r="26" spans="1:12" ht="6" customHeight="1">
      <c r="A26" s="65"/>
      <c r="C26" s="68"/>
      <c r="D26" s="67"/>
      <c r="E26" s="67"/>
      <c r="F26" s="67"/>
      <c r="G26" s="45"/>
      <c r="H26" s="45"/>
    </row>
    <row r="27" spans="1:12">
      <c r="A27" s="65"/>
      <c r="C27" s="46" t="s">
        <v>205</v>
      </c>
      <c r="D27" s="67"/>
      <c r="E27" s="67"/>
      <c r="F27" s="136">
        <v>0</v>
      </c>
      <c r="G27" s="45"/>
      <c r="H27" s="45"/>
      <c r="I27" s="81">
        <f>F27-'Non-NPC Coal Costs 1.1.2026'!F27</f>
        <v>1735595.4798920334</v>
      </c>
    </row>
    <row r="28" spans="1:12" ht="12" thickBot="1">
      <c r="A28" s="65"/>
      <c r="C28" s="46" t="s">
        <v>147</v>
      </c>
      <c r="D28" s="67"/>
      <c r="E28" s="67"/>
      <c r="F28" s="209">
        <f>SUM(F25:F27)</f>
        <v>3634857.2030938859</v>
      </c>
      <c r="G28" s="45"/>
      <c r="H28" s="45"/>
      <c r="I28" s="206">
        <f>I27+I25</f>
        <v>1735595.4798920334</v>
      </c>
    </row>
    <row r="29" spans="1:12">
      <c r="A29" s="65"/>
      <c r="C29" s="68"/>
      <c r="D29" s="67"/>
      <c r="E29" s="67"/>
      <c r="F29" s="67"/>
      <c r="G29" s="45"/>
      <c r="H29" s="45"/>
    </row>
    <row r="30" spans="1:12">
      <c r="A30" s="65"/>
      <c r="B30" s="69" t="s">
        <v>90</v>
      </c>
      <c r="C30" s="68"/>
      <c r="D30" s="67"/>
      <c r="E30" s="67"/>
      <c r="F30" s="67"/>
      <c r="G30" s="45"/>
      <c r="H30" s="45"/>
    </row>
    <row r="31" spans="1:12">
      <c r="A31" s="65"/>
      <c r="B31" s="69" t="s">
        <v>150</v>
      </c>
    </row>
    <row r="32" spans="1:12">
      <c r="A32" s="65"/>
      <c r="B32" s="69"/>
    </row>
    <row r="33" spans="1:7">
      <c r="A33" s="65"/>
    </row>
    <row r="34" spans="1:7">
      <c r="A34" s="65"/>
      <c r="F34" s="81">
        <f>F25-'Rev Req Adj- Coal Tracker 2026'!B71</f>
        <v>0</v>
      </c>
      <c r="G34" s="46" t="s">
        <v>189</v>
      </c>
    </row>
    <row r="35" spans="1:7">
      <c r="A35" s="65"/>
    </row>
    <row r="37" spans="1:7">
      <c r="D37" s="87"/>
      <c r="E37" s="81"/>
    </row>
    <row r="38" spans="1:7">
      <c r="C38" s="87"/>
      <c r="D38" s="181"/>
    </row>
    <row r="39" spans="1:7">
      <c r="C39" s="87"/>
      <c r="D39" s="81"/>
    </row>
    <row r="40" spans="1:7">
      <c r="C40" s="87"/>
      <c r="D40" s="81"/>
    </row>
    <row r="41" spans="1:7">
      <c r="C41" s="87"/>
    </row>
    <row r="42" spans="1:7">
      <c r="C42" s="87"/>
      <c r="D42" s="81"/>
    </row>
    <row r="43" spans="1:7">
      <c r="C43" s="87"/>
      <c r="D43" s="81"/>
      <c r="E43" s="182"/>
    </row>
    <row r="44" spans="1:7">
      <c r="C44" s="87"/>
    </row>
    <row r="45" spans="1:7">
      <c r="C45" s="87"/>
      <c r="D45" s="81"/>
    </row>
    <row r="46" spans="1:7">
      <c r="C46" s="87"/>
      <c r="D46" s="81"/>
    </row>
    <row r="47" spans="1:7">
      <c r="C47" s="183"/>
      <c r="D47" s="184"/>
    </row>
  </sheetData>
  <mergeCells count="1">
    <mergeCell ref="A5:G6"/>
  </mergeCells>
  <printOptions horizontalCentered="1"/>
  <pageMargins left="0.7" right="0.7" top="0.75" bottom="0.75" header="0.3" footer="0.3"/>
  <pageSetup scale="90" orientation="landscape" useFirstPageNumber="1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F74A9-5D8B-40EB-9248-8585790869F8}">
  <sheetPr>
    <pageSetUpPr fitToPage="1"/>
  </sheetPr>
  <dimension ref="A1:W153"/>
  <sheetViews>
    <sheetView view="pageBreakPreview" zoomScale="60" zoomScaleNormal="70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N8" sqref="N8"/>
    </sheetView>
  </sheetViews>
  <sheetFormatPr defaultColWidth="9.140625" defaultRowHeight="12.75"/>
  <cols>
    <col min="1" max="1" width="54.5703125" style="2" customWidth="1"/>
    <col min="2" max="2" width="21.28515625" style="14" customWidth="1"/>
    <col min="3" max="3" width="17.28515625" style="2" bestFit="1" customWidth="1"/>
    <col min="4" max="11" width="17.42578125" style="2" customWidth="1"/>
    <col min="12" max="12" width="17.28515625" style="2" bestFit="1" customWidth="1"/>
    <col min="13" max="14" width="17.42578125" style="2" customWidth="1"/>
    <col min="15" max="15" width="18.140625" style="2" customWidth="1"/>
    <col min="16" max="22" width="17.28515625" style="2" bestFit="1" customWidth="1"/>
    <col min="23" max="23" width="9.140625" style="2"/>
    <col min="24" max="16384" width="9.140625" style="14"/>
  </cols>
  <sheetData>
    <row r="1" spans="1:23">
      <c r="A1" s="4" t="s">
        <v>6</v>
      </c>
    </row>
    <row r="2" spans="1:23" s="2" customFormat="1" ht="12.75" customHeight="1">
      <c r="A2" s="61" t="s">
        <v>204</v>
      </c>
    </row>
    <row r="3" spans="1:23" s="2" customFormat="1">
      <c r="A3" s="62" t="s">
        <v>207</v>
      </c>
    </row>
    <row r="4" spans="1:23" s="2" customFormat="1">
      <c r="A4" s="62" t="s">
        <v>208</v>
      </c>
      <c r="J4" s="172"/>
      <c r="K4" s="172"/>
      <c r="M4" s="172"/>
      <c r="N4" s="172"/>
      <c r="Q4" s="171"/>
    </row>
    <row r="5" spans="1:23" s="2" customFormat="1">
      <c r="A5" s="61"/>
      <c r="J5" s="173"/>
      <c r="K5" s="173"/>
      <c r="M5" s="173"/>
      <c r="N5" s="173"/>
    </row>
    <row r="6" spans="1:23" s="4" customFormat="1" ht="13.5" thickBot="1">
      <c r="A6" s="63"/>
    </row>
    <row r="7" spans="1:23" s="64" customFormat="1" ht="13.5" thickBot="1">
      <c r="A7" s="4"/>
      <c r="B7" s="88"/>
      <c r="C7" s="242" t="s">
        <v>209</v>
      </c>
      <c r="D7" s="243"/>
      <c r="E7" s="243"/>
      <c r="F7" s="243"/>
      <c r="G7" s="244"/>
      <c r="H7" s="242" t="s">
        <v>209</v>
      </c>
      <c r="I7" s="243"/>
      <c r="J7" s="243"/>
      <c r="K7" s="243"/>
      <c r="L7" s="243"/>
      <c r="M7" s="244"/>
      <c r="N7" s="242" t="s">
        <v>209</v>
      </c>
      <c r="O7" s="243"/>
      <c r="P7" s="244"/>
      <c r="Q7" s="88"/>
      <c r="R7" s="88"/>
      <c r="S7" s="88"/>
      <c r="T7" s="88"/>
      <c r="U7" s="88"/>
      <c r="V7" s="88"/>
      <c r="W7" s="4"/>
    </row>
    <row r="8" spans="1:23">
      <c r="B8" s="177" t="s">
        <v>186</v>
      </c>
      <c r="C8" s="177" t="s">
        <v>102</v>
      </c>
      <c r="D8" s="178" t="s">
        <v>110</v>
      </c>
      <c r="E8" s="178" t="s">
        <v>103</v>
      </c>
      <c r="F8" s="178" t="s">
        <v>113</v>
      </c>
      <c r="G8" s="179" t="s">
        <v>104</v>
      </c>
      <c r="H8" s="177" t="s">
        <v>114</v>
      </c>
      <c r="I8" s="178" t="s">
        <v>185</v>
      </c>
      <c r="J8" s="178" t="s">
        <v>162</v>
      </c>
      <c r="K8" s="178" t="s">
        <v>165</v>
      </c>
      <c r="L8" s="178" t="s">
        <v>159</v>
      </c>
      <c r="M8" s="179" t="s">
        <v>160</v>
      </c>
      <c r="N8" s="177" t="s">
        <v>161</v>
      </c>
      <c r="O8" s="178" t="s">
        <v>170</v>
      </c>
      <c r="P8" s="179" t="s">
        <v>171</v>
      </c>
      <c r="Q8" s="47"/>
      <c r="R8" s="47"/>
      <c r="S8" s="47"/>
      <c r="T8" s="47"/>
      <c r="U8" s="47"/>
      <c r="V8" s="47"/>
    </row>
    <row r="9" spans="1:23" s="13" customFormat="1" ht="81" customHeight="1">
      <c r="B9" s="84" t="s">
        <v>206</v>
      </c>
      <c r="C9" s="59" t="s">
        <v>107</v>
      </c>
      <c r="D9" s="60" t="s">
        <v>111</v>
      </c>
      <c r="E9" s="60" t="s">
        <v>112</v>
      </c>
      <c r="F9" s="60" t="s">
        <v>117</v>
      </c>
      <c r="G9" s="134" t="s">
        <v>106</v>
      </c>
      <c r="H9" s="59" t="s">
        <v>198</v>
      </c>
      <c r="I9" s="60" t="s">
        <v>184</v>
      </c>
      <c r="J9" s="60" t="s">
        <v>199</v>
      </c>
      <c r="K9" s="60" t="s">
        <v>166</v>
      </c>
      <c r="L9" s="60" t="s">
        <v>163</v>
      </c>
      <c r="M9" s="134" t="s">
        <v>201</v>
      </c>
      <c r="N9" s="59" t="s">
        <v>200</v>
      </c>
      <c r="O9" s="60" t="s">
        <v>115</v>
      </c>
      <c r="P9" s="134" t="s">
        <v>119</v>
      </c>
      <c r="Q9" s="60"/>
      <c r="R9" s="60"/>
      <c r="S9" s="60"/>
      <c r="T9" s="60"/>
      <c r="U9" s="60"/>
      <c r="V9" s="60"/>
    </row>
    <row r="10" spans="1:23">
      <c r="B10" s="85"/>
      <c r="C10" s="28"/>
      <c r="G10" s="53"/>
      <c r="H10" s="28"/>
      <c r="M10" s="53"/>
      <c r="N10" s="28"/>
      <c r="P10" s="53"/>
    </row>
    <row r="11" spans="1:23">
      <c r="A11" s="13" t="s">
        <v>9</v>
      </c>
      <c r="B11" s="24"/>
      <c r="C11" s="24"/>
      <c r="D11" s="11"/>
      <c r="E11" s="11"/>
      <c r="F11" s="11"/>
      <c r="G11" s="48"/>
      <c r="H11" s="24"/>
      <c r="I11" s="11"/>
      <c r="J11" s="11"/>
      <c r="K11" s="11"/>
      <c r="L11" s="11"/>
      <c r="M11" s="48"/>
      <c r="N11" s="24"/>
      <c r="O11" s="11"/>
      <c r="P11" s="48"/>
      <c r="Q11" s="11"/>
      <c r="R11" s="11"/>
      <c r="S11" s="11"/>
      <c r="T11" s="11"/>
      <c r="U11" s="11"/>
      <c r="V11" s="11"/>
    </row>
    <row r="12" spans="1:23">
      <c r="A12" s="13" t="s">
        <v>10</v>
      </c>
      <c r="B12" s="25">
        <f>SUM(C12:P12)</f>
        <v>0</v>
      </c>
      <c r="C12" s="26"/>
      <c r="D12" s="51"/>
      <c r="E12" s="51"/>
      <c r="F12" s="51"/>
      <c r="G12" s="52"/>
      <c r="H12" s="26"/>
      <c r="I12" s="51"/>
      <c r="J12" s="51"/>
      <c r="K12" s="51"/>
      <c r="L12" s="51"/>
      <c r="M12" s="52"/>
      <c r="N12" s="26"/>
      <c r="O12" s="51"/>
      <c r="P12" s="52"/>
      <c r="Q12" s="51"/>
      <c r="R12" s="51"/>
      <c r="S12" s="51"/>
      <c r="T12" s="51"/>
      <c r="U12" s="51"/>
      <c r="V12" s="51"/>
    </row>
    <row r="13" spans="1:23">
      <c r="A13" s="13" t="s">
        <v>11</v>
      </c>
      <c r="B13" s="25">
        <f>SUM(C13:P13)</f>
        <v>0</v>
      </c>
      <c r="C13" s="26"/>
      <c r="D13" s="51"/>
      <c r="E13" s="51"/>
      <c r="F13" s="51"/>
      <c r="G13" s="52"/>
      <c r="H13" s="26"/>
      <c r="I13" s="51"/>
      <c r="J13" s="51"/>
      <c r="K13" s="51"/>
      <c r="L13" s="51"/>
      <c r="M13" s="52"/>
      <c r="N13" s="26"/>
      <c r="O13" s="51"/>
      <c r="P13" s="52"/>
      <c r="Q13" s="51"/>
      <c r="R13" s="51"/>
      <c r="S13" s="51"/>
      <c r="T13" s="51"/>
      <c r="U13" s="51"/>
      <c r="V13" s="51"/>
    </row>
    <row r="14" spans="1:23">
      <c r="A14" s="13" t="s">
        <v>12</v>
      </c>
      <c r="B14" s="25">
        <f>SUM(C14:P14)</f>
        <v>0</v>
      </c>
      <c r="C14" s="26"/>
      <c r="D14" s="51"/>
      <c r="E14" s="51"/>
      <c r="F14" s="51"/>
      <c r="G14" s="52"/>
      <c r="H14" s="26"/>
      <c r="I14" s="51"/>
      <c r="J14" s="51"/>
      <c r="K14" s="51"/>
      <c r="L14" s="51"/>
      <c r="M14" s="52"/>
      <c r="N14" s="26"/>
      <c r="O14" s="51"/>
      <c r="P14" s="52"/>
      <c r="Q14" s="51"/>
      <c r="R14" s="51"/>
      <c r="S14" s="51"/>
      <c r="T14" s="51"/>
      <c r="U14" s="51"/>
      <c r="V14" s="51"/>
    </row>
    <row r="15" spans="1:23">
      <c r="A15" s="13" t="s">
        <v>13</v>
      </c>
      <c r="B15" s="25">
        <f>SUM(C15:P15)</f>
        <v>0</v>
      </c>
      <c r="C15" s="26"/>
      <c r="D15" s="51"/>
      <c r="E15" s="51"/>
      <c r="F15" s="51"/>
      <c r="G15" s="52"/>
      <c r="H15" s="26"/>
      <c r="I15" s="51"/>
      <c r="J15" s="51"/>
      <c r="K15" s="51"/>
      <c r="L15" s="51"/>
      <c r="M15" s="52"/>
      <c r="N15" s="26"/>
      <c r="O15" s="51"/>
      <c r="P15" s="52"/>
      <c r="Q15" s="51"/>
      <c r="R15" s="51"/>
      <c r="S15" s="51"/>
      <c r="T15" s="51"/>
      <c r="U15" s="51"/>
      <c r="V15" s="51"/>
    </row>
    <row r="16" spans="1:23">
      <c r="A16" s="92" t="s">
        <v>14</v>
      </c>
      <c r="B16" s="93">
        <f>SUM(C16:P16)</f>
        <v>0</v>
      </c>
      <c r="C16" s="93">
        <f t="shared" ref="C16:P16" si="0">SUM(C12:C15)</f>
        <v>0</v>
      </c>
      <c r="D16" s="94">
        <f t="shared" si="0"/>
        <v>0</v>
      </c>
      <c r="E16" s="94">
        <f t="shared" si="0"/>
        <v>0</v>
      </c>
      <c r="F16" s="94">
        <f t="shared" si="0"/>
        <v>0</v>
      </c>
      <c r="G16" s="95">
        <f t="shared" si="0"/>
        <v>0</v>
      </c>
      <c r="H16" s="93">
        <f t="shared" si="0"/>
        <v>0</v>
      </c>
      <c r="I16" s="94">
        <f t="shared" si="0"/>
        <v>0</v>
      </c>
      <c r="J16" s="94">
        <f t="shared" si="0"/>
        <v>0</v>
      </c>
      <c r="K16" s="94">
        <f t="shared" si="0"/>
        <v>0</v>
      </c>
      <c r="L16" s="94">
        <f t="shared" si="0"/>
        <v>0</v>
      </c>
      <c r="M16" s="95">
        <f t="shared" si="0"/>
        <v>0</v>
      </c>
      <c r="N16" s="93">
        <f t="shared" si="0"/>
        <v>0</v>
      </c>
      <c r="O16" s="94">
        <f t="shared" si="0"/>
        <v>0</v>
      </c>
      <c r="P16" s="95">
        <f t="shared" si="0"/>
        <v>0</v>
      </c>
      <c r="Q16" s="11"/>
      <c r="R16" s="11"/>
      <c r="S16" s="11"/>
      <c r="T16" s="11"/>
      <c r="U16" s="11"/>
      <c r="V16" s="11"/>
    </row>
    <row r="17" spans="1:22" s="2" customFormat="1">
      <c r="A17" s="13"/>
      <c r="B17" s="24"/>
      <c r="C17" s="24"/>
      <c r="D17" s="11"/>
      <c r="E17" s="11"/>
      <c r="F17" s="11"/>
      <c r="G17" s="48"/>
      <c r="H17" s="24"/>
      <c r="I17" s="11"/>
      <c r="J17" s="11"/>
      <c r="K17" s="11"/>
      <c r="L17" s="11"/>
      <c r="M17" s="48"/>
      <c r="N17" s="24"/>
      <c r="O17" s="11"/>
      <c r="P17" s="48"/>
      <c r="Q17" s="11"/>
      <c r="R17" s="11"/>
      <c r="S17" s="11"/>
      <c r="T17" s="11"/>
      <c r="U17" s="11"/>
      <c r="V17" s="11"/>
    </row>
    <row r="18" spans="1:22" s="2" customFormat="1">
      <c r="A18" s="13" t="s">
        <v>15</v>
      </c>
      <c r="B18" s="24"/>
      <c r="C18" s="24"/>
      <c r="D18" s="11"/>
      <c r="E18" s="11"/>
      <c r="F18" s="11"/>
      <c r="G18" s="48"/>
      <c r="H18" s="24"/>
      <c r="I18" s="11"/>
      <c r="J18" s="11"/>
      <c r="K18" s="11"/>
      <c r="L18" s="11"/>
      <c r="M18" s="48"/>
      <c r="N18" s="24"/>
      <c r="O18" s="11"/>
      <c r="P18" s="48"/>
      <c r="Q18" s="11"/>
      <c r="R18" s="11"/>
      <c r="S18" s="11"/>
      <c r="T18" s="11"/>
      <c r="U18" s="11"/>
      <c r="V18" s="11"/>
    </row>
    <row r="19" spans="1:22" s="2" customFormat="1">
      <c r="A19" s="13" t="s">
        <v>16</v>
      </c>
      <c r="B19" s="25">
        <f t="shared" ref="B19:B38" si="1">SUM(C19:P19)</f>
        <v>1986017.4321633733</v>
      </c>
      <c r="C19" s="26"/>
      <c r="D19" s="51"/>
      <c r="E19" s="51"/>
      <c r="F19" s="51"/>
      <c r="G19" s="52"/>
      <c r="H19" s="26">
        <v>1986017.4321633733</v>
      </c>
      <c r="I19" s="51"/>
      <c r="J19" s="51"/>
      <c r="K19" s="51"/>
      <c r="L19" s="51"/>
      <c r="M19" s="52"/>
      <c r="N19" s="26"/>
      <c r="O19" s="51"/>
      <c r="P19" s="52"/>
      <c r="Q19" s="51"/>
      <c r="R19" s="51"/>
      <c r="S19" s="51"/>
      <c r="T19" s="51"/>
      <c r="U19" s="51"/>
      <c r="V19" s="51"/>
    </row>
    <row r="20" spans="1:22" s="2" customFormat="1">
      <c r="A20" s="13" t="s">
        <v>17</v>
      </c>
      <c r="B20" s="25">
        <f t="shared" si="1"/>
        <v>0</v>
      </c>
      <c r="C20" s="26"/>
      <c r="D20" s="51"/>
      <c r="E20" s="51"/>
      <c r="F20" s="51"/>
      <c r="G20" s="52"/>
      <c r="H20" s="26"/>
      <c r="I20" s="51"/>
      <c r="J20" s="51"/>
      <c r="K20" s="51"/>
      <c r="L20" s="51"/>
      <c r="M20" s="52"/>
      <c r="N20" s="26"/>
      <c r="O20" s="51"/>
      <c r="P20" s="52"/>
      <c r="Q20" s="51"/>
      <c r="R20" s="51"/>
      <c r="S20" s="51"/>
      <c r="T20" s="51"/>
      <c r="U20" s="51"/>
      <c r="V20" s="51"/>
    </row>
    <row r="21" spans="1:22" s="2" customFormat="1">
      <c r="A21" s="13" t="s">
        <v>18</v>
      </c>
      <c r="B21" s="25">
        <f t="shared" si="1"/>
        <v>0</v>
      </c>
      <c r="C21" s="26"/>
      <c r="D21" s="51"/>
      <c r="E21" s="51"/>
      <c r="F21" s="51"/>
      <c r="G21" s="52"/>
      <c r="H21" s="26"/>
      <c r="I21" s="51"/>
      <c r="J21" s="51"/>
      <c r="K21" s="51"/>
      <c r="L21" s="51"/>
      <c r="M21" s="52"/>
      <c r="N21" s="26"/>
      <c r="O21" s="51"/>
      <c r="P21" s="52"/>
      <c r="Q21" s="51"/>
      <c r="R21" s="51"/>
      <c r="S21" s="51"/>
      <c r="T21" s="51"/>
      <c r="U21" s="51"/>
      <c r="V21" s="51"/>
    </row>
    <row r="22" spans="1:22" s="2" customFormat="1">
      <c r="A22" s="13" t="s">
        <v>19</v>
      </c>
      <c r="B22" s="25">
        <f t="shared" si="1"/>
        <v>0</v>
      </c>
      <c r="C22" s="26"/>
      <c r="D22" s="51"/>
      <c r="E22" s="51"/>
      <c r="F22" s="51"/>
      <c r="G22" s="52"/>
      <c r="H22" s="26"/>
      <c r="I22" s="51"/>
      <c r="J22" s="51"/>
      <c r="K22" s="51"/>
      <c r="L22" s="51"/>
      <c r="M22" s="52"/>
      <c r="N22" s="26"/>
      <c r="O22" s="51"/>
      <c r="P22" s="52"/>
      <c r="Q22" s="51"/>
      <c r="R22" s="51"/>
      <c r="S22" s="51"/>
      <c r="T22" s="51"/>
      <c r="U22" s="51"/>
      <c r="V22" s="51"/>
    </row>
    <row r="23" spans="1:22" s="2" customFormat="1">
      <c r="A23" s="13" t="s">
        <v>20</v>
      </c>
      <c r="B23" s="25">
        <f t="shared" si="1"/>
        <v>0</v>
      </c>
      <c r="C23" s="26"/>
      <c r="D23" s="51"/>
      <c r="E23" s="51"/>
      <c r="F23" s="51"/>
      <c r="G23" s="52"/>
      <c r="H23" s="26"/>
      <c r="I23" s="51"/>
      <c r="J23" s="51"/>
      <c r="K23" s="51"/>
      <c r="L23" s="51"/>
      <c r="M23" s="52"/>
      <c r="N23" s="26"/>
      <c r="O23" s="51"/>
      <c r="P23" s="52"/>
      <c r="Q23" s="51"/>
      <c r="R23" s="51"/>
      <c r="S23" s="51"/>
      <c r="T23" s="51"/>
      <c r="U23" s="51"/>
      <c r="V23" s="51"/>
    </row>
    <row r="24" spans="1:22" s="2" customFormat="1">
      <c r="A24" s="13" t="s">
        <v>21</v>
      </c>
      <c r="B24" s="25">
        <f t="shared" si="1"/>
        <v>0</v>
      </c>
      <c r="C24" s="26"/>
      <c r="D24" s="51"/>
      <c r="E24" s="51"/>
      <c r="F24" s="51"/>
      <c r="G24" s="52"/>
      <c r="H24" s="26"/>
      <c r="I24" s="51"/>
      <c r="J24" s="51"/>
      <c r="K24" s="51"/>
      <c r="L24" s="51"/>
      <c r="M24" s="52"/>
      <c r="N24" s="26"/>
      <c r="O24" s="51"/>
      <c r="P24" s="52"/>
      <c r="Q24" s="51"/>
      <c r="R24" s="51"/>
      <c r="S24" s="51"/>
      <c r="T24" s="51"/>
      <c r="U24" s="51"/>
      <c r="V24" s="51"/>
    </row>
    <row r="25" spans="1:22" s="2" customFormat="1">
      <c r="A25" s="13" t="s">
        <v>22</v>
      </c>
      <c r="B25" s="25">
        <f t="shared" si="1"/>
        <v>0</v>
      </c>
      <c r="C25" s="26"/>
      <c r="D25" s="51"/>
      <c r="E25" s="51"/>
      <c r="F25" s="51"/>
      <c r="G25" s="52"/>
      <c r="H25" s="26"/>
      <c r="I25" s="51"/>
      <c r="J25" s="51"/>
      <c r="K25" s="51"/>
      <c r="L25" s="51"/>
      <c r="M25" s="52"/>
      <c r="N25" s="26"/>
      <c r="O25" s="51"/>
      <c r="P25" s="52"/>
      <c r="Q25" s="51"/>
      <c r="R25" s="51"/>
      <c r="S25" s="51"/>
      <c r="T25" s="51"/>
      <c r="U25" s="51"/>
      <c r="V25" s="51"/>
    </row>
    <row r="26" spans="1:22" s="2" customFormat="1">
      <c r="A26" s="13" t="s">
        <v>23</v>
      </c>
      <c r="B26" s="25">
        <f t="shared" si="1"/>
        <v>0</v>
      </c>
      <c r="C26" s="26"/>
      <c r="D26" s="51"/>
      <c r="E26" s="51"/>
      <c r="F26" s="51"/>
      <c r="G26" s="52"/>
      <c r="H26" s="26"/>
      <c r="I26" s="51"/>
      <c r="J26" s="51"/>
      <c r="K26" s="51"/>
      <c r="L26" s="51"/>
      <c r="M26" s="52"/>
      <c r="N26" s="26"/>
      <c r="O26" s="51"/>
      <c r="P26" s="52"/>
      <c r="Q26" s="51"/>
      <c r="R26" s="51"/>
      <c r="S26" s="51"/>
      <c r="T26" s="51"/>
      <c r="U26" s="51"/>
      <c r="V26" s="51"/>
    </row>
    <row r="27" spans="1:22" s="2" customFormat="1">
      <c r="A27" s="13" t="s">
        <v>24</v>
      </c>
      <c r="B27" s="25">
        <f t="shared" si="1"/>
        <v>0</v>
      </c>
      <c r="C27" s="26"/>
      <c r="D27" s="51"/>
      <c r="E27" s="51"/>
      <c r="F27" s="51"/>
      <c r="G27" s="52"/>
      <c r="H27" s="26"/>
      <c r="I27" s="51"/>
      <c r="J27" s="51"/>
      <c r="K27" s="51"/>
      <c r="L27" s="51"/>
      <c r="M27" s="52"/>
      <c r="N27" s="26"/>
      <c r="O27" s="51"/>
      <c r="P27" s="52"/>
      <c r="Q27" s="51"/>
      <c r="R27" s="51"/>
      <c r="S27" s="51"/>
      <c r="T27" s="51"/>
      <c r="U27" s="51"/>
      <c r="V27" s="51"/>
    </row>
    <row r="28" spans="1:22" s="2" customFormat="1">
      <c r="A28" s="13" t="s">
        <v>25</v>
      </c>
      <c r="B28" s="25">
        <f t="shared" si="1"/>
        <v>0</v>
      </c>
      <c r="C28" s="27"/>
      <c r="D28" s="54"/>
      <c r="E28" s="54"/>
      <c r="F28" s="54"/>
      <c r="G28" s="56"/>
      <c r="H28" s="27"/>
      <c r="I28" s="54"/>
      <c r="J28" s="54"/>
      <c r="K28" s="54"/>
      <c r="L28" s="54"/>
      <c r="M28" s="56"/>
      <c r="N28" s="27"/>
      <c r="O28" s="54"/>
      <c r="P28" s="56"/>
      <c r="Q28" s="51"/>
      <c r="R28" s="51"/>
      <c r="S28" s="51"/>
      <c r="T28" s="51"/>
      <c r="U28" s="51"/>
      <c r="V28" s="51"/>
    </row>
    <row r="29" spans="1:22" s="2" customFormat="1">
      <c r="A29" s="92" t="s">
        <v>26</v>
      </c>
      <c r="B29" s="97">
        <f t="shared" si="1"/>
        <v>1986017.4321633733</v>
      </c>
      <c r="C29" s="98">
        <f t="shared" ref="C29:P29" si="2">SUM(C19:C28)</f>
        <v>0</v>
      </c>
      <c r="D29" s="96">
        <f t="shared" si="2"/>
        <v>0</v>
      </c>
      <c r="E29" s="96">
        <f t="shared" si="2"/>
        <v>0</v>
      </c>
      <c r="F29" s="96">
        <f t="shared" si="2"/>
        <v>0</v>
      </c>
      <c r="G29" s="99">
        <f t="shared" si="2"/>
        <v>0</v>
      </c>
      <c r="H29" s="98">
        <f t="shared" si="2"/>
        <v>1986017.4321633733</v>
      </c>
      <c r="I29" s="96">
        <f t="shared" si="2"/>
        <v>0</v>
      </c>
      <c r="J29" s="96">
        <f t="shared" si="2"/>
        <v>0</v>
      </c>
      <c r="K29" s="96">
        <f t="shared" si="2"/>
        <v>0</v>
      </c>
      <c r="L29" s="96">
        <f t="shared" si="2"/>
        <v>0</v>
      </c>
      <c r="M29" s="99">
        <f t="shared" si="2"/>
        <v>0</v>
      </c>
      <c r="N29" s="98">
        <f t="shared" si="2"/>
        <v>0</v>
      </c>
      <c r="O29" s="96">
        <f t="shared" si="2"/>
        <v>0</v>
      </c>
      <c r="P29" s="99">
        <f t="shared" si="2"/>
        <v>0</v>
      </c>
      <c r="Q29" s="11"/>
      <c r="R29" s="11"/>
      <c r="S29" s="11"/>
      <c r="T29" s="11"/>
      <c r="U29" s="11"/>
      <c r="V29" s="11"/>
    </row>
    <row r="30" spans="1:22" s="2" customFormat="1">
      <c r="A30" s="13" t="s">
        <v>27</v>
      </c>
      <c r="B30" s="25">
        <f t="shared" si="1"/>
        <v>0</v>
      </c>
      <c r="C30" s="26"/>
      <c r="D30" s="51"/>
      <c r="E30" s="51"/>
      <c r="F30" s="51"/>
      <c r="G30" s="52"/>
      <c r="H30" s="26"/>
      <c r="I30" s="51"/>
      <c r="J30" s="51"/>
      <c r="K30" s="51"/>
      <c r="L30" s="51"/>
      <c r="M30" s="52"/>
      <c r="N30" s="26"/>
      <c r="O30" s="51"/>
      <c r="P30" s="52"/>
      <c r="Q30" s="51"/>
      <c r="R30" s="51"/>
      <c r="S30" s="51"/>
      <c r="T30" s="51"/>
      <c r="U30" s="51"/>
      <c r="V30" s="51"/>
    </row>
    <row r="31" spans="1:22" s="2" customFormat="1">
      <c r="A31" s="13" t="s">
        <v>28</v>
      </c>
      <c r="B31" s="25">
        <f t="shared" si="1"/>
        <v>3700582.6343244445</v>
      </c>
      <c r="C31" s="26"/>
      <c r="D31" s="51"/>
      <c r="E31" s="51"/>
      <c r="F31" s="51"/>
      <c r="G31" s="52"/>
      <c r="H31" s="26">
        <v>3700582.6343244445</v>
      </c>
      <c r="I31" s="51"/>
      <c r="J31" s="51"/>
      <c r="K31" s="51"/>
      <c r="L31" s="51"/>
      <c r="M31" s="52"/>
      <c r="N31" s="26"/>
      <c r="O31" s="51"/>
      <c r="P31" s="52"/>
      <c r="Q31" s="51"/>
      <c r="R31" s="51"/>
      <c r="S31" s="51"/>
      <c r="T31" s="51"/>
      <c r="U31" s="51"/>
      <c r="V31" s="51"/>
    </row>
    <row r="32" spans="1:22" s="2" customFormat="1">
      <c r="A32" s="13" t="s">
        <v>29</v>
      </c>
      <c r="B32" s="25">
        <f t="shared" si="1"/>
        <v>0</v>
      </c>
      <c r="C32" s="26"/>
      <c r="D32" s="51"/>
      <c r="E32" s="51"/>
      <c r="F32" s="51"/>
      <c r="G32" s="52"/>
      <c r="H32" s="26"/>
      <c r="I32" s="51"/>
      <c r="J32" s="51"/>
      <c r="K32" s="51"/>
      <c r="L32" s="51"/>
      <c r="M32" s="52"/>
      <c r="N32" s="26"/>
      <c r="O32" s="51"/>
      <c r="P32" s="52"/>
      <c r="Q32" s="51"/>
      <c r="R32" s="51"/>
      <c r="S32" s="51"/>
      <c r="T32" s="51"/>
      <c r="U32" s="51"/>
      <c r="V32" s="51"/>
    </row>
    <row r="33" spans="1:22" s="2" customFormat="1">
      <c r="A33" s="92" t="s">
        <v>30</v>
      </c>
      <c r="B33" s="100">
        <f t="shared" si="1"/>
        <v>138916.05636393127</v>
      </c>
      <c r="C33" s="101">
        <f t="shared" ref="C33:P33" si="3">C87</f>
        <v>0</v>
      </c>
      <c r="D33" s="102">
        <f t="shared" si="3"/>
        <v>0</v>
      </c>
      <c r="E33" s="102">
        <f t="shared" si="3"/>
        <v>0</v>
      </c>
      <c r="F33" s="102">
        <f t="shared" si="3"/>
        <v>0</v>
      </c>
      <c r="G33" s="103">
        <f t="shared" si="3"/>
        <v>0</v>
      </c>
      <c r="H33" s="101">
        <f t="shared" si="3"/>
        <v>-4.9131069174036382E-2</v>
      </c>
      <c r="I33" s="102">
        <f t="shared" si="3"/>
        <v>0</v>
      </c>
      <c r="J33" s="102">
        <f t="shared" si="3"/>
        <v>0</v>
      </c>
      <c r="K33" s="102">
        <f t="shared" si="3"/>
        <v>0</v>
      </c>
      <c r="L33" s="102">
        <f t="shared" si="3"/>
        <v>0</v>
      </c>
      <c r="M33" s="103">
        <f t="shared" si="3"/>
        <v>0</v>
      </c>
      <c r="N33" s="101">
        <f t="shared" si="3"/>
        <v>0</v>
      </c>
      <c r="O33" s="102">
        <f t="shared" si="3"/>
        <v>138916.10549500046</v>
      </c>
      <c r="P33" s="103">
        <f t="shared" si="3"/>
        <v>0</v>
      </c>
      <c r="Q33" s="51"/>
      <c r="R33" s="51"/>
      <c r="S33" s="51"/>
      <c r="T33" s="51"/>
      <c r="U33" s="51"/>
      <c r="V33" s="51"/>
    </row>
    <row r="34" spans="1:22" s="2" customFormat="1">
      <c r="A34" s="13" t="s">
        <v>31</v>
      </c>
      <c r="B34" s="25">
        <f t="shared" si="1"/>
        <v>0</v>
      </c>
      <c r="C34" s="25"/>
      <c r="D34" s="49"/>
      <c r="E34" s="49"/>
      <c r="F34" s="49"/>
      <c r="G34" s="50"/>
      <c r="H34" s="25">
        <v>0</v>
      </c>
      <c r="I34" s="49">
        <v>0</v>
      </c>
      <c r="J34" s="49">
        <v>0</v>
      </c>
      <c r="K34" s="49">
        <v>0</v>
      </c>
      <c r="L34" s="49">
        <v>0</v>
      </c>
      <c r="M34" s="50">
        <v>0</v>
      </c>
      <c r="N34" s="25">
        <v>0</v>
      </c>
      <c r="O34" s="49">
        <v>0</v>
      </c>
      <c r="P34" s="50">
        <v>0</v>
      </c>
      <c r="Q34" s="49"/>
      <c r="R34" s="49"/>
      <c r="S34" s="49"/>
      <c r="T34" s="49"/>
      <c r="U34" s="49"/>
      <c r="V34" s="49"/>
    </row>
    <row r="35" spans="1:22" s="2" customFormat="1">
      <c r="A35" s="13" t="s">
        <v>32</v>
      </c>
      <c r="B35" s="25">
        <f t="shared" si="1"/>
        <v>-1194185.5849613487</v>
      </c>
      <c r="C35" s="26"/>
      <c r="D35" s="51"/>
      <c r="E35" s="51"/>
      <c r="F35" s="51"/>
      <c r="G35" s="52"/>
      <c r="H35" s="26">
        <v>-1398141.1113269059</v>
      </c>
      <c r="I35" s="51"/>
      <c r="J35" s="51"/>
      <c r="K35" s="51"/>
      <c r="L35" s="51"/>
      <c r="M35" s="52"/>
      <c r="N35" s="26"/>
      <c r="O35" s="51"/>
      <c r="P35" s="52">
        <f>-SUM(C35:O35)*Variables!$F$41</f>
        <v>203955.5263655571</v>
      </c>
      <c r="Q35" s="51"/>
      <c r="R35" s="51"/>
      <c r="S35" s="51"/>
      <c r="T35" s="51"/>
      <c r="U35" s="51"/>
      <c r="V35" s="51"/>
    </row>
    <row r="36" spans="1:22" s="2" customFormat="1">
      <c r="A36" s="13" t="s">
        <v>33</v>
      </c>
      <c r="B36" s="25">
        <f t="shared" si="1"/>
        <v>0</v>
      </c>
      <c r="C36" s="26"/>
      <c r="D36" s="51"/>
      <c r="E36" s="51"/>
      <c r="F36" s="51"/>
      <c r="G36" s="52"/>
      <c r="H36" s="26"/>
      <c r="I36" s="51"/>
      <c r="J36" s="51"/>
      <c r="K36" s="51"/>
      <c r="L36" s="51"/>
      <c r="M36" s="52"/>
      <c r="N36" s="26"/>
      <c r="O36" s="51"/>
      <c r="P36" s="52"/>
      <c r="Q36" s="51"/>
      <c r="R36" s="51"/>
      <c r="S36" s="51"/>
      <c r="T36" s="51"/>
      <c r="U36" s="51"/>
      <c r="V36" s="51"/>
    </row>
    <row r="37" spans="1:22" s="2" customFormat="1">
      <c r="A37" s="13" t="s">
        <v>34</v>
      </c>
      <c r="B37" s="25">
        <f t="shared" si="1"/>
        <v>0</v>
      </c>
      <c r="C37" s="26"/>
      <c r="D37" s="51"/>
      <c r="E37" s="51"/>
      <c r="F37" s="51"/>
      <c r="G37" s="52"/>
      <c r="H37" s="26"/>
      <c r="I37" s="51"/>
      <c r="J37" s="51"/>
      <c r="K37" s="51"/>
      <c r="L37" s="51"/>
      <c r="M37" s="52"/>
      <c r="N37" s="26"/>
      <c r="O37" s="51"/>
      <c r="P37" s="52"/>
      <c r="Q37" s="51"/>
      <c r="R37" s="51"/>
      <c r="S37" s="51"/>
      <c r="T37" s="51"/>
      <c r="U37" s="51"/>
      <c r="V37" s="51"/>
    </row>
    <row r="38" spans="1:22" s="2" customFormat="1">
      <c r="A38" s="92" t="s">
        <v>35</v>
      </c>
      <c r="B38" s="93">
        <f t="shared" si="1"/>
        <v>4631330.5378903998</v>
      </c>
      <c r="C38" s="93">
        <f t="shared" ref="C38:P38" si="4">SUM(C29:C37)</f>
        <v>0</v>
      </c>
      <c r="D38" s="94">
        <f t="shared" si="4"/>
        <v>0</v>
      </c>
      <c r="E38" s="94">
        <f t="shared" si="4"/>
        <v>0</v>
      </c>
      <c r="F38" s="94">
        <f t="shared" si="4"/>
        <v>0</v>
      </c>
      <c r="G38" s="95">
        <f t="shared" si="4"/>
        <v>0</v>
      </c>
      <c r="H38" s="93">
        <f t="shared" si="4"/>
        <v>4288458.9060298428</v>
      </c>
      <c r="I38" s="94">
        <f t="shared" si="4"/>
        <v>0</v>
      </c>
      <c r="J38" s="94">
        <f t="shared" si="4"/>
        <v>0</v>
      </c>
      <c r="K38" s="94">
        <f t="shared" si="4"/>
        <v>0</v>
      </c>
      <c r="L38" s="94">
        <f t="shared" si="4"/>
        <v>0</v>
      </c>
      <c r="M38" s="95">
        <f t="shared" si="4"/>
        <v>0</v>
      </c>
      <c r="N38" s="93">
        <f t="shared" si="4"/>
        <v>0</v>
      </c>
      <c r="O38" s="94">
        <f t="shared" si="4"/>
        <v>138916.10549500046</v>
      </c>
      <c r="P38" s="95">
        <f t="shared" si="4"/>
        <v>203955.5263655571</v>
      </c>
      <c r="Q38" s="11"/>
      <c r="R38" s="11"/>
      <c r="S38" s="11"/>
      <c r="T38" s="11"/>
      <c r="U38" s="11"/>
      <c r="V38" s="11"/>
    </row>
    <row r="39" spans="1:22" s="2" customFormat="1">
      <c r="A39" s="13"/>
      <c r="B39" s="24">
        <f>SUM(C39:C39)</f>
        <v>0</v>
      </c>
      <c r="C39" s="24"/>
      <c r="D39" s="11"/>
      <c r="E39" s="11"/>
      <c r="F39" s="11"/>
      <c r="G39" s="48"/>
      <c r="H39" s="24"/>
      <c r="I39" s="11"/>
      <c r="J39" s="11"/>
      <c r="K39" s="11"/>
      <c r="L39" s="11"/>
      <c r="M39" s="48"/>
      <c r="N39" s="24"/>
      <c r="O39" s="11"/>
      <c r="P39" s="48"/>
      <c r="Q39" s="11"/>
      <c r="R39" s="11"/>
      <c r="S39" s="11"/>
      <c r="T39" s="11"/>
      <c r="U39" s="11"/>
      <c r="V39" s="11"/>
    </row>
    <row r="40" spans="1:22" s="2" customFormat="1" ht="13.5" thickBot="1">
      <c r="A40" s="92" t="s">
        <v>36</v>
      </c>
      <c r="B40" s="104">
        <f>SUM(C40:P40)</f>
        <v>-4631330.5378903998</v>
      </c>
      <c r="C40" s="104">
        <f t="shared" ref="C40:P40" si="5">C16-C38</f>
        <v>0</v>
      </c>
      <c r="D40" s="105">
        <f t="shared" si="5"/>
        <v>0</v>
      </c>
      <c r="E40" s="105">
        <f t="shared" si="5"/>
        <v>0</v>
      </c>
      <c r="F40" s="105">
        <f t="shared" si="5"/>
        <v>0</v>
      </c>
      <c r="G40" s="106">
        <f t="shared" si="5"/>
        <v>0</v>
      </c>
      <c r="H40" s="104">
        <f t="shared" si="5"/>
        <v>-4288458.9060298428</v>
      </c>
      <c r="I40" s="105">
        <f t="shared" si="5"/>
        <v>0</v>
      </c>
      <c r="J40" s="105">
        <f t="shared" si="5"/>
        <v>0</v>
      </c>
      <c r="K40" s="105">
        <f t="shared" si="5"/>
        <v>0</v>
      </c>
      <c r="L40" s="105">
        <f t="shared" si="5"/>
        <v>0</v>
      </c>
      <c r="M40" s="106">
        <f t="shared" si="5"/>
        <v>0</v>
      </c>
      <c r="N40" s="104">
        <f t="shared" si="5"/>
        <v>0</v>
      </c>
      <c r="O40" s="105">
        <f t="shared" si="5"/>
        <v>-138916.10549500046</v>
      </c>
      <c r="P40" s="106">
        <f t="shared" si="5"/>
        <v>-203955.5263655571</v>
      </c>
      <c r="Q40" s="222"/>
      <c r="R40" s="222"/>
      <c r="S40" s="222"/>
      <c r="T40" s="222"/>
      <c r="U40" s="222"/>
      <c r="V40" s="222"/>
    </row>
    <row r="41" spans="1:22" s="2" customFormat="1" ht="13.5" thickTop="1">
      <c r="A41" s="13"/>
      <c r="B41" s="24"/>
      <c r="C41" s="24"/>
      <c r="D41" s="11"/>
      <c r="E41" s="11"/>
      <c r="F41" s="11"/>
      <c r="G41" s="48"/>
      <c r="H41" s="24"/>
      <c r="I41" s="11"/>
      <c r="J41" s="11"/>
      <c r="K41" s="11"/>
      <c r="L41" s="11"/>
      <c r="M41" s="48"/>
      <c r="N41" s="24"/>
      <c r="O41" s="11"/>
      <c r="P41" s="48"/>
      <c r="Q41" s="11"/>
      <c r="R41" s="11"/>
      <c r="S41" s="11"/>
      <c r="T41" s="11"/>
      <c r="U41" s="11"/>
      <c r="V41" s="11"/>
    </row>
    <row r="42" spans="1:22" s="2" customFormat="1">
      <c r="A42" s="13" t="s">
        <v>37</v>
      </c>
      <c r="B42" s="24"/>
      <c r="C42" s="24"/>
      <c r="D42" s="11"/>
      <c r="E42" s="11"/>
      <c r="F42" s="11"/>
      <c r="G42" s="48"/>
      <c r="H42" s="24"/>
      <c r="I42" s="11"/>
      <c r="J42" s="11"/>
      <c r="K42" s="11"/>
      <c r="L42" s="11"/>
      <c r="M42" s="48"/>
      <c r="N42" s="24"/>
      <c r="O42" s="11"/>
      <c r="P42" s="48"/>
      <c r="Q42" s="11"/>
      <c r="R42" s="11"/>
      <c r="S42" s="11"/>
      <c r="T42" s="11"/>
      <c r="U42" s="11"/>
      <c r="V42" s="11"/>
    </row>
    <row r="43" spans="1:22" s="2" customFormat="1">
      <c r="A43" s="13" t="s">
        <v>38</v>
      </c>
      <c r="B43" s="25">
        <f t="shared" ref="B43:B54" si="6">SUM(C43:P43)</f>
        <v>0</v>
      </c>
      <c r="C43" s="26"/>
      <c r="D43" s="51"/>
      <c r="E43" s="51"/>
      <c r="F43" s="51"/>
      <c r="G43" s="52"/>
      <c r="H43" s="26"/>
      <c r="I43" s="51"/>
      <c r="J43" s="51"/>
      <c r="K43" s="51"/>
      <c r="L43" s="51"/>
      <c r="M43" s="52"/>
      <c r="N43" s="26"/>
      <c r="O43" s="51"/>
      <c r="P43" s="52"/>
      <c r="Q43" s="51"/>
      <c r="R43" s="51"/>
      <c r="S43" s="51"/>
      <c r="T43" s="51"/>
      <c r="U43" s="51"/>
      <c r="V43" s="51"/>
    </row>
    <row r="44" spans="1:22" s="2" customFormat="1">
      <c r="A44" s="13" t="s">
        <v>39</v>
      </c>
      <c r="B44" s="25">
        <f t="shared" si="6"/>
        <v>0</v>
      </c>
      <c r="C44" s="26"/>
      <c r="D44" s="51"/>
      <c r="E44" s="51"/>
      <c r="F44" s="51"/>
      <c r="G44" s="52"/>
      <c r="H44" s="26"/>
      <c r="I44" s="51"/>
      <c r="J44" s="51"/>
      <c r="K44" s="51"/>
      <c r="L44" s="51"/>
      <c r="M44" s="52"/>
      <c r="N44" s="26"/>
      <c r="O44" s="51"/>
      <c r="P44" s="52"/>
      <c r="Q44" s="51"/>
      <c r="R44" s="51"/>
      <c r="S44" s="51"/>
      <c r="T44" s="51"/>
      <c r="U44" s="51"/>
      <c r="V44" s="51"/>
    </row>
    <row r="45" spans="1:22" s="2" customFormat="1">
      <c r="A45" s="13" t="s">
        <v>40</v>
      </c>
      <c r="B45" s="25">
        <f t="shared" si="6"/>
        <v>0</v>
      </c>
      <c r="C45" s="26"/>
      <c r="D45" s="51"/>
      <c r="E45" s="51"/>
      <c r="F45" s="51"/>
      <c r="G45" s="52"/>
      <c r="H45" s="26"/>
      <c r="I45" s="51"/>
      <c r="J45" s="51"/>
      <c r="K45" s="51"/>
      <c r="L45" s="51">
        <v>0</v>
      </c>
      <c r="M45" s="52"/>
      <c r="N45" s="26"/>
      <c r="O45" s="51"/>
      <c r="P45" s="52"/>
      <c r="Q45" s="51"/>
      <c r="R45" s="51"/>
      <c r="S45" s="51"/>
      <c r="T45" s="51"/>
      <c r="U45" s="51"/>
      <c r="V45" s="51"/>
    </row>
    <row r="46" spans="1:22" s="2" customFormat="1">
      <c r="A46" s="13" t="s">
        <v>41</v>
      </c>
      <c r="B46" s="25">
        <f t="shared" si="6"/>
        <v>0</v>
      </c>
      <c r="C46" s="26"/>
      <c r="D46" s="51"/>
      <c r="E46" s="51"/>
      <c r="F46" s="51"/>
      <c r="G46" s="52"/>
      <c r="H46" s="26"/>
      <c r="I46" s="51"/>
      <c r="J46" s="51"/>
      <c r="K46" s="51"/>
      <c r="L46" s="51"/>
      <c r="M46" s="52"/>
      <c r="N46" s="26"/>
      <c r="O46" s="51"/>
      <c r="P46" s="52"/>
      <c r="Q46" s="51"/>
      <c r="R46" s="51"/>
      <c r="S46" s="51"/>
      <c r="T46" s="51"/>
      <c r="U46" s="51"/>
      <c r="V46" s="51"/>
    </row>
    <row r="47" spans="1:22" s="2" customFormat="1">
      <c r="A47" s="13" t="s">
        <v>42</v>
      </c>
      <c r="B47" s="25">
        <f t="shared" si="6"/>
        <v>0</v>
      </c>
      <c r="C47" s="26"/>
      <c r="D47" s="51"/>
      <c r="E47" s="51"/>
      <c r="F47" s="51"/>
      <c r="G47" s="52"/>
      <c r="H47" s="26"/>
      <c r="I47" s="51"/>
      <c r="J47" s="51"/>
      <c r="K47" s="51"/>
      <c r="L47" s="51"/>
      <c r="M47" s="52"/>
      <c r="N47" s="26"/>
      <c r="O47" s="51"/>
      <c r="P47" s="52"/>
      <c r="Q47" s="51"/>
      <c r="R47" s="51"/>
      <c r="S47" s="51"/>
      <c r="T47" s="51"/>
      <c r="U47" s="51"/>
      <c r="V47" s="51"/>
    </row>
    <row r="48" spans="1:22" s="2" customFormat="1">
      <c r="A48" s="13" t="s">
        <v>43</v>
      </c>
      <c r="B48" s="25">
        <f t="shared" si="6"/>
        <v>0</v>
      </c>
      <c r="C48" s="26"/>
      <c r="D48" s="51"/>
      <c r="E48" s="51"/>
      <c r="F48" s="51"/>
      <c r="G48" s="52"/>
      <c r="H48" s="26"/>
      <c r="I48" s="51"/>
      <c r="J48" s="51"/>
      <c r="K48" s="51"/>
      <c r="L48" s="51"/>
      <c r="M48" s="52"/>
      <c r="N48" s="26"/>
      <c r="O48" s="51"/>
      <c r="P48" s="52"/>
      <c r="Q48" s="51"/>
      <c r="R48" s="51"/>
      <c r="S48" s="51"/>
      <c r="T48" s="51"/>
      <c r="U48" s="51"/>
      <c r="V48" s="51"/>
    </row>
    <row r="49" spans="1:22" s="2" customFormat="1">
      <c r="A49" s="13" t="s">
        <v>44</v>
      </c>
      <c r="B49" s="25">
        <f t="shared" si="6"/>
        <v>0</v>
      </c>
      <c r="C49" s="26"/>
      <c r="D49" s="51"/>
      <c r="E49" s="51"/>
      <c r="F49" s="51"/>
      <c r="G49" s="52"/>
      <c r="H49" s="26"/>
      <c r="I49" s="51"/>
      <c r="J49" s="51"/>
      <c r="K49" s="51"/>
      <c r="L49" s="51"/>
      <c r="M49" s="52"/>
      <c r="N49" s="26"/>
      <c r="O49" s="51"/>
      <c r="P49" s="52"/>
      <c r="Q49" s="51"/>
      <c r="R49" s="51"/>
      <c r="S49" s="51"/>
      <c r="T49" s="51"/>
      <c r="U49" s="51"/>
      <c r="V49" s="51"/>
    </row>
    <row r="50" spans="1:22" s="2" customFormat="1">
      <c r="A50" s="13" t="s">
        <v>45</v>
      </c>
      <c r="B50" s="25">
        <f t="shared" si="6"/>
        <v>0</v>
      </c>
      <c r="C50" s="26"/>
      <c r="D50" s="51"/>
      <c r="E50" s="51"/>
      <c r="F50" s="51"/>
      <c r="G50" s="52"/>
      <c r="H50" s="26"/>
      <c r="I50" s="51"/>
      <c r="J50" s="51"/>
      <c r="K50" s="51"/>
      <c r="L50" s="51"/>
      <c r="M50" s="52"/>
      <c r="N50" s="26"/>
      <c r="O50" s="51"/>
      <c r="P50" s="52"/>
      <c r="Q50" s="51"/>
      <c r="R50" s="51"/>
      <c r="S50" s="51"/>
      <c r="T50" s="51"/>
      <c r="U50" s="51"/>
      <c r="V50" s="51"/>
    </row>
    <row r="51" spans="1:22" s="2" customFormat="1">
      <c r="A51" s="13" t="s">
        <v>46</v>
      </c>
      <c r="B51" s="25">
        <f t="shared" si="6"/>
        <v>0</v>
      </c>
      <c r="C51" s="26"/>
      <c r="D51" s="51"/>
      <c r="E51" s="51"/>
      <c r="F51" s="51"/>
      <c r="G51" s="52"/>
      <c r="H51" s="26"/>
      <c r="I51" s="51"/>
      <c r="J51" s="51"/>
      <c r="K51" s="51"/>
      <c r="L51" s="51"/>
      <c r="M51" s="52"/>
      <c r="N51" s="26"/>
      <c r="O51" s="51"/>
      <c r="P51" s="52"/>
      <c r="Q51" s="51"/>
      <c r="R51" s="51"/>
      <c r="S51" s="51"/>
      <c r="T51" s="51"/>
      <c r="U51" s="51"/>
      <c r="V51" s="51"/>
    </row>
    <row r="52" spans="1:22" s="2" customFormat="1">
      <c r="A52" s="13" t="s">
        <v>47</v>
      </c>
      <c r="B52" s="25">
        <f t="shared" si="6"/>
        <v>0</v>
      </c>
      <c r="C52" s="26"/>
      <c r="D52" s="51"/>
      <c r="E52" s="51"/>
      <c r="F52" s="51"/>
      <c r="G52" s="52"/>
      <c r="H52" s="26"/>
      <c r="I52" s="51"/>
      <c r="J52" s="51"/>
      <c r="K52" s="51"/>
      <c r="L52" s="51"/>
      <c r="M52" s="52"/>
      <c r="N52" s="26"/>
      <c r="O52" s="51"/>
      <c r="P52" s="52"/>
      <c r="Q52" s="51"/>
      <c r="R52" s="51"/>
      <c r="S52" s="51"/>
      <c r="T52" s="51"/>
      <c r="U52" s="51"/>
      <c r="V52" s="51"/>
    </row>
    <row r="53" spans="1:22" s="2" customFormat="1">
      <c r="A53" s="13" t="s">
        <v>48</v>
      </c>
      <c r="B53" s="25">
        <f t="shared" si="6"/>
        <v>0</v>
      </c>
      <c r="C53" s="26"/>
      <c r="D53" s="51"/>
      <c r="E53" s="51"/>
      <c r="F53" s="51"/>
      <c r="G53" s="52"/>
      <c r="H53" s="26"/>
      <c r="I53" s="51"/>
      <c r="J53" s="51"/>
      <c r="K53" s="51"/>
      <c r="L53" s="51"/>
      <c r="M53" s="52"/>
      <c r="N53" s="26"/>
      <c r="O53" s="51"/>
      <c r="P53" s="52"/>
      <c r="Q53" s="51"/>
      <c r="R53" s="51"/>
      <c r="S53" s="51"/>
      <c r="T53" s="51"/>
      <c r="U53" s="51"/>
      <c r="V53" s="51"/>
    </row>
    <row r="54" spans="1:22" s="2" customFormat="1">
      <c r="A54" s="92" t="s">
        <v>49</v>
      </c>
      <c r="B54" s="107">
        <f t="shared" si="6"/>
        <v>0</v>
      </c>
      <c r="C54" s="107">
        <f t="shared" ref="C54:P54" si="7">SUM(C43:C53)</f>
        <v>0</v>
      </c>
      <c r="D54" s="108">
        <f t="shared" si="7"/>
        <v>0</v>
      </c>
      <c r="E54" s="108">
        <f t="shared" si="7"/>
        <v>0</v>
      </c>
      <c r="F54" s="108">
        <f t="shared" si="7"/>
        <v>0</v>
      </c>
      <c r="G54" s="109">
        <f t="shared" si="7"/>
        <v>0</v>
      </c>
      <c r="H54" s="107">
        <f t="shared" si="7"/>
        <v>0</v>
      </c>
      <c r="I54" s="108">
        <f t="shared" si="7"/>
        <v>0</v>
      </c>
      <c r="J54" s="108">
        <f t="shared" si="7"/>
        <v>0</v>
      </c>
      <c r="K54" s="108">
        <f t="shared" si="7"/>
        <v>0</v>
      </c>
      <c r="L54" s="108">
        <f t="shared" si="7"/>
        <v>0</v>
      </c>
      <c r="M54" s="109">
        <f t="shared" si="7"/>
        <v>0</v>
      </c>
      <c r="N54" s="107">
        <f t="shared" si="7"/>
        <v>0</v>
      </c>
      <c r="O54" s="108">
        <f t="shared" si="7"/>
        <v>0</v>
      </c>
      <c r="P54" s="109">
        <f t="shared" si="7"/>
        <v>0</v>
      </c>
      <c r="Q54" s="49"/>
      <c r="R54" s="49"/>
      <c r="S54" s="49"/>
      <c r="T54" s="49"/>
      <c r="U54" s="49"/>
      <c r="V54" s="49"/>
    </row>
    <row r="55" spans="1:22" s="2" customFormat="1">
      <c r="A55" s="13"/>
      <c r="B55" s="24"/>
      <c r="C55" s="24"/>
      <c r="D55" s="11"/>
      <c r="E55" s="11"/>
      <c r="F55" s="11"/>
      <c r="G55" s="48"/>
      <c r="H55" s="24"/>
      <c r="I55" s="11"/>
      <c r="J55" s="11"/>
      <c r="K55" s="11"/>
      <c r="L55" s="11"/>
      <c r="M55" s="48"/>
      <c r="N55" s="24"/>
      <c r="O55" s="11"/>
      <c r="P55" s="48"/>
      <c r="Q55" s="11"/>
      <c r="R55" s="11"/>
      <c r="S55" s="11"/>
      <c r="T55" s="11"/>
      <c r="U55" s="11"/>
      <c r="V55" s="11"/>
    </row>
    <row r="56" spans="1:22" s="2" customFormat="1">
      <c r="A56" s="13" t="s">
        <v>50</v>
      </c>
      <c r="B56" s="24"/>
      <c r="C56" s="24"/>
      <c r="D56" s="11"/>
      <c r="E56" s="11"/>
      <c r="F56" s="11"/>
      <c r="G56" s="48"/>
      <c r="H56" s="24"/>
      <c r="I56" s="11"/>
      <c r="J56" s="11"/>
      <c r="K56" s="11"/>
      <c r="L56" s="11"/>
      <c r="M56" s="48"/>
      <c r="N56" s="24"/>
      <c r="O56" s="11"/>
      <c r="P56" s="48"/>
      <c r="Q56" s="11"/>
      <c r="R56" s="11"/>
      <c r="S56" s="11"/>
      <c r="T56" s="11"/>
      <c r="U56" s="11"/>
      <c r="V56" s="11"/>
    </row>
    <row r="57" spans="1:22" s="2" customFormat="1">
      <c r="A57" s="13" t="s">
        <v>51</v>
      </c>
      <c r="B57" s="25">
        <f t="shared" ref="B57:B65" si="8">SUM(C57:P57)</f>
        <v>0</v>
      </c>
      <c r="C57" s="26"/>
      <c r="D57" s="51"/>
      <c r="E57" s="51"/>
      <c r="F57" s="51"/>
      <c r="G57" s="52"/>
      <c r="H57" s="26"/>
      <c r="I57" s="51"/>
      <c r="J57" s="51"/>
      <c r="K57" s="51"/>
      <c r="L57" s="51"/>
      <c r="M57" s="52"/>
      <c r="N57" s="26"/>
      <c r="O57" s="51"/>
      <c r="P57" s="52"/>
      <c r="Q57" s="51"/>
      <c r="R57" s="51"/>
      <c r="S57" s="51"/>
      <c r="T57" s="51"/>
      <c r="U57" s="51"/>
      <c r="V57" s="51"/>
    </row>
    <row r="58" spans="1:22" s="2" customFormat="1">
      <c r="A58" s="13" t="s">
        <v>52</v>
      </c>
      <c r="B58" s="25">
        <f t="shared" si="8"/>
        <v>0</v>
      </c>
      <c r="C58" s="26"/>
      <c r="D58" s="51"/>
      <c r="E58" s="51"/>
      <c r="F58" s="51"/>
      <c r="G58" s="52"/>
      <c r="H58" s="26"/>
      <c r="I58" s="51"/>
      <c r="J58" s="51"/>
      <c r="K58" s="51"/>
      <c r="L58" s="51"/>
      <c r="M58" s="52"/>
      <c r="N58" s="26"/>
      <c r="O58" s="51"/>
      <c r="P58" s="52"/>
      <c r="Q58" s="51"/>
      <c r="R58" s="51"/>
      <c r="S58" s="51"/>
      <c r="T58" s="51"/>
      <c r="U58" s="51"/>
      <c r="V58" s="51"/>
    </row>
    <row r="59" spans="1:22" s="2" customFormat="1">
      <c r="A59" s="13" t="s">
        <v>53</v>
      </c>
      <c r="B59" s="25">
        <f t="shared" si="8"/>
        <v>6922957.4662769036</v>
      </c>
      <c r="C59" s="26"/>
      <c r="D59" s="51"/>
      <c r="E59" s="51"/>
      <c r="F59" s="51"/>
      <c r="G59" s="52"/>
      <c r="H59" s="26">
        <v>5309049.4542611726</v>
      </c>
      <c r="I59" s="51"/>
      <c r="J59" s="51">
        <v>1398141.6119470925</v>
      </c>
      <c r="K59" s="51">
        <f>J59</f>
        <v>1398141.6119470925</v>
      </c>
      <c r="L59" s="51"/>
      <c r="M59" s="52"/>
      <c r="N59" s="26"/>
      <c r="O59" s="51"/>
      <c r="P59" s="52">
        <f>-SUM(C59:O59)*Variables!$F$41</f>
        <v>-1182375.2118784534</v>
      </c>
      <c r="Q59" s="51"/>
      <c r="R59" s="51"/>
      <c r="S59" s="51"/>
      <c r="T59" s="51"/>
      <c r="U59" s="51"/>
      <c r="V59" s="51"/>
    </row>
    <row r="60" spans="1:22" s="2" customFormat="1">
      <c r="A60" s="13" t="s">
        <v>54</v>
      </c>
      <c r="B60" s="25">
        <f t="shared" si="8"/>
        <v>0</v>
      </c>
      <c r="C60" s="26"/>
      <c r="D60" s="51"/>
      <c r="E60" s="51"/>
      <c r="F60" s="51"/>
      <c r="G60" s="52"/>
      <c r="H60" s="26"/>
      <c r="I60" s="51"/>
      <c r="J60" s="51"/>
      <c r="K60" s="51"/>
      <c r="L60" s="51"/>
      <c r="M60" s="52"/>
      <c r="N60" s="26"/>
      <c r="O60" s="51"/>
      <c r="P60" s="52"/>
      <c r="Q60" s="51"/>
      <c r="R60" s="51"/>
      <c r="S60" s="51"/>
      <c r="T60" s="51"/>
      <c r="U60" s="51"/>
      <c r="V60" s="51"/>
    </row>
    <row r="61" spans="1:22" s="2" customFormat="1">
      <c r="A61" s="13" t="s">
        <v>55</v>
      </c>
      <c r="B61" s="25">
        <f t="shared" si="8"/>
        <v>0</v>
      </c>
      <c r="C61" s="26"/>
      <c r="D61" s="51"/>
      <c r="E61" s="51"/>
      <c r="F61" s="51"/>
      <c r="G61" s="52"/>
      <c r="H61" s="26"/>
      <c r="I61" s="51"/>
      <c r="J61" s="51"/>
      <c r="K61" s="51"/>
      <c r="L61" s="51"/>
      <c r="M61" s="52"/>
      <c r="N61" s="26"/>
      <c r="O61" s="51"/>
      <c r="P61" s="52"/>
      <c r="Q61" s="51"/>
      <c r="R61" s="51"/>
      <c r="S61" s="51"/>
      <c r="T61" s="51"/>
      <c r="U61" s="51"/>
      <c r="V61" s="51"/>
    </row>
    <row r="62" spans="1:22" s="2" customFormat="1">
      <c r="A62" s="13" t="s">
        <v>56</v>
      </c>
      <c r="B62" s="25">
        <f t="shared" si="8"/>
        <v>0</v>
      </c>
      <c r="C62" s="26"/>
      <c r="D62" s="51"/>
      <c r="E62" s="51"/>
      <c r="F62" s="51"/>
      <c r="G62" s="52"/>
      <c r="H62" s="26"/>
      <c r="I62" s="51"/>
      <c r="J62" s="51"/>
      <c r="K62" s="51"/>
      <c r="L62" s="51"/>
      <c r="M62" s="52"/>
      <c r="N62" s="26"/>
      <c r="O62" s="51"/>
      <c r="P62" s="52"/>
      <c r="Q62" s="51"/>
      <c r="R62" s="51"/>
      <c r="S62" s="51"/>
      <c r="T62" s="51"/>
      <c r="U62" s="51"/>
      <c r="V62" s="51"/>
    </row>
    <row r="63" spans="1:22" s="2" customFormat="1">
      <c r="A63" s="13" t="s">
        <v>57</v>
      </c>
      <c r="B63" s="25">
        <f t="shared" si="8"/>
        <v>-32966471.807296865</v>
      </c>
      <c r="C63" s="26"/>
      <c r="D63" s="51"/>
      <c r="E63" s="51"/>
      <c r="F63" s="51"/>
      <c r="G63" s="52"/>
      <c r="H63" s="26">
        <v>-21593271.674321234</v>
      </c>
      <c r="I63" s="51"/>
      <c r="J63" s="51">
        <v>-5686600.0664878162</v>
      </c>
      <c r="K63" s="51">
        <f>J63</f>
        <v>-5686600.0664878162</v>
      </c>
      <c r="L63" s="51"/>
      <c r="M63" s="52"/>
      <c r="N63" s="26"/>
      <c r="O63" s="51"/>
      <c r="P63" s="52"/>
      <c r="Q63" s="51"/>
      <c r="R63" s="51"/>
      <c r="S63" s="51"/>
      <c r="T63" s="51"/>
      <c r="U63" s="51"/>
      <c r="V63" s="51"/>
    </row>
    <row r="64" spans="1:22" s="2" customFormat="1">
      <c r="A64" s="13"/>
      <c r="B64" s="24">
        <f t="shared" si="8"/>
        <v>0</v>
      </c>
      <c r="C64" s="24"/>
      <c r="D64" s="11"/>
      <c r="E64" s="11"/>
      <c r="F64" s="11"/>
      <c r="G64" s="48"/>
      <c r="H64" s="24"/>
      <c r="I64" s="11"/>
      <c r="J64" s="11"/>
      <c r="K64" s="11"/>
      <c r="L64" s="11"/>
      <c r="M64" s="48"/>
      <c r="N64" s="24"/>
      <c r="O64" s="11"/>
      <c r="P64" s="48"/>
      <c r="Q64" s="11"/>
      <c r="R64" s="11"/>
      <c r="S64" s="11"/>
      <c r="T64" s="11"/>
      <c r="U64" s="11"/>
      <c r="V64" s="11"/>
    </row>
    <row r="65" spans="1:23">
      <c r="A65" s="92" t="s">
        <v>58</v>
      </c>
      <c r="B65" s="93">
        <f t="shared" si="8"/>
        <v>-26043514.341019962</v>
      </c>
      <c r="C65" s="93">
        <f t="shared" ref="C65:P65" si="9">SUM(C57:C64)</f>
        <v>0</v>
      </c>
      <c r="D65" s="94">
        <f t="shared" si="9"/>
        <v>0</v>
      </c>
      <c r="E65" s="94">
        <f t="shared" si="9"/>
        <v>0</v>
      </c>
      <c r="F65" s="94">
        <f t="shared" si="9"/>
        <v>0</v>
      </c>
      <c r="G65" s="95">
        <f t="shared" si="9"/>
        <v>0</v>
      </c>
      <c r="H65" s="93">
        <f t="shared" si="9"/>
        <v>-16284222.220060062</v>
      </c>
      <c r="I65" s="94">
        <f t="shared" si="9"/>
        <v>0</v>
      </c>
      <c r="J65" s="94">
        <f t="shared" si="9"/>
        <v>-4288458.4545407239</v>
      </c>
      <c r="K65" s="94">
        <f t="shared" si="9"/>
        <v>-4288458.4545407239</v>
      </c>
      <c r="L65" s="94">
        <f t="shared" si="9"/>
        <v>0</v>
      </c>
      <c r="M65" s="95">
        <f t="shared" si="9"/>
        <v>0</v>
      </c>
      <c r="N65" s="93">
        <f t="shared" si="9"/>
        <v>0</v>
      </c>
      <c r="O65" s="94">
        <f t="shared" si="9"/>
        <v>0</v>
      </c>
      <c r="P65" s="95">
        <f t="shared" si="9"/>
        <v>-1182375.2118784534</v>
      </c>
      <c r="Q65" s="11"/>
      <c r="R65" s="11"/>
      <c r="S65" s="11"/>
      <c r="T65" s="11"/>
      <c r="U65" s="11"/>
      <c r="V65" s="11"/>
    </row>
    <row r="66" spans="1:23">
      <c r="A66" s="13"/>
      <c r="B66" s="24"/>
      <c r="C66" s="24"/>
      <c r="D66" s="11"/>
      <c r="E66" s="11"/>
      <c r="F66" s="11"/>
      <c r="G66" s="48"/>
      <c r="H66" s="24"/>
      <c r="I66" s="11"/>
      <c r="J66" s="11"/>
      <c r="K66" s="11"/>
      <c r="L66" s="11"/>
      <c r="M66" s="48"/>
      <c r="N66" s="24"/>
      <c r="O66" s="11"/>
      <c r="P66" s="48"/>
      <c r="Q66" s="11"/>
      <c r="R66" s="11"/>
      <c r="S66" s="11"/>
      <c r="T66" s="11"/>
      <c r="U66" s="11"/>
      <c r="V66" s="11"/>
    </row>
    <row r="67" spans="1:23" ht="13.5" thickBot="1">
      <c r="A67" s="92" t="s">
        <v>59</v>
      </c>
      <c r="B67" s="110">
        <f>SUM(C67:P67)</f>
        <v>-26043514.341019962</v>
      </c>
      <c r="C67" s="110">
        <f t="shared" ref="C67:P67" si="10">C54+C65</f>
        <v>0</v>
      </c>
      <c r="D67" s="111">
        <f t="shared" si="10"/>
        <v>0</v>
      </c>
      <c r="E67" s="111">
        <f t="shared" si="10"/>
        <v>0</v>
      </c>
      <c r="F67" s="111">
        <f t="shared" si="10"/>
        <v>0</v>
      </c>
      <c r="G67" s="112">
        <f t="shared" si="10"/>
        <v>0</v>
      </c>
      <c r="H67" s="110">
        <f t="shared" si="10"/>
        <v>-16284222.220060062</v>
      </c>
      <c r="I67" s="111">
        <f t="shared" si="10"/>
        <v>0</v>
      </c>
      <c r="J67" s="111">
        <f t="shared" si="10"/>
        <v>-4288458.4545407239</v>
      </c>
      <c r="K67" s="111">
        <f t="shared" si="10"/>
        <v>-4288458.4545407239</v>
      </c>
      <c r="L67" s="111">
        <f t="shared" si="10"/>
        <v>0</v>
      </c>
      <c r="M67" s="112">
        <f t="shared" si="10"/>
        <v>0</v>
      </c>
      <c r="N67" s="110">
        <f t="shared" si="10"/>
        <v>0</v>
      </c>
      <c r="O67" s="111">
        <f t="shared" si="10"/>
        <v>0</v>
      </c>
      <c r="P67" s="112">
        <f t="shared" si="10"/>
        <v>-1182375.2118784534</v>
      </c>
      <c r="Q67" s="12"/>
      <c r="R67" s="12"/>
      <c r="S67" s="12"/>
      <c r="T67" s="12"/>
      <c r="U67" s="12"/>
      <c r="V67" s="12"/>
    </row>
    <row r="68" spans="1:23" ht="13.5" thickTop="1">
      <c r="A68" s="13"/>
      <c r="B68" s="24"/>
      <c r="C68" s="24"/>
      <c r="D68" s="11"/>
      <c r="E68" s="11"/>
      <c r="F68" s="11"/>
      <c r="G68" s="48"/>
      <c r="H68" s="24"/>
      <c r="I68" s="11"/>
      <c r="J68" s="11"/>
      <c r="K68" s="11"/>
      <c r="L68" s="11"/>
      <c r="M68" s="48"/>
      <c r="N68" s="24"/>
      <c r="O68" s="11"/>
      <c r="P68" s="48"/>
      <c r="Q68" s="11"/>
      <c r="R68" s="11"/>
      <c r="S68" s="11"/>
      <c r="T68" s="11"/>
      <c r="U68" s="11"/>
      <c r="V68" s="11"/>
    </row>
    <row r="69" spans="1:23">
      <c r="A69" s="13"/>
      <c r="B69" s="24"/>
      <c r="C69" s="24"/>
      <c r="D69" s="11"/>
      <c r="E69" s="11"/>
      <c r="F69" s="11"/>
      <c r="G69" s="48"/>
      <c r="H69" s="24"/>
      <c r="I69" s="11"/>
      <c r="J69" s="11"/>
      <c r="K69" s="11"/>
      <c r="L69" s="11"/>
      <c r="M69" s="48"/>
      <c r="N69" s="24"/>
      <c r="O69" s="11"/>
      <c r="P69" s="48"/>
      <c r="Q69" s="11"/>
      <c r="R69" s="11"/>
      <c r="S69" s="11"/>
      <c r="T69" s="11"/>
      <c r="U69" s="11"/>
      <c r="V69" s="11"/>
    </row>
    <row r="70" spans="1:23" s="79" customFormat="1">
      <c r="A70" s="114" t="s">
        <v>84</v>
      </c>
      <c r="B70" s="115">
        <f t="shared" ref="B70:P70" si="11">(((B40+Unadj_Op_revenue)/(B67+Unadj_rate_base))-Weighted_cost_debt-Weighted_cost_pref)/Percent_common-Unadj_ROE</f>
        <v>-4.1630285849366955E-3</v>
      </c>
      <c r="C70" s="115">
        <f t="shared" si="11"/>
        <v>0</v>
      </c>
      <c r="D70" s="116">
        <f t="shared" si="11"/>
        <v>0</v>
      </c>
      <c r="E70" s="116">
        <f t="shared" si="11"/>
        <v>0</v>
      </c>
      <c r="F70" s="116">
        <f t="shared" si="11"/>
        <v>0</v>
      </c>
      <c r="G70" s="117">
        <f t="shared" si="11"/>
        <v>0</v>
      </c>
      <c r="H70" s="115">
        <f t="shared" si="11"/>
        <v>-4.6896560450458147E-3</v>
      </c>
      <c r="I70" s="116">
        <f t="shared" si="11"/>
        <v>0</v>
      </c>
      <c r="J70" s="116">
        <f t="shared" si="11"/>
        <v>4.6848885045788768E-4</v>
      </c>
      <c r="K70" s="116">
        <f t="shared" si="11"/>
        <v>4.6848885045788768E-4</v>
      </c>
      <c r="L70" s="116">
        <f t="shared" si="11"/>
        <v>0</v>
      </c>
      <c r="M70" s="117">
        <f t="shared" si="11"/>
        <v>0</v>
      </c>
      <c r="N70" s="115">
        <f t="shared" si="11"/>
        <v>0</v>
      </c>
      <c r="O70" s="116">
        <f t="shared" si="11"/>
        <v>-2.0750565066054993E-4</v>
      </c>
      <c r="P70" s="117">
        <f t="shared" si="11"/>
        <v>-1.760598108941358E-4</v>
      </c>
      <c r="Q70" s="15"/>
      <c r="R70" s="15"/>
      <c r="S70" s="15"/>
      <c r="T70" s="15"/>
      <c r="U70" s="15"/>
      <c r="V70" s="15"/>
      <c r="W70" s="76"/>
    </row>
    <row r="71" spans="1:23">
      <c r="A71" s="92" t="s">
        <v>7</v>
      </c>
      <c r="B71" s="221">
        <f>SUM(C71:P71)</f>
        <v>3634857.2030938859</v>
      </c>
      <c r="C71" s="221">
        <f t="shared" ref="C71:P71" si="12">-(C40-(C67*Overall_ROR))/gross_up_factor</f>
        <v>0</v>
      </c>
      <c r="D71" s="241">
        <f t="shared" si="12"/>
        <v>0</v>
      </c>
      <c r="E71" s="241">
        <f t="shared" si="12"/>
        <v>0</v>
      </c>
      <c r="F71" s="241">
        <f t="shared" si="12"/>
        <v>0</v>
      </c>
      <c r="G71" s="219">
        <f t="shared" si="12"/>
        <v>0</v>
      </c>
      <c r="H71" s="221">
        <f t="shared" si="12"/>
        <v>4125108.5448477888</v>
      </c>
      <c r="I71" s="241">
        <f t="shared" si="12"/>
        <v>0</v>
      </c>
      <c r="J71" s="241">
        <f t="shared" si="12"/>
        <v>-415829.08320611145</v>
      </c>
      <c r="K71" s="241">
        <f t="shared" si="12"/>
        <v>-415829.08320611145</v>
      </c>
      <c r="L71" s="241">
        <f t="shared" si="12"/>
        <v>0</v>
      </c>
      <c r="M71" s="219">
        <f t="shared" si="12"/>
        <v>0</v>
      </c>
      <c r="N71" s="221">
        <f t="shared" si="12"/>
        <v>0</v>
      </c>
      <c r="O71" s="241">
        <f t="shared" si="12"/>
        <v>184773.09129179918</v>
      </c>
      <c r="P71" s="219">
        <f t="shared" si="12"/>
        <v>156633.73336652105</v>
      </c>
      <c r="Q71" s="218"/>
      <c r="R71" s="218"/>
      <c r="S71" s="218"/>
      <c r="T71" s="218"/>
      <c r="U71" s="218"/>
      <c r="V71" s="218"/>
    </row>
    <row r="72" spans="1:23">
      <c r="A72" s="13"/>
      <c r="B72" s="16"/>
      <c r="C72" s="16"/>
      <c r="D72" s="15"/>
      <c r="E72" s="15"/>
      <c r="F72" s="15"/>
      <c r="G72" s="17"/>
      <c r="H72" s="16"/>
      <c r="I72" s="15"/>
      <c r="J72" s="15"/>
      <c r="K72" s="15"/>
      <c r="L72" s="15"/>
      <c r="M72" s="17"/>
      <c r="N72" s="16"/>
      <c r="O72" s="15"/>
      <c r="P72" s="17"/>
      <c r="Q72" s="15"/>
      <c r="R72" s="15"/>
      <c r="S72" s="15"/>
      <c r="T72" s="15"/>
      <c r="U72" s="15"/>
      <c r="V72" s="15"/>
    </row>
    <row r="73" spans="1:23">
      <c r="A73" s="13" t="s">
        <v>61</v>
      </c>
      <c r="B73" s="24"/>
      <c r="C73" s="24"/>
      <c r="D73" s="11"/>
      <c r="E73" s="11"/>
      <c r="F73" s="11"/>
      <c r="G73" s="48"/>
      <c r="H73" s="24"/>
      <c r="I73" s="11"/>
      <c r="J73" s="11"/>
      <c r="K73" s="11"/>
      <c r="L73" s="11"/>
      <c r="M73" s="48"/>
      <c r="N73" s="24"/>
      <c r="O73" s="11"/>
      <c r="P73" s="48"/>
      <c r="Q73" s="11"/>
      <c r="R73" s="11"/>
      <c r="S73" s="11"/>
      <c r="T73" s="11"/>
      <c r="U73" s="11"/>
      <c r="V73" s="11"/>
    </row>
    <row r="74" spans="1:23">
      <c r="A74" s="92" t="s">
        <v>62</v>
      </c>
      <c r="B74" s="221">
        <f t="shared" ref="B74:B80" si="13">SUM(C74:P74)</f>
        <v>-5686600.066487818</v>
      </c>
      <c r="C74" s="221">
        <f t="shared" ref="C74:P74" si="14">C16-C29-C30-C31-C32-C37</f>
        <v>0</v>
      </c>
      <c r="D74" s="241">
        <f t="shared" si="14"/>
        <v>0</v>
      </c>
      <c r="E74" s="241">
        <f t="shared" si="14"/>
        <v>0</v>
      </c>
      <c r="F74" s="241">
        <f t="shared" si="14"/>
        <v>0</v>
      </c>
      <c r="G74" s="219">
        <f t="shared" si="14"/>
        <v>0</v>
      </c>
      <c r="H74" s="221">
        <f t="shared" si="14"/>
        <v>-5686600.066487818</v>
      </c>
      <c r="I74" s="241">
        <f t="shared" si="14"/>
        <v>0</v>
      </c>
      <c r="J74" s="241">
        <f t="shared" si="14"/>
        <v>0</v>
      </c>
      <c r="K74" s="241">
        <f t="shared" si="14"/>
        <v>0</v>
      </c>
      <c r="L74" s="241">
        <f t="shared" si="14"/>
        <v>0</v>
      </c>
      <c r="M74" s="219">
        <f t="shared" si="14"/>
        <v>0</v>
      </c>
      <c r="N74" s="221">
        <f t="shared" si="14"/>
        <v>0</v>
      </c>
      <c r="O74" s="241">
        <f t="shared" si="14"/>
        <v>0</v>
      </c>
      <c r="P74" s="219">
        <f t="shared" si="14"/>
        <v>0</v>
      </c>
      <c r="Q74" s="218"/>
      <c r="R74" s="218"/>
      <c r="S74" s="218"/>
      <c r="T74" s="218"/>
      <c r="U74" s="218"/>
      <c r="V74" s="218"/>
    </row>
    <row r="75" spans="1:23">
      <c r="A75" s="13" t="s">
        <v>63</v>
      </c>
      <c r="B75" s="217">
        <f t="shared" si="13"/>
        <v>0</v>
      </c>
      <c r="C75" s="24"/>
      <c r="D75" s="11"/>
      <c r="E75" s="11"/>
      <c r="F75" s="11"/>
      <c r="G75" s="48"/>
      <c r="H75" s="24"/>
      <c r="I75" s="11"/>
      <c r="J75" s="11"/>
      <c r="K75" s="11"/>
      <c r="L75" s="11"/>
      <c r="M75" s="48"/>
      <c r="N75" s="24"/>
      <c r="O75" s="11"/>
      <c r="P75" s="48"/>
      <c r="Q75" s="11"/>
      <c r="R75" s="11"/>
      <c r="S75" s="11"/>
      <c r="T75" s="11"/>
      <c r="U75" s="11"/>
      <c r="V75" s="11"/>
    </row>
    <row r="76" spans="1:23">
      <c r="A76" s="13" t="s">
        <v>64</v>
      </c>
      <c r="B76" s="217">
        <f t="shared" si="13"/>
        <v>0</v>
      </c>
      <c r="C76" s="25"/>
      <c r="D76" s="49"/>
      <c r="E76" s="49"/>
      <c r="F76" s="49"/>
      <c r="G76" s="50"/>
      <c r="H76" s="25"/>
      <c r="I76" s="49"/>
      <c r="J76" s="49"/>
      <c r="K76" s="49"/>
      <c r="L76" s="49"/>
      <c r="M76" s="50"/>
      <c r="N76" s="25"/>
      <c r="O76" s="49"/>
      <c r="P76" s="50"/>
      <c r="Q76" s="49"/>
      <c r="R76" s="49"/>
      <c r="S76" s="49"/>
      <c r="T76" s="49"/>
      <c r="U76" s="49"/>
      <c r="V76" s="49"/>
    </row>
    <row r="77" spans="1:23">
      <c r="A77" s="13" t="s">
        <v>65</v>
      </c>
      <c r="B77" s="217">
        <f t="shared" si="13"/>
        <v>-661505.26426190697</v>
      </c>
      <c r="C77" s="25"/>
      <c r="D77" s="49"/>
      <c r="E77" s="49"/>
      <c r="F77" s="49"/>
      <c r="G77" s="50"/>
      <c r="H77" s="25"/>
      <c r="I77" s="49"/>
      <c r="J77" s="49"/>
      <c r="K77" s="49"/>
      <c r="L77" s="49"/>
      <c r="M77" s="50"/>
      <c r="N77" s="25"/>
      <c r="O77" s="49">
        <f>'Interest Calc'!C8</f>
        <v>-661505.26426190697</v>
      </c>
      <c r="P77" s="50"/>
      <c r="Q77" s="49"/>
      <c r="R77" s="49"/>
      <c r="S77" s="49"/>
      <c r="T77" s="49"/>
      <c r="U77" s="49"/>
      <c r="V77" s="49"/>
    </row>
    <row r="78" spans="1:23">
      <c r="A78" s="13" t="s">
        <v>66</v>
      </c>
      <c r="B78" s="217">
        <f t="shared" si="13"/>
        <v>5686599.8325303458</v>
      </c>
      <c r="C78" s="25"/>
      <c r="D78" s="49"/>
      <c r="E78" s="49"/>
      <c r="F78" s="49"/>
      <c r="G78" s="50"/>
      <c r="H78" s="25">
        <v>5686599.8325303458</v>
      </c>
      <c r="I78" s="49"/>
      <c r="J78" s="49"/>
      <c r="K78" s="49"/>
      <c r="L78" s="49"/>
      <c r="M78" s="50"/>
      <c r="N78" s="25"/>
      <c r="O78" s="49"/>
      <c r="P78" s="50"/>
      <c r="Q78" s="49"/>
      <c r="R78" s="49"/>
      <c r="S78" s="49"/>
      <c r="T78" s="49"/>
      <c r="U78" s="49"/>
      <c r="V78" s="49"/>
    </row>
    <row r="79" spans="1:23">
      <c r="A79" s="13" t="s">
        <v>67</v>
      </c>
      <c r="B79" s="217">
        <f t="shared" si="13"/>
        <v>0</v>
      </c>
      <c r="C79" s="57"/>
      <c r="D79" s="55"/>
      <c r="E79" s="55"/>
      <c r="F79" s="55"/>
      <c r="G79" s="58"/>
      <c r="H79" s="57"/>
      <c r="I79" s="55"/>
      <c r="J79" s="55"/>
      <c r="K79" s="55"/>
      <c r="L79" s="55"/>
      <c r="M79" s="58"/>
      <c r="N79" s="57"/>
      <c r="O79" s="55"/>
      <c r="P79" s="58"/>
      <c r="Q79" s="49"/>
      <c r="R79" s="49"/>
      <c r="S79" s="49"/>
      <c r="T79" s="49"/>
      <c r="U79" s="49"/>
      <c r="V79" s="49"/>
    </row>
    <row r="80" spans="1:23">
      <c r="A80" s="92" t="s">
        <v>68</v>
      </c>
      <c r="B80" s="118">
        <f t="shared" si="13"/>
        <v>661505.03030443471</v>
      </c>
      <c r="C80" s="119">
        <f t="shared" ref="C80:P80" si="15">C74-C76-C77+C78-C79</f>
        <v>0</v>
      </c>
      <c r="D80" s="113">
        <f t="shared" si="15"/>
        <v>0</v>
      </c>
      <c r="E80" s="113">
        <f t="shared" si="15"/>
        <v>0</v>
      </c>
      <c r="F80" s="113">
        <f t="shared" si="15"/>
        <v>0</v>
      </c>
      <c r="G80" s="120">
        <f t="shared" si="15"/>
        <v>0</v>
      </c>
      <c r="H80" s="119">
        <f t="shared" si="15"/>
        <v>-0.23395747225731611</v>
      </c>
      <c r="I80" s="113">
        <f t="shared" si="15"/>
        <v>0</v>
      </c>
      <c r="J80" s="113">
        <f t="shared" si="15"/>
        <v>0</v>
      </c>
      <c r="K80" s="113">
        <f t="shared" si="15"/>
        <v>0</v>
      </c>
      <c r="L80" s="113">
        <f t="shared" si="15"/>
        <v>0</v>
      </c>
      <c r="M80" s="120">
        <f t="shared" si="15"/>
        <v>0</v>
      </c>
      <c r="N80" s="119">
        <f t="shared" si="15"/>
        <v>0</v>
      </c>
      <c r="O80" s="113">
        <f t="shared" si="15"/>
        <v>661505.26426190697</v>
      </c>
      <c r="P80" s="120">
        <f t="shared" si="15"/>
        <v>0</v>
      </c>
      <c r="Q80" s="12"/>
      <c r="R80" s="12"/>
      <c r="S80" s="12"/>
      <c r="T80" s="12"/>
      <c r="U80" s="12"/>
      <c r="V80" s="12"/>
    </row>
    <row r="81" spans="1:22" s="2" customFormat="1">
      <c r="A81" s="13"/>
      <c r="B81" s="24"/>
      <c r="C81" s="24"/>
      <c r="D81" s="11"/>
      <c r="E81" s="11"/>
      <c r="F81" s="11"/>
      <c r="G81" s="48"/>
      <c r="H81" s="24"/>
      <c r="I81" s="11"/>
      <c r="J81" s="11"/>
      <c r="K81" s="11"/>
      <c r="L81" s="11"/>
      <c r="M81" s="48"/>
      <c r="N81" s="24"/>
      <c r="O81" s="11"/>
      <c r="P81" s="48"/>
      <c r="Q81" s="11"/>
      <c r="R81" s="11"/>
      <c r="S81" s="11"/>
      <c r="T81" s="11"/>
      <c r="U81" s="11"/>
      <c r="V81" s="11"/>
    </row>
    <row r="82" spans="1:22" s="2" customFormat="1">
      <c r="A82" s="13" t="s">
        <v>69</v>
      </c>
      <c r="B82" s="28">
        <f>SUM(C82:P82)</f>
        <v>0</v>
      </c>
      <c r="C82" s="24">
        <v>0</v>
      </c>
      <c r="D82" s="11">
        <v>0</v>
      </c>
      <c r="E82" s="11">
        <v>0</v>
      </c>
      <c r="F82" s="11">
        <v>0</v>
      </c>
      <c r="G82" s="48">
        <v>0</v>
      </c>
      <c r="H82" s="24">
        <v>0</v>
      </c>
      <c r="I82" s="11">
        <v>0</v>
      </c>
      <c r="J82" s="11">
        <v>0</v>
      </c>
      <c r="K82" s="11">
        <v>0</v>
      </c>
      <c r="L82" s="11">
        <v>0</v>
      </c>
      <c r="M82" s="48">
        <v>0</v>
      </c>
      <c r="N82" s="24">
        <v>0</v>
      </c>
      <c r="O82" s="11">
        <v>0</v>
      </c>
      <c r="P82" s="48">
        <v>0</v>
      </c>
      <c r="Q82" s="11"/>
      <c r="R82" s="11"/>
      <c r="S82" s="11"/>
      <c r="T82" s="11"/>
      <c r="U82" s="11"/>
      <c r="V82" s="11"/>
    </row>
    <row r="83" spans="1:22" s="2" customFormat="1">
      <c r="A83" s="92" t="s">
        <v>70</v>
      </c>
      <c r="B83" s="121">
        <f>SUM(C83:P83)</f>
        <v>661505.03030443471</v>
      </c>
      <c r="C83" s="98">
        <f t="shared" ref="C83:P83" si="16">C80-C82</f>
        <v>0</v>
      </c>
      <c r="D83" s="96">
        <f t="shared" si="16"/>
        <v>0</v>
      </c>
      <c r="E83" s="96">
        <f t="shared" si="16"/>
        <v>0</v>
      </c>
      <c r="F83" s="96">
        <f t="shared" si="16"/>
        <v>0</v>
      </c>
      <c r="G83" s="99">
        <f t="shared" si="16"/>
        <v>0</v>
      </c>
      <c r="H83" s="98">
        <f t="shared" si="16"/>
        <v>-0.23395747225731611</v>
      </c>
      <c r="I83" s="96">
        <f t="shared" si="16"/>
        <v>0</v>
      </c>
      <c r="J83" s="96">
        <f t="shared" si="16"/>
        <v>0</v>
      </c>
      <c r="K83" s="96">
        <f t="shared" si="16"/>
        <v>0</v>
      </c>
      <c r="L83" s="96">
        <f t="shared" si="16"/>
        <v>0</v>
      </c>
      <c r="M83" s="99">
        <f t="shared" si="16"/>
        <v>0</v>
      </c>
      <c r="N83" s="98">
        <f t="shared" si="16"/>
        <v>0</v>
      </c>
      <c r="O83" s="96">
        <f t="shared" si="16"/>
        <v>661505.26426190697</v>
      </c>
      <c r="P83" s="99">
        <f t="shared" si="16"/>
        <v>0</v>
      </c>
      <c r="Q83" s="11"/>
      <c r="R83" s="11"/>
      <c r="S83" s="11"/>
      <c r="T83" s="11"/>
      <c r="U83" s="11"/>
      <c r="V83" s="11"/>
    </row>
    <row r="84" spans="1:22" s="2" customFormat="1">
      <c r="A84" s="13"/>
      <c r="B84" s="28"/>
      <c r="C84" s="24"/>
      <c r="D84" s="11"/>
      <c r="E84" s="11"/>
      <c r="F84" s="11"/>
      <c r="G84" s="48"/>
      <c r="H84" s="24"/>
      <c r="I84" s="11"/>
      <c r="J84" s="11"/>
      <c r="K84" s="11"/>
      <c r="L84" s="11"/>
      <c r="M84" s="48"/>
      <c r="N84" s="24"/>
      <c r="O84" s="11"/>
      <c r="P84" s="48"/>
      <c r="Q84" s="11"/>
      <c r="R84" s="11"/>
      <c r="S84" s="11"/>
      <c r="T84" s="11"/>
      <c r="U84" s="11"/>
      <c r="V84" s="11"/>
    </row>
    <row r="85" spans="1:22" s="2" customFormat="1">
      <c r="A85" s="92" t="s">
        <v>72</v>
      </c>
      <c r="B85" s="121">
        <f>SUM(C85:P85)</f>
        <v>138916.05636393127</v>
      </c>
      <c r="C85" s="98">
        <f t="shared" ref="C85:P85" si="17">C83*0.21</f>
        <v>0</v>
      </c>
      <c r="D85" s="96">
        <f t="shared" si="17"/>
        <v>0</v>
      </c>
      <c r="E85" s="96">
        <f t="shared" si="17"/>
        <v>0</v>
      </c>
      <c r="F85" s="96">
        <f t="shared" si="17"/>
        <v>0</v>
      </c>
      <c r="G85" s="99">
        <f t="shared" si="17"/>
        <v>0</v>
      </c>
      <c r="H85" s="98">
        <f t="shared" si="17"/>
        <v>-4.9131069174036382E-2</v>
      </c>
      <c r="I85" s="96">
        <f t="shared" si="17"/>
        <v>0</v>
      </c>
      <c r="J85" s="96">
        <f t="shared" si="17"/>
        <v>0</v>
      </c>
      <c r="K85" s="96">
        <f t="shared" si="17"/>
        <v>0</v>
      </c>
      <c r="L85" s="96">
        <f t="shared" si="17"/>
        <v>0</v>
      </c>
      <c r="M85" s="99">
        <f t="shared" si="17"/>
        <v>0</v>
      </c>
      <c r="N85" s="98">
        <f t="shared" si="17"/>
        <v>0</v>
      </c>
      <c r="O85" s="96">
        <f t="shared" si="17"/>
        <v>138916.10549500046</v>
      </c>
      <c r="P85" s="99">
        <f t="shared" si="17"/>
        <v>0</v>
      </c>
      <c r="Q85" s="11"/>
      <c r="R85" s="11"/>
      <c r="S85" s="11"/>
      <c r="T85" s="11"/>
      <c r="U85" s="11"/>
      <c r="V85" s="11"/>
    </row>
    <row r="86" spans="1:22" s="2" customFormat="1">
      <c r="A86" s="13" t="s">
        <v>105</v>
      </c>
      <c r="B86" s="28">
        <f>SUM(C86:P86)</f>
        <v>0</v>
      </c>
      <c r="C86" s="24"/>
      <c r="D86" s="11"/>
      <c r="E86" s="11"/>
      <c r="F86" s="11"/>
      <c r="G86" s="48"/>
      <c r="H86" s="24"/>
      <c r="I86" s="11"/>
      <c r="J86" s="11"/>
      <c r="K86" s="11"/>
      <c r="L86" s="11"/>
      <c r="M86" s="48"/>
      <c r="N86" s="24"/>
      <c r="O86" s="11"/>
      <c r="P86" s="48"/>
      <c r="Q86" s="11"/>
      <c r="R86" s="11"/>
      <c r="S86" s="11"/>
      <c r="T86" s="11"/>
      <c r="U86" s="11"/>
      <c r="V86" s="11"/>
    </row>
    <row r="87" spans="1:22" s="2" customFormat="1" ht="13.5" thickBot="1">
      <c r="A87" s="92" t="s">
        <v>73</v>
      </c>
      <c r="B87" s="122">
        <f>SUM(C87:P87)</f>
        <v>138916.05636393127</v>
      </c>
      <c r="C87" s="123">
        <f t="shared" ref="C87:P87" si="18">C85+C86</f>
        <v>0</v>
      </c>
      <c r="D87" s="124">
        <f t="shared" si="18"/>
        <v>0</v>
      </c>
      <c r="E87" s="124">
        <f t="shared" si="18"/>
        <v>0</v>
      </c>
      <c r="F87" s="124">
        <f t="shared" si="18"/>
        <v>0</v>
      </c>
      <c r="G87" s="125">
        <f t="shared" si="18"/>
        <v>0</v>
      </c>
      <c r="H87" s="123">
        <f t="shared" si="18"/>
        <v>-4.9131069174036382E-2</v>
      </c>
      <c r="I87" s="124">
        <f t="shared" si="18"/>
        <v>0</v>
      </c>
      <c r="J87" s="124">
        <f t="shared" si="18"/>
        <v>0</v>
      </c>
      <c r="K87" s="124">
        <f t="shared" si="18"/>
        <v>0</v>
      </c>
      <c r="L87" s="124">
        <f t="shared" si="18"/>
        <v>0</v>
      </c>
      <c r="M87" s="125">
        <f t="shared" si="18"/>
        <v>0</v>
      </c>
      <c r="N87" s="123">
        <f t="shared" si="18"/>
        <v>0</v>
      </c>
      <c r="O87" s="124">
        <f t="shared" si="18"/>
        <v>138916.10549500046</v>
      </c>
      <c r="P87" s="125">
        <f t="shared" si="18"/>
        <v>0</v>
      </c>
      <c r="Q87" s="11"/>
      <c r="R87" s="11"/>
      <c r="S87" s="11"/>
      <c r="T87" s="11"/>
      <c r="U87" s="11"/>
      <c r="V87" s="11"/>
    </row>
    <row r="88" spans="1:22" s="2" customFormat="1">
      <c r="A88" s="13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1:22" s="2" customForma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</row>
    <row r="90" spans="1:22" s="2" customForma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</row>
    <row r="91" spans="1:22" s="2" customForma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</row>
    <row r="92" spans="1:22" s="2" customFormat="1">
      <c r="A92" s="216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</row>
    <row r="93" spans="1:22" s="2" customFormat="1" ht="15">
      <c r="B93" s="14"/>
      <c r="J93" s="175"/>
      <c r="K93" s="175"/>
      <c r="L93" s="174"/>
      <c r="M93" s="174"/>
      <c r="N93" s="174"/>
    </row>
    <row r="94" spans="1:22" s="2" customFormat="1">
      <c r="A94" s="4" t="s">
        <v>121</v>
      </c>
      <c r="B94" s="14">
        <v>-1735595.4798920334</v>
      </c>
      <c r="L94" s="176"/>
      <c r="M94" s="176"/>
      <c r="N94" s="176"/>
    </row>
    <row r="95" spans="1:22" s="2" customFormat="1">
      <c r="A95" s="4" t="s">
        <v>195</v>
      </c>
      <c r="B95" s="2">
        <f>B71+B94</f>
        <v>1899261.7232018525</v>
      </c>
    </row>
    <row r="96" spans="1:22" s="2" customFormat="1" ht="15">
      <c r="B96" s="167">
        <f>B95-'Non-NPC Coal Costs 1.1.2026'!F28</f>
        <v>0</v>
      </c>
    </row>
    <row r="97" spans="1:14" s="2" customFormat="1"/>
    <row r="98" spans="1:14" s="2" customFormat="1"/>
    <row r="99" spans="1:14" s="2" customFormat="1">
      <c r="J99" s="172"/>
      <c r="K99" s="172"/>
      <c r="L99" s="172"/>
      <c r="M99" s="172"/>
      <c r="N99" s="172"/>
    </row>
    <row r="100" spans="1:14" s="2" customFormat="1" ht="15">
      <c r="A100" s="168"/>
    </row>
    <row r="101" spans="1:14" s="2" customFormat="1"/>
    <row r="102" spans="1:14" s="2" customFormat="1"/>
    <row r="103" spans="1:14" s="2" customFormat="1"/>
    <row r="104" spans="1:14" s="2" customFormat="1" ht="6.75" customHeight="1"/>
    <row r="105" spans="1:14" s="2" customFormat="1"/>
    <row r="106" spans="1:14" s="2" customFormat="1"/>
    <row r="107" spans="1:14" s="2" customFormat="1">
      <c r="L107" s="172"/>
    </row>
    <row r="108" spans="1:14" s="2" customFormat="1">
      <c r="A108" s="169"/>
      <c r="B108" s="170"/>
      <c r="L108" s="172"/>
    </row>
    <row r="109" spans="1:14" s="2" customFormat="1">
      <c r="L109" s="172"/>
    </row>
    <row r="110" spans="1:14" s="2" customFormat="1">
      <c r="A110" s="163"/>
      <c r="B110" s="4"/>
      <c r="L110" s="172"/>
    </row>
    <row r="111" spans="1:14" s="2" customFormat="1">
      <c r="B111" s="128"/>
      <c r="L111" s="172"/>
    </row>
    <row r="112" spans="1:14" s="2" customFormat="1">
      <c r="A112" s="4"/>
      <c r="B112" s="137"/>
      <c r="L112" s="172"/>
    </row>
    <row r="113" spans="2:12" s="2" customFormat="1">
      <c r="L113" s="172"/>
    </row>
    <row r="114" spans="2:12" s="2" customFormat="1">
      <c r="L114" s="172"/>
    </row>
    <row r="115" spans="2:12" s="2" customFormat="1">
      <c r="B115" s="14"/>
      <c r="L115" s="172"/>
    </row>
    <row r="116" spans="2:12" s="2" customFormat="1">
      <c r="B116" s="14"/>
      <c r="L116" s="172"/>
    </row>
    <row r="117" spans="2:12" s="2" customFormat="1">
      <c r="B117" s="14"/>
      <c r="L117" s="172"/>
    </row>
    <row r="118" spans="2:12" s="2" customFormat="1">
      <c r="B118" s="14"/>
      <c r="L118" s="172"/>
    </row>
    <row r="119" spans="2:12" s="2" customFormat="1">
      <c r="B119" s="14"/>
      <c r="L119" s="172"/>
    </row>
    <row r="120" spans="2:12" s="2" customFormat="1">
      <c r="B120" s="14"/>
      <c r="L120" s="172"/>
    </row>
    <row r="121" spans="2:12" s="2" customFormat="1">
      <c r="B121" s="14"/>
      <c r="L121" s="172"/>
    </row>
    <row r="122" spans="2:12" s="2" customFormat="1">
      <c r="B122" s="14"/>
      <c r="L122" s="172"/>
    </row>
    <row r="123" spans="2:12" s="2" customFormat="1">
      <c r="B123" s="14"/>
      <c r="L123" s="172"/>
    </row>
    <row r="124" spans="2:12" s="2" customFormat="1">
      <c r="B124" s="14"/>
      <c r="L124" s="172"/>
    </row>
    <row r="125" spans="2:12" s="2" customFormat="1">
      <c r="B125" s="14"/>
      <c r="L125" s="172"/>
    </row>
    <row r="126" spans="2:12" s="2" customFormat="1">
      <c r="B126" s="14"/>
      <c r="L126" s="172"/>
    </row>
    <row r="127" spans="2:12" s="2" customFormat="1">
      <c r="B127" s="14"/>
      <c r="L127" s="172"/>
    </row>
    <row r="128" spans="2:12" s="2" customFormat="1">
      <c r="B128" s="14"/>
      <c r="L128" s="172"/>
    </row>
    <row r="129" spans="2:12" s="2" customFormat="1">
      <c r="B129" s="14"/>
      <c r="L129" s="172"/>
    </row>
    <row r="130" spans="2:12" s="2" customFormat="1">
      <c r="B130" s="14"/>
      <c r="L130" s="172"/>
    </row>
    <row r="131" spans="2:12" s="2" customFormat="1">
      <c r="B131" s="14"/>
      <c r="L131" s="172"/>
    </row>
    <row r="132" spans="2:12" s="2" customFormat="1">
      <c r="B132" s="14"/>
      <c r="L132" s="172"/>
    </row>
    <row r="133" spans="2:12" s="2" customFormat="1">
      <c r="B133" s="14"/>
      <c r="L133" s="172"/>
    </row>
    <row r="134" spans="2:12" s="2" customFormat="1">
      <c r="B134" s="14"/>
      <c r="L134" s="172"/>
    </row>
    <row r="135" spans="2:12" s="2" customFormat="1">
      <c r="B135" s="14"/>
      <c r="L135" s="172"/>
    </row>
    <row r="136" spans="2:12" s="2" customFormat="1">
      <c r="B136" s="14"/>
      <c r="L136" s="172"/>
    </row>
    <row r="137" spans="2:12" s="2" customFormat="1">
      <c r="B137" s="14"/>
      <c r="L137" s="172"/>
    </row>
    <row r="138" spans="2:12" s="2" customFormat="1">
      <c r="B138" s="14"/>
      <c r="L138" s="172"/>
    </row>
    <row r="139" spans="2:12" s="2" customFormat="1">
      <c r="B139" s="14"/>
      <c r="L139" s="172"/>
    </row>
    <row r="140" spans="2:12" s="2" customFormat="1">
      <c r="B140" s="14"/>
      <c r="L140" s="172"/>
    </row>
    <row r="141" spans="2:12" s="2" customFormat="1">
      <c r="B141" s="14"/>
      <c r="L141" s="172"/>
    </row>
    <row r="142" spans="2:12" s="2" customFormat="1">
      <c r="B142" s="14"/>
      <c r="L142" s="172"/>
    </row>
    <row r="143" spans="2:12" s="2" customFormat="1">
      <c r="B143" s="14"/>
      <c r="L143" s="172"/>
    </row>
    <row r="144" spans="2:12" s="2" customFormat="1">
      <c r="B144" s="14"/>
      <c r="L144" s="172"/>
    </row>
    <row r="145" spans="2:12" s="2" customFormat="1">
      <c r="B145" s="14"/>
      <c r="L145" s="172"/>
    </row>
    <row r="146" spans="2:12" s="2" customFormat="1">
      <c r="B146" s="14"/>
      <c r="L146" s="172"/>
    </row>
    <row r="147" spans="2:12" s="2" customFormat="1">
      <c r="B147" s="14"/>
      <c r="L147" s="172"/>
    </row>
    <row r="148" spans="2:12" s="2" customFormat="1">
      <c r="B148" s="14"/>
      <c r="L148" s="172"/>
    </row>
    <row r="149" spans="2:12" s="2" customFormat="1">
      <c r="B149" s="14"/>
      <c r="L149" s="172"/>
    </row>
    <row r="150" spans="2:12" s="2" customFormat="1">
      <c r="B150" s="14"/>
      <c r="L150" s="172"/>
    </row>
    <row r="151" spans="2:12" s="2" customFormat="1">
      <c r="B151" s="14"/>
      <c r="L151" s="172"/>
    </row>
    <row r="152" spans="2:12" s="2" customFormat="1">
      <c r="B152" s="14"/>
      <c r="L152" s="172"/>
    </row>
    <row r="153" spans="2:12" s="2" customFormat="1">
      <c r="B153" s="14"/>
      <c r="L153" s="172"/>
    </row>
  </sheetData>
  <mergeCells count="3">
    <mergeCell ref="C7:G7"/>
    <mergeCell ref="H7:M7"/>
    <mergeCell ref="N7:P7"/>
  </mergeCells>
  <pageMargins left="0.7" right="0.7" top="0.75" bottom="0.75" header="0.3" footer="0.3"/>
  <pageSetup scale="56" firstPageNumber="17" fitToWidth="0" orientation="portrait" useFirstPageNumber="1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B1:I11"/>
  <sheetViews>
    <sheetView workbookViewId="0">
      <selection activeCell="E26" sqref="E26"/>
    </sheetView>
  </sheetViews>
  <sheetFormatPr defaultColWidth="9.140625" defaultRowHeight="12.75"/>
  <cols>
    <col min="1" max="1" width="3.140625" style="18" customWidth="1"/>
    <col min="2" max="2" width="55.140625" style="18" customWidth="1"/>
    <col min="3" max="3" width="16.28515625" style="18" customWidth="1"/>
    <col min="4" max="4" width="28.5703125" style="18" bestFit="1" customWidth="1"/>
    <col min="5" max="5" width="14" style="18" bestFit="1" customWidth="1"/>
    <col min="6" max="16384" width="9.140625" style="18"/>
  </cols>
  <sheetData>
    <row r="1" spans="2:9">
      <c r="B1" s="22" t="s">
        <v>6</v>
      </c>
    </row>
    <row r="2" spans="2:9">
      <c r="B2" s="22" t="s">
        <v>204</v>
      </c>
    </row>
    <row r="3" spans="2:9">
      <c r="B3" s="22" t="s">
        <v>210</v>
      </c>
    </row>
    <row r="5" spans="2:9">
      <c r="B5" s="223" t="s">
        <v>203</v>
      </c>
      <c r="D5" s="91"/>
      <c r="E5" s="91"/>
      <c r="F5" s="91"/>
      <c r="G5" s="91"/>
      <c r="H5" s="91"/>
      <c r="I5" s="91"/>
    </row>
    <row r="6" spans="2:9">
      <c r="B6" s="18" t="s">
        <v>192</v>
      </c>
      <c r="C6" s="3">
        <f>'Rev Req Adj- Coal Tracker 2026'!B67</f>
        <v>-26043514.341019962</v>
      </c>
      <c r="D6" s="83" t="s">
        <v>194</v>
      </c>
      <c r="E6" s="91"/>
      <c r="F6" s="91"/>
      <c r="G6" s="91"/>
      <c r="H6" s="91"/>
      <c r="I6" s="91"/>
    </row>
    <row r="7" spans="2:9">
      <c r="B7" s="18" t="s">
        <v>71</v>
      </c>
      <c r="C7" s="41">
        <f>Weighted_cost_debt</f>
        <v>2.5399999999999999E-2</v>
      </c>
      <c r="D7" s="18" t="s">
        <v>152</v>
      </c>
      <c r="E7" s="91"/>
      <c r="F7" s="91"/>
      <c r="G7" s="91"/>
      <c r="H7" s="91"/>
      <c r="I7" s="91"/>
    </row>
    <row r="8" spans="2:9">
      <c r="B8" s="22" t="s">
        <v>193</v>
      </c>
      <c r="C8" s="5">
        <f>C6*C7</f>
        <v>-661505.26426190697</v>
      </c>
      <c r="E8" s="91"/>
      <c r="F8" s="91"/>
      <c r="G8" s="91"/>
      <c r="H8" s="91"/>
      <c r="I8" s="91"/>
    </row>
    <row r="9" spans="2:9">
      <c r="E9" s="91"/>
      <c r="F9" s="91"/>
      <c r="G9" s="91"/>
      <c r="H9" s="91"/>
      <c r="I9" s="91"/>
    </row>
    <row r="10" spans="2:9">
      <c r="B10" s="185"/>
      <c r="C10" s="186"/>
      <c r="D10" s="91"/>
      <c r="E10" s="91"/>
      <c r="F10" s="91"/>
      <c r="G10" s="91"/>
      <c r="H10" s="91"/>
      <c r="I10" s="91"/>
    </row>
    <row r="11" spans="2:9">
      <c r="B11" s="91"/>
      <c r="C11" s="91"/>
      <c r="D11" s="91"/>
      <c r="E11" s="91"/>
      <c r="F11" s="91"/>
      <c r="G11" s="91"/>
      <c r="H11" s="91"/>
      <c r="I11" s="91"/>
    </row>
  </sheetData>
  <pageMargins left="0.7" right="0.7" top="0.75" bottom="0.75" header="0.3" footer="0.3"/>
  <pageSetup scale="77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B1:F44"/>
  <sheetViews>
    <sheetView workbookViewId="0">
      <selection activeCell="I18" sqref="I18"/>
    </sheetView>
  </sheetViews>
  <sheetFormatPr defaultColWidth="9.140625" defaultRowHeight="12.75"/>
  <cols>
    <col min="1" max="1" width="3.85546875" style="18" customWidth="1"/>
    <col min="2" max="4" width="15.7109375" style="18" customWidth="1"/>
    <col min="5" max="5" width="13.42578125" style="18" bestFit="1" customWidth="1"/>
    <col min="6" max="16384" width="9.140625" style="18"/>
  </cols>
  <sheetData>
    <row r="1" spans="2:5">
      <c r="B1" s="22" t="s">
        <v>6</v>
      </c>
    </row>
    <row r="2" spans="2:5">
      <c r="B2" s="22" t="s">
        <v>204</v>
      </c>
    </row>
    <row r="3" spans="2:5">
      <c r="B3" s="22" t="s">
        <v>211</v>
      </c>
    </row>
    <row r="4" spans="2:5">
      <c r="B4" s="22"/>
    </row>
    <row r="6" spans="2:5">
      <c r="B6" s="22" t="s">
        <v>83</v>
      </c>
      <c r="C6" s="38"/>
      <c r="D6" s="38"/>
      <c r="E6" s="38"/>
    </row>
    <row r="7" spans="2:5" s="37" customFormat="1">
      <c r="B7" s="33"/>
      <c r="C7" s="33" t="s">
        <v>0</v>
      </c>
      <c r="D7" s="34" t="s">
        <v>1</v>
      </c>
      <c r="E7" s="33" t="s">
        <v>2</v>
      </c>
    </row>
    <row r="8" spans="2:5">
      <c r="B8" s="35" t="s">
        <v>3</v>
      </c>
      <c r="C8" s="75">
        <v>0.49990000000000001</v>
      </c>
      <c r="D8" s="76">
        <v>5.0900000000000001E-2</v>
      </c>
      <c r="E8" s="126">
        <f>ROUND(C8*D8,4)</f>
        <v>2.5399999999999999E-2</v>
      </c>
    </row>
    <row r="9" spans="2:5">
      <c r="B9" s="35" t="s">
        <v>4</v>
      </c>
      <c r="C9" s="75">
        <v>1E-4</v>
      </c>
      <c r="D9" s="76">
        <v>6.7500000000000004E-2</v>
      </c>
      <c r="E9" s="126">
        <f t="shared" ref="E9:E10" si="0">ROUND(C9*D9,4)</f>
        <v>0</v>
      </c>
    </row>
    <row r="10" spans="2:5">
      <c r="B10" s="36" t="s">
        <v>5</v>
      </c>
      <c r="C10" s="77">
        <v>0.5</v>
      </c>
      <c r="D10" s="78">
        <v>9.5000000000000001E-2</v>
      </c>
      <c r="E10" s="126">
        <f t="shared" si="0"/>
        <v>4.7500000000000001E-2</v>
      </c>
    </row>
    <row r="11" spans="2:5">
      <c r="E11" s="127">
        <f>SUM(E8:E10)</f>
        <v>7.2899999999999993E-2</v>
      </c>
    </row>
    <row r="16" spans="2:5">
      <c r="B16" s="23" t="s">
        <v>81</v>
      </c>
      <c r="C16" s="39"/>
    </row>
    <row r="17" spans="2:6">
      <c r="B17" s="18" t="s">
        <v>62</v>
      </c>
      <c r="D17" s="29">
        <v>1</v>
      </c>
    </row>
    <row r="18" spans="2:6">
      <c r="D18" s="29"/>
    </row>
    <row r="19" spans="2:6">
      <c r="B19" s="18" t="s">
        <v>75</v>
      </c>
      <c r="D19" s="29"/>
    </row>
    <row r="20" spans="2:6">
      <c r="B20" s="18" t="s">
        <v>76</v>
      </c>
      <c r="D20" s="79">
        <v>5.5958046338404543E-3</v>
      </c>
      <c r="F20" s="44"/>
    </row>
    <row r="21" spans="2:6">
      <c r="B21" s="18" t="s">
        <v>74</v>
      </c>
      <c r="D21" s="79">
        <v>4.0000000000000001E-3</v>
      </c>
    </row>
    <row r="22" spans="2:6">
      <c r="B22" s="18" t="s">
        <v>98</v>
      </c>
      <c r="D22" s="79">
        <v>3.8733999999999998E-2</v>
      </c>
    </row>
    <row r="23" spans="2:6">
      <c r="B23" s="18" t="s">
        <v>77</v>
      </c>
      <c r="D23" s="79">
        <v>0</v>
      </c>
    </row>
    <row r="24" spans="2:6">
      <c r="B24" s="18" t="s">
        <v>78</v>
      </c>
      <c r="D24" s="78">
        <v>0</v>
      </c>
    </row>
    <row r="25" spans="2:6">
      <c r="D25" s="29"/>
    </row>
    <row r="26" spans="2:6">
      <c r="B26" s="18" t="s">
        <v>79</v>
      </c>
      <c r="D26" s="40">
        <f>D17-SUM(D19:D24)</f>
        <v>0.95167019536615949</v>
      </c>
    </row>
    <row r="27" spans="2:6">
      <c r="D27" s="29"/>
    </row>
    <row r="28" spans="2:6">
      <c r="B28" s="18" t="s">
        <v>82</v>
      </c>
      <c r="D28" s="30">
        <v>0</v>
      </c>
    </row>
    <row r="29" spans="2:6">
      <c r="D29" s="29"/>
    </row>
    <row r="30" spans="2:6">
      <c r="B30" s="18" t="s">
        <v>79</v>
      </c>
      <c r="D30" s="40">
        <f>D26-D28</f>
        <v>0.95167019536615949</v>
      </c>
    </row>
    <row r="31" spans="2:6">
      <c r="D31" s="29"/>
    </row>
    <row r="32" spans="2:6">
      <c r="B32" s="18" t="s">
        <v>100</v>
      </c>
      <c r="D32" s="30">
        <f>D30*0.21</f>
        <v>0.19985074102689349</v>
      </c>
    </row>
    <row r="33" spans="2:6">
      <c r="D33" s="41"/>
    </row>
    <row r="34" spans="2:6" ht="13.5" thickBot="1">
      <c r="B34" s="18" t="s">
        <v>80</v>
      </c>
      <c r="D34" s="42">
        <f>ROUND(D30-D32,5)</f>
        <v>0.75182000000000004</v>
      </c>
    </row>
    <row r="35" spans="2:6" ht="13.5" thickTop="1">
      <c r="D35" s="43"/>
    </row>
    <row r="37" spans="2:6" s="233" customFormat="1">
      <c r="B37" s="233" t="s">
        <v>156</v>
      </c>
      <c r="F37" s="234">
        <v>3.5866000000000002E-2</v>
      </c>
    </row>
    <row r="38" spans="2:6" s="233" customFormat="1">
      <c r="B38" s="235"/>
      <c r="F38" s="236"/>
    </row>
    <row r="39" spans="2:6" s="233" customFormat="1">
      <c r="B39" s="237" t="s">
        <v>157</v>
      </c>
      <c r="F39" s="234">
        <v>0.245866</v>
      </c>
    </row>
    <row r="40" spans="2:6" s="233" customFormat="1" ht="13.5" thickBot="1"/>
    <row r="41" spans="2:6" s="233" customFormat="1" ht="13.5" thickBot="1">
      <c r="B41" s="238" t="s">
        <v>158</v>
      </c>
      <c r="C41" s="239"/>
      <c r="D41" s="239"/>
      <c r="E41" s="239"/>
      <c r="F41" s="240">
        <f>ROUND(F37/F39,8)</f>
        <v>0.14587621000000001</v>
      </c>
    </row>
    <row r="42" spans="2:6" s="233" customFormat="1"/>
    <row r="43" spans="2:6" s="233" customFormat="1"/>
    <row r="44" spans="2:6" s="233" customFormat="1"/>
  </sheetData>
  <phoneticPr fontId="5" type="noConversion"/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P91"/>
  <sheetViews>
    <sheetView workbookViewId="0">
      <selection activeCell="F16" sqref="F16"/>
    </sheetView>
  </sheetViews>
  <sheetFormatPr defaultColWidth="9.140625" defaultRowHeight="12.75"/>
  <cols>
    <col min="1" max="1" width="40" style="18" customWidth="1"/>
    <col min="2" max="2" width="15.7109375" style="18" customWidth="1"/>
    <col min="3" max="3" width="0.7109375" style="18" customWidth="1"/>
    <col min="4" max="4" width="15.7109375" style="18" customWidth="1"/>
    <col min="5" max="5" width="0.7109375" style="18" customWidth="1"/>
    <col min="6" max="6" width="15.7109375" style="18" customWidth="1"/>
    <col min="7" max="7" width="0.7109375" style="18" customWidth="1"/>
    <col min="8" max="8" width="15.7109375" style="18" customWidth="1"/>
    <col min="9" max="9" width="0.7109375" style="18" customWidth="1"/>
    <col min="10" max="10" width="18.42578125" style="18" customWidth="1"/>
    <col min="11" max="11" width="0.7109375" style="18" customWidth="1"/>
    <col min="12" max="12" width="15.7109375" style="18" customWidth="1"/>
    <col min="13" max="13" width="0.7109375" style="18" customWidth="1"/>
    <col min="14" max="14" width="18.85546875" style="18" customWidth="1"/>
    <col min="15" max="15" width="9.140625" style="18"/>
    <col min="16" max="16" width="24.42578125" style="18" customWidth="1"/>
    <col min="17" max="16384" width="9.140625" style="18"/>
  </cols>
  <sheetData>
    <row r="1" spans="1:16">
      <c r="A1" s="5" t="s">
        <v>6</v>
      </c>
    </row>
    <row r="2" spans="1:16">
      <c r="A2" s="1" t="s">
        <v>204</v>
      </c>
    </row>
    <row r="3" spans="1:16">
      <c r="A3" s="1" t="s">
        <v>212</v>
      </c>
    </row>
    <row r="4" spans="1:16">
      <c r="A4" s="1" t="s">
        <v>116</v>
      </c>
    </row>
    <row r="5" spans="1:16">
      <c r="A5" s="1"/>
      <c r="B5" s="32"/>
      <c r="C5" s="129"/>
      <c r="D5" s="32"/>
      <c r="E5" s="129"/>
      <c r="F5" s="32"/>
      <c r="G5" s="129"/>
      <c r="H5" s="32"/>
      <c r="I5" s="129"/>
      <c r="J5" s="32"/>
      <c r="K5" s="129"/>
      <c r="L5" s="32"/>
      <c r="M5" s="129"/>
      <c r="N5" s="32"/>
    </row>
    <row r="6" spans="1:16">
      <c r="A6" s="1"/>
      <c r="B6" s="37"/>
      <c r="C6" s="38"/>
      <c r="D6" s="38"/>
      <c r="F6" s="38"/>
      <c r="H6" s="38"/>
      <c r="J6" s="130"/>
      <c r="L6" s="130"/>
      <c r="N6" s="130"/>
    </row>
    <row r="7" spans="1:16" ht="43.5" customHeight="1">
      <c r="B7" s="227" t="s">
        <v>202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6">
      <c r="A8" s="10" t="s">
        <v>9</v>
      </c>
      <c r="B8" s="8"/>
      <c r="C8" s="8"/>
      <c r="D8" s="8"/>
      <c r="F8" s="8"/>
      <c r="H8" s="8"/>
      <c r="J8" s="8"/>
      <c r="L8" s="8"/>
      <c r="N8" s="8"/>
    </row>
    <row r="9" spans="1:16">
      <c r="A9" s="10" t="s">
        <v>10</v>
      </c>
      <c r="B9" s="12">
        <v>427611959.41415614</v>
      </c>
      <c r="C9" s="8"/>
      <c r="D9" s="8"/>
      <c r="F9" s="8"/>
      <c r="H9" s="8"/>
      <c r="J9" s="8"/>
      <c r="K9" s="131"/>
      <c r="L9" s="8"/>
      <c r="M9" s="131"/>
      <c r="N9" s="8"/>
      <c r="P9" s="89"/>
    </row>
    <row r="10" spans="1:16">
      <c r="A10" s="10" t="s">
        <v>11</v>
      </c>
      <c r="B10" s="12">
        <v>0</v>
      </c>
      <c r="C10" s="8"/>
      <c r="D10" s="8"/>
      <c r="F10" s="8"/>
      <c r="H10" s="8"/>
      <c r="J10" s="8"/>
      <c r="K10" s="131"/>
      <c r="L10" s="8"/>
      <c r="M10" s="131"/>
      <c r="N10" s="8"/>
      <c r="P10" s="89"/>
    </row>
    <row r="11" spans="1:16">
      <c r="A11" s="10" t="s">
        <v>12</v>
      </c>
      <c r="B11" s="12">
        <v>10432796.802833917</v>
      </c>
      <c r="C11" s="8"/>
      <c r="D11" s="8"/>
      <c r="F11" s="8"/>
      <c r="H11" s="8"/>
      <c r="J11" s="8"/>
      <c r="K11" s="131"/>
      <c r="L11" s="8"/>
      <c r="M11" s="131"/>
      <c r="N11" s="8"/>
      <c r="P11" s="89"/>
    </row>
    <row r="12" spans="1:16">
      <c r="A12" s="10" t="s">
        <v>13</v>
      </c>
      <c r="B12" s="12">
        <v>20539807.82477656</v>
      </c>
      <c r="C12" s="8"/>
      <c r="D12" s="8"/>
      <c r="F12" s="8"/>
      <c r="H12" s="8"/>
      <c r="J12" s="8"/>
      <c r="K12" s="131"/>
      <c r="L12" s="8"/>
      <c r="M12" s="131"/>
      <c r="N12" s="8"/>
      <c r="P12" s="89"/>
    </row>
    <row r="13" spans="1:16" ht="13.5" thickBot="1">
      <c r="A13" s="10" t="s">
        <v>14</v>
      </c>
      <c r="B13" s="9">
        <f>SUM(B9:B12)</f>
        <v>458584564.04176664</v>
      </c>
      <c r="C13" s="8"/>
      <c r="D13" s="8"/>
      <c r="F13" s="8"/>
      <c r="H13" s="8"/>
      <c r="J13" s="8"/>
      <c r="K13" s="131"/>
      <c r="L13" s="8"/>
      <c r="M13" s="131"/>
      <c r="N13" s="8"/>
      <c r="P13" s="89"/>
    </row>
    <row r="14" spans="1:16" ht="13.5" thickTop="1">
      <c r="A14" s="10"/>
      <c r="B14" s="8"/>
      <c r="C14" s="8"/>
      <c r="D14" s="8"/>
      <c r="F14" s="8"/>
      <c r="H14" s="8"/>
      <c r="J14" s="8"/>
      <c r="K14" s="131"/>
      <c r="L14" s="8"/>
      <c r="M14" s="131"/>
      <c r="N14" s="8"/>
      <c r="P14" s="89"/>
    </row>
    <row r="15" spans="1:16">
      <c r="A15" s="10" t="s">
        <v>15</v>
      </c>
      <c r="B15" s="8"/>
      <c r="C15" s="8"/>
      <c r="D15" s="8"/>
      <c r="F15" s="8"/>
      <c r="H15" s="8"/>
      <c r="J15" s="8"/>
      <c r="K15" s="131"/>
      <c r="L15" s="8"/>
      <c r="M15" s="131"/>
      <c r="N15" s="8"/>
      <c r="P15" s="89"/>
    </row>
    <row r="16" spans="1:16">
      <c r="A16" s="10" t="s">
        <v>16</v>
      </c>
      <c r="B16" s="12">
        <v>36040878.26806438</v>
      </c>
      <c r="C16" s="8"/>
      <c r="D16" s="8"/>
      <c r="F16" s="8"/>
      <c r="H16" s="8"/>
      <c r="J16" s="8"/>
      <c r="K16" s="131"/>
      <c r="L16" s="8"/>
      <c r="M16" s="131"/>
      <c r="N16" s="8"/>
      <c r="P16" s="89"/>
    </row>
    <row r="17" spans="1:16">
      <c r="A17" s="10" t="s">
        <v>17</v>
      </c>
      <c r="B17" s="12">
        <v>0</v>
      </c>
      <c r="C17" s="8"/>
      <c r="D17" s="8"/>
      <c r="F17" s="8"/>
      <c r="H17" s="8"/>
      <c r="J17" s="8"/>
      <c r="K17" s="131"/>
      <c r="L17" s="8"/>
      <c r="M17" s="131"/>
      <c r="N17" s="8"/>
      <c r="P17" s="89"/>
    </row>
    <row r="18" spans="1:16">
      <c r="A18" s="10" t="s">
        <v>18</v>
      </c>
      <c r="B18" s="12">
        <v>3472551.0223473557</v>
      </c>
      <c r="C18" s="8"/>
      <c r="D18" s="8"/>
      <c r="F18" s="8"/>
      <c r="H18" s="8"/>
      <c r="J18" s="8"/>
      <c r="K18" s="131"/>
      <c r="L18" s="8"/>
      <c r="M18" s="131"/>
      <c r="N18" s="8"/>
      <c r="P18" s="89"/>
    </row>
    <row r="19" spans="1:16">
      <c r="A19" s="10" t="s">
        <v>19</v>
      </c>
      <c r="B19" s="12">
        <v>167975725.82686368</v>
      </c>
      <c r="C19" s="8"/>
      <c r="D19" s="8"/>
      <c r="F19" s="8"/>
      <c r="H19" s="8"/>
      <c r="J19" s="8"/>
      <c r="K19" s="131"/>
      <c r="L19" s="8"/>
      <c r="M19" s="131"/>
      <c r="N19" s="8"/>
      <c r="P19" s="89"/>
    </row>
    <row r="20" spans="1:16">
      <c r="A20" s="10" t="s">
        <v>20</v>
      </c>
      <c r="B20" s="12">
        <v>21957895.183483701</v>
      </c>
      <c r="C20" s="8"/>
      <c r="D20" s="8"/>
      <c r="F20" s="8"/>
      <c r="H20" s="8"/>
      <c r="J20" s="8"/>
      <c r="K20" s="131"/>
      <c r="L20" s="8"/>
      <c r="M20" s="131"/>
      <c r="N20" s="8"/>
      <c r="P20" s="89"/>
    </row>
    <row r="21" spans="1:16">
      <c r="A21" s="10" t="s">
        <v>21</v>
      </c>
      <c r="B21" s="12">
        <v>18772607.260110188</v>
      </c>
      <c r="C21" s="8"/>
      <c r="D21" s="8"/>
      <c r="F21" s="8"/>
      <c r="H21" s="8"/>
      <c r="J21" s="8"/>
      <c r="K21" s="131"/>
      <c r="L21" s="8"/>
      <c r="M21" s="131"/>
      <c r="N21" s="8"/>
      <c r="P21" s="89"/>
    </row>
    <row r="22" spans="1:16">
      <c r="A22" s="10" t="s">
        <v>22</v>
      </c>
      <c r="B22" s="12">
        <v>6918553.2200052654</v>
      </c>
      <c r="C22" s="8"/>
      <c r="D22" s="8"/>
      <c r="F22" s="8"/>
      <c r="H22" s="8"/>
      <c r="J22" s="8"/>
      <c r="K22" s="131"/>
      <c r="L22" s="8"/>
      <c r="M22" s="131"/>
      <c r="N22" s="8"/>
      <c r="P22" s="89"/>
    </row>
    <row r="23" spans="1:16">
      <c r="A23" s="10" t="s">
        <v>23</v>
      </c>
      <c r="B23" s="12">
        <v>715496.48321619944</v>
      </c>
      <c r="C23" s="8"/>
      <c r="D23" s="8"/>
      <c r="F23" s="8"/>
      <c r="H23" s="8"/>
      <c r="J23" s="8"/>
      <c r="K23" s="131"/>
      <c r="L23" s="8"/>
      <c r="M23" s="131"/>
      <c r="N23" s="8"/>
      <c r="P23" s="89"/>
    </row>
    <row r="24" spans="1:16">
      <c r="A24" s="10" t="s">
        <v>24</v>
      </c>
      <c r="B24" s="12">
        <v>0</v>
      </c>
      <c r="C24" s="8"/>
      <c r="D24" s="8"/>
      <c r="F24" s="8"/>
      <c r="H24" s="8"/>
      <c r="J24" s="8"/>
      <c r="K24" s="131"/>
      <c r="L24" s="8"/>
      <c r="M24" s="131"/>
      <c r="N24" s="8"/>
      <c r="P24" s="89"/>
    </row>
    <row r="25" spans="1:16">
      <c r="A25" s="10" t="s">
        <v>25</v>
      </c>
      <c r="B25" s="12">
        <v>20712829.679180536</v>
      </c>
      <c r="C25" s="8"/>
      <c r="D25" s="8"/>
      <c r="F25" s="8"/>
      <c r="H25" s="8"/>
      <c r="J25" s="8"/>
      <c r="K25" s="131"/>
      <c r="L25" s="8"/>
      <c r="M25" s="131"/>
      <c r="N25" s="8"/>
      <c r="P25" s="89"/>
    </row>
    <row r="26" spans="1:16">
      <c r="A26" s="10" t="s">
        <v>26</v>
      </c>
      <c r="B26" s="7">
        <f>SUM(B16:B25)</f>
        <v>276566536.94327134</v>
      </c>
      <c r="C26" s="8"/>
      <c r="D26" s="8"/>
      <c r="F26" s="8"/>
      <c r="H26" s="8"/>
      <c r="J26" s="8"/>
      <c r="K26" s="131"/>
      <c r="L26" s="8"/>
      <c r="M26" s="131"/>
      <c r="N26" s="8"/>
      <c r="P26" s="89"/>
    </row>
    <row r="27" spans="1:16">
      <c r="A27" s="10" t="s">
        <v>27</v>
      </c>
      <c r="B27" s="12">
        <v>60529452.290540181</v>
      </c>
      <c r="C27" s="8"/>
      <c r="D27" s="12"/>
      <c r="F27" s="8"/>
      <c r="H27" s="8"/>
      <c r="J27" s="8"/>
      <c r="K27" s="131"/>
      <c r="L27" s="8"/>
      <c r="M27" s="131"/>
      <c r="N27" s="8"/>
      <c r="P27" s="89"/>
    </row>
    <row r="28" spans="1:16">
      <c r="A28" s="10" t="s">
        <v>28</v>
      </c>
      <c r="B28" s="12">
        <v>5126804.1635362301</v>
      </c>
      <c r="C28" s="8"/>
      <c r="D28" s="12"/>
      <c r="F28" s="8"/>
      <c r="H28" s="12"/>
      <c r="J28" s="8"/>
      <c r="K28" s="131"/>
      <c r="L28" s="8"/>
      <c r="M28" s="131"/>
      <c r="N28" s="8"/>
      <c r="P28" s="89"/>
    </row>
    <row r="29" spans="1:16">
      <c r="A29" s="10" t="s">
        <v>29</v>
      </c>
      <c r="B29" s="12">
        <v>31686649.522405278</v>
      </c>
      <c r="C29" s="8"/>
      <c r="D29" s="12"/>
      <c r="F29" s="8"/>
      <c r="H29" s="12"/>
      <c r="J29" s="8"/>
      <c r="K29" s="131"/>
      <c r="L29" s="8"/>
      <c r="M29" s="131"/>
      <c r="N29" s="8"/>
      <c r="P29" s="89"/>
    </row>
    <row r="30" spans="1:16">
      <c r="A30" s="10" t="s">
        <v>30</v>
      </c>
      <c r="B30" s="12">
        <v>-13302763.749685008</v>
      </c>
      <c r="C30" s="8"/>
      <c r="D30" s="12"/>
      <c r="F30" s="12"/>
      <c r="H30" s="12"/>
      <c r="J30" s="12"/>
      <c r="K30" s="131"/>
      <c r="L30" s="12"/>
      <c r="M30" s="12"/>
      <c r="N30" s="12"/>
      <c r="P30" s="89"/>
    </row>
    <row r="31" spans="1:16">
      <c r="A31" s="10" t="s">
        <v>31</v>
      </c>
      <c r="B31" s="12">
        <v>0</v>
      </c>
      <c r="C31" s="8"/>
      <c r="D31" s="12"/>
      <c r="F31" s="8"/>
      <c r="H31" s="12"/>
      <c r="J31" s="8"/>
      <c r="K31" s="131"/>
      <c r="L31" s="8"/>
      <c r="M31" s="131"/>
      <c r="N31" s="8"/>
      <c r="P31" s="89"/>
    </row>
    <row r="32" spans="1:16">
      <c r="A32" s="10" t="s">
        <v>32</v>
      </c>
      <c r="B32" s="12">
        <v>469329.18936915556</v>
      </c>
      <c r="C32" s="8"/>
      <c r="D32" s="12"/>
      <c r="F32" s="8"/>
      <c r="H32" s="12"/>
      <c r="J32" s="8"/>
      <c r="K32" s="131"/>
      <c r="L32" s="8"/>
      <c r="M32" s="131"/>
      <c r="N32" s="8"/>
      <c r="P32" s="89"/>
    </row>
    <row r="33" spans="1:16">
      <c r="A33" s="10" t="s">
        <v>33</v>
      </c>
      <c r="B33" s="12">
        <v>0</v>
      </c>
      <c r="C33" s="8"/>
      <c r="D33" s="12"/>
      <c r="F33" s="8"/>
      <c r="H33" s="12"/>
      <c r="J33" s="8"/>
      <c r="K33" s="131"/>
      <c r="L33" s="8"/>
      <c r="M33" s="131"/>
      <c r="N33" s="8"/>
      <c r="P33" s="89"/>
    </row>
    <row r="34" spans="1:16">
      <c r="A34" s="10" t="s">
        <v>34</v>
      </c>
      <c r="B34" s="12">
        <v>-98259.164157068604</v>
      </c>
      <c r="C34" s="8"/>
      <c r="D34" s="12"/>
      <c r="F34" s="8"/>
      <c r="H34" s="8"/>
      <c r="J34" s="8"/>
      <c r="K34" s="131"/>
      <c r="L34" s="8"/>
      <c r="M34" s="131"/>
      <c r="N34" s="8"/>
      <c r="P34" s="89"/>
    </row>
    <row r="35" spans="1:16">
      <c r="A35" s="10" t="s">
        <v>35</v>
      </c>
      <c r="B35" s="7">
        <f>SUM(B26:B34)</f>
        <v>360977749.19528008</v>
      </c>
      <c r="C35" s="8"/>
      <c r="D35" s="12"/>
      <c r="F35" s="8"/>
      <c r="H35" s="8"/>
      <c r="J35" s="8"/>
      <c r="K35" s="131"/>
      <c r="L35" s="8"/>
      <c r="M35" s="131"/>
      <c r="N35" s="8"/>
      <c r="P35" s="89"/>
    </row>
    <row r="36" spans="1:16">
      <c r="A36" s="10"/>
      <c r="B36" s="8"/>
      <c r="C36" s="8"/>
      <c r="D36" s="12"/>
      <c r="F36" s="8"/>
      <c r="H36" s="8"/>
      <c r="J36" s="8"/>
      <c r="K36" s="131"/>
      <c r="L36" s="8"/>
      <c r="M36" s="131"/>
      <c r="N36" s="8"/>
      <c r="P36" s="89"/>
    </row>
    <row r="37" spans="1:16" ht="13.5" thickBot="1">
      <c r="A37" s="10" t="s">
        <v>36</v>
      </c>
      <c r="B37" s="9">
        <f>B13-B35</f>
        <v>97606814.846486568</v>
      </c>
      <c r="C37" s="8"/>
      <c r="D37" s="12"/>
      <c r="F37" s="8"/>
      <c r="H37" s="8"/>
      <c r="J37" s="8"/>
      <c r="K37" s="131"/>
      <c r="L37" s="8"/>
      <c r="M37" s="131"/>
      <c r="N37" s="8"/>
      <c r="P37" s="89"/>
    </row>
    <row r="38" spans="1:16" ht="13.5" thickTop="1">
      <c r="A38" s="10"/>
      <c r="B38" s="8"/>
      <c r="C38" s="8"/>
      <c r="D38" s="12"/>
      <c r="F38" s="8"/>
      <c r="H38" s="8"/>
      <c r="J38" s="8"/>
      <c r="K38" s="131"/>
      <c r="L38" s="8"/>
      <c r="M38" s="131"/>
      <c r="N38" s="8"/>
      <c r="P38" s="89"/>
    </row>
    <row r="39" spans="1:16">
      <c r="A39" s="10" t="s">
        <v>37</v>
      </c>
      <c r="B39" s="8"/>
      <c r="C39" s="8"/>
      <c r="D39" s="8"/>
      <c r="F39" s="8"/>
      <c r="H39" s="8"/>
      <c r="J39" s="8"/>
      <c r="K39" s="131"/>
      <c r="L39" s="8"/>
      <c r="M39" s="131"/>
      <c r="N39" s="8"/>
      <c r="P39" s="89"/>
    </row>
    <row r="40" spans="1:16">
      <c r="A40" s="10" t="s">
        <v>38</v>
      </c>
      <c r="B40" s="12">
        <v>2510998783.473959</v>
      </c>
      <c r="C40" s="8"/>
      <c r="D40" s="8"/>
      <c r="F40" s="8"/>
      <c r="H40" s="8"/>
      <c r="J40" s="8"/>
      <c r="K40" s="131"/>
      <c r="L40" s="8"/>
      <c r="M40" s="131"/>
      <c r="N40" s="8"/>
      <c r="P40" s="89"/>
    </row>
    <row r="41" spans="1:16">
      <c r="A41" s="10" t="s">
        <v>39</v>
      </c>
      <c r="B41" s="12">
        <v>467184.71621561563</v>
      </c>
      <c r="C41" s="8"/>
      <c r="D41" s="8"/>
      <c r="F41" s="8"/>
      <c r="H41" s="8"/>
      <c r="J41" s="8"/>
      <c r="K41" s="131"/>
      <c r="L41" s="8"/>
      <c r="M41" s="131"/>
      <c r="N41" s="8"/>
      <c r="P41" s="89"/>
    </row>
    <row r="42" spans="1:16">
      <c r="A42" s="10" t="s">
        <v>40</v>
      </c>
      <c r="B42" s="12">
        <v>-392954.01815330243</v>
      </c>
      <c r="C42" s="8"/>
      <c r="D42" s="8"/>
      <c r="F42" s="8"/>
      <c r="H42" s="8"/>
      <c r="J42" s="8"/>
      <c r="K42" s="131"/>
      <c r="L42" s="8"/>
      <c r="M42" s="131"/>
      <c r="N42" s="8"/>
      <c r="P42" s="89"/>
    </row>
    <row r="43" spans="1:16">
      <c r="A43" s="10" t="s">
        <v>41</v>
      </c>
      <c r="B43" s="12">
        <v>115844.19848648913</v>
      </c>
      <c r="C43" s="8"/>
      <c r="D43" s="8"/>
      <c r="F43" s="8"/>
      <c r="H43" s="8"/>
      <c r="J43" s="8"/>
      <c r="K43" s="131"/>
      <c r="L43" s="8"/>
      <c r="M43" s="131"/>
      <c r="N43" s="8"/>
      <c r="P43" s="89"/>
    </row>
    <row r="44" spans="1:16">
      <c r="A44" s="10" t="s">
        <v>42</v>
      </c>
      <c r="B44" s="12">
        <v>0</v>
      </c>
      <c r="C44" s="8"/>
      <c r="D44" s="8"/>
      <c r="F44" s="8"/>
      <c r="H44" s="8"/>
      <c r="J44" s="8"/>
      <c r="K44" s="131"/>
      <c r="L44" s="8"/>
      <c r="M44" s="131"/>
      <c r="N44" s="8"/>
      <c r="P44" s="89"/>
    </row>
    <row r="45" spans="1:16">
      <c r="A45" s="10" t="s">
        <v>43</v>
      </c>
      <c r="B45" s="12">
        <v>4.6566128730773926E-9</v>
      </c>
      <c r="C45" s="8"/>
      <c r="D45" s="8"/>
      <c r="F45" s="8"/>
      <c r="H45" s="8"/>
      <c r="J45" s="8"/>
      <c r="K45" s="131"/>
      <c r="L45" s="8"/>
      <c r="M45" s="131"/>
      <c r="N45" s="8"/>
      <c r="P45" s="89"/>
    </row>
    <row r="46" spans="1:16">
      <c r="A46" s="10" t="s">
        <v>44</v>
      </c>
      <c r="B46" s="12">
        <v>0</v>
      </c>
      <c r="C46" s="8"/>
      <c r="D46" s="8"/>
      <c r="F46" s="8"/>
      <c r="H46" s="8"/>
      <c r="J46" s="8"/>
      <c r="K46" s="131"/>
      <c r="L46" s="8"/>
      <c r="M46" s="131"/>
      <c r="N46" s="8"/>
      <c r="P46" s="89"/>
    </row>
    <row r="47" spans="1:16">
      <c r="A47" s="10" t="s">
        <v>45</v>
      </c>
      <c r="B47" s="12">
        <v>8.6884945631027222E-5</v>
      </c>
      <c r="C47" s="8"/>
      <c r="D47" s="8"/>
      <c r="F47" s="8"/>
      <c r="H47" s="8"/>
      <c r="J47" s="8"/>
      <c r="K47" s="131"/>
      <c r="L47" s="8"/>
      <c r="M47" s="131"/>
      <c r="N47" s="8"/>
      <c r="P47" s="89"/>
    </row>
    <row r="48" spans="1:16">
      <c r="A48" s="10" t="s">
        <v>46</v>
      </c>
      <c r="B48" s="12">
        <v>29873668.417190563</v>
      </c>
      <c r="C48" s="8"/>
      <c r="D48" s="8"/>
      <c r="F48" s="8"/>
      <c r="H48" s="8"/>
      <c r="J48" s="8"/>
      <c r="K48" s="131"/>
      <c r="L48" s="8"/>
      <c r="M48" s="131"/>
      <c r="N48" s="8"/>
      <c r="P48" s="89"/>
    </row>
    <row r="49" spans="1:16">
      <c r="A49" s="10" t="s">
        <v>47</v>
      </c>
      <c r="B49" s="12">
        <v>3311.89</v>
      </c>
      <c r="C49" s="8"/>
      <c r="D49" s="8"/>
      <c r="F49" s="8"/>
      <c r="H49" s="8"/>
      <c r="J49" s="8"/>
      <c r="K49" s="131"/>
      <c r="L49" s="8"/>
      <c r="M49" s="131"/>
      <c r="N49" s="8"/>
      <c r="P49" s="89"/>
    </row>
    <row r="50" spans="1:16">
      <c r="A50" s="10" t="s">
        <v>48</v>
      </c>
      <c r="B50" s="12">
        <v>0</v>
      </c>
      <c r="C50" s="8"/>
      <c r="D50" s="8"/>
      <c r="F50" s="8"/>
      <c r="H50" s="8"/>
      <c r="J50" s="8"/>
      <c r="K50" s="131"/>
      <c r="L50" s="8"/>
      <c r="M50" s="131"/>
      <c r="N50" s="8"/>
      <c r="P50" s="89"/>
    </row>
    <row r="51" spans="1:16" ht="13.5" thickBot="1">
      <c r="A51" s="10" t="s">
        <v>49</v>
      </c>
      <c r="B51" s="9">
        <f>SUM(B40:B50)</f>
        <v>2541065838.6777849</v>
      </c>
      <c r="C51" s="8"/>
      <c r="D51" s="8"/>
      <c r="F51" s="8"/>
      <c r="H51" s="8"/>
      <c r="J51" s="8"/>
      <c r="K51" s="131"/>
      <c r="L51" s="8"/>
      <c r="M51" s="131"/>
      <c r="N51" s="8"/>
      <c r="P51" s="89"/>
    </row>
    <row r="52" spans="1:16" ht="13.5" thickTop="1">
      <c r="A52" s="10"/>
      <c r="B52" s="8"/>
      <c r="C52" s="8"/>
      <c r="D52" s="8"/>
      <c r="F52" s="8"/>
      <c r="H52" s="8"/>
      <c r="J52" s="8"/>
      <c r="K52" s="131"/>
      <c r="L52" s="8"/>
      <c r="M52" s="131"/>
      <c r="N52" s="8"/>
      <c r="P52" s="89"/>
    </row>
    <row r="53" spans="1:16">
      <c r="A53" s="10" t="s">
        <v>50</v>
      </c>
      <c r="B53" s="8"/>
      <c r="C53" s="8"/>
      <c r="D53" s="8"/>
      <c r="F53" s="8"/>
      <c r="H53" s="8"/>
      <c r="J53" s="8"/>
      <c r="K53" s="131"/>
      <c r="L53" s="8"/>
      <c r="M53" s="131"/>
      <c r="N53" s="8"/>
      <c r="P53" s="89"/>
    </row>
    <row r="54" spans="1:16">
      <c r="A54" s="10" t="s">
        <v>51</v>
      </c>
      <c r="B54" s="12">
        <v>-872550488.72990716</v>
      </c>
      <c r="C54" s="8"/>
      <c r="D54" s="8"/>
      <c r="F54" s="8"/>
      <c r="H54" s="8"/>
      <c r="J54" s="8"/>
      <c r="K54" s="131"/>
      <c r="L54" s="8"/>
      <c r="M54" s="131"/>
      <c r="N54" s="8"/>
      <c r="P54" s="89"/>
    </row>
    <row r="55" spans="1:16">
      <c r="A55" s="10" t="s">
        <v>52</v>
      </c>
      <c r="B55" s="12">
        <v>-69122828.710628659</v>
      </c>
      <c r="C55" s="8"/>
      <c r="D55" s="8"/>
      <c r="F55" s="8"/>
      <c r="H55" s="8"/>
      <c r="J55" s="8"/>
      <c r="K55" s="131"/>
      <c r="L55" s="8"/>
      <c r="M55" s="131"/>
      <c r="N55" s="8"/>
      <c r="P55" s="89"/>
    </row>
    <row r="56" spans="1:16">
      <c r="A56" s="10" t="s">
        <v>53</v>
      </c>
      <c r="B56" s="12">
        <v>-181214082.47924936</v>
      </c>
      <c r="C56" s="8"/>
      <c r="D56" s="8"/>
      <c r="F56" s="8"/>
      <c r="H56" s="8"/>
      <c r="J56" s="8"/>
      <c r="K56" s="131"/>
      <c r="L56" s="8"/>
      <c r="M56" s="131"/>
      <c r="N56" s="8"/>
      <c r="P56" s="89"/>
    </row>
    <row r="57" spans="1:16">
      <c r="A57" s="10" t="s">
        <v>54</v>
      </c>
      <c r="B57" s="12">
        <v>-14943.338687945423</v>
      </c>
      <c r="C57" s="8"/>
      <c r="D57" s="8"/>
      <c r="F57" s="8"/>
      <c r="H57" s="8"/>
      <c r="J57" s="8"/>
      <c r="K57" s="131"/>
      <c r="L57" s="8"/>
      <c r="M57" s="131"/>
      <c r="N57" s="8"/>
      <c r="P57" s="89"/>
    </row>
    <row r="58" spans="1:16">
      <c r="A58" s="10" t="s">
        <v>55</v>
      </c>
      <c r="B58" s="12">
        <v>-7825156.6492933892</v>
      </c>
      <c r="C58" s="8"/>
      <c r="D58" s="8"/>
      <c r="F58" s="8"/>
      <c r="H58" s="8"/>
      <c r="J58" s="8"/>
      <c r="K58" s="131"/>
      <c r="L58" s="8"/>
      <c r="M58" s="131"/>
      <c r="N58" s="8"/>
      <c r="P58" s="89"/>
    </row>
    <row r="59" spans="1:16">
      <c r="A59" s="10" t="s">
        <v>56</v>
      </c>
      <c r="B59" s="12">
        <v>-408390.63249999989</v>
      </c>
      <c r="C59" s="8"/>
      <c r="D59" s="8"/>
      <c r="F59" s="8"/>
      <c r="H59" s="8"/>
      <c r="J59" s="8"/>
      <c r="K59" s="131"/>
      <c r="L59" s="8"/>
      <c r="M59" s="131"/>
      <c r="N59" s="8"/>
      <c r="P59" s="89"/>
    </row>
    <row r="60" spans="1:16">
      <c r="A60" s="10" t="s">
        <v>57</v>
      </c>
      <c r="B60" s="12">
        <v>-71015995.165271983</v>
      </c>
      <c r="C60" s="8"/>
      <c r="D60" s="8"/>
      <c r="F60" s="8"/>
      <c r="H60" s="8"/>
      <c r="J60" s="8"/>
      <c r="K60" s="131"/>
      <c r="L60" s="8"/>
      <c r="M60" s="131"/>
      <c r="N60" s="8"/>
      <c r="P60" s="89"/>
    </row>
    <row r="61" spans="1:16">
      <c r="A61" s="10"/>
      <c r="B61" s="8">
        <v>0</v>
      </c>
      <c r="C61" s="8"/>
      <c r="D61" s="8"/>
      <c r="F61" s="8"/>
      <c r="H61" s="8"/>
      <c r="J61" s="8"/>
      <c r="K61" s="131"/>
      <c r="L61" s="8"/>
      <c r="M61" s="131"/>
      <c r="N61" s="8"/>
      <c r="P61" s="89"/>
    </row>
    <row r="62" spans="1:16" ht="13.5" thickBot="1">
      <c r="A62" s="10" t="s">
        <v>58</v>
      </c>
      <c r="B62" s="9">
        <f>SUM(B54:B60)</f>
        <v>-1202151885.7055383</v>
      </c>
      <c r="C62" s="8"/>
      <c r="D62" s="8"/>
      <c r="F62" s="8"/>
      <c r="H62" s="8"/>
      <c r="J62" s="8"/>
      <c r="K62" s="131"/>
      <c r="L62" s="8"/>
      <c r="M62" s="131"/>
      <c r="N62" s="8"/>
      <c r="P62" s="89"/>
    </row>
    <row r="63" spans="1:16" ht="13.5" thickTop="1">
      <c r="A63" s="10"/>
      <c r="B63" s="8"/>
      <c r="C63" s="8"/>
      <c r="D63" s="8"/>
      <c r="F63" s="8"/>
      <c r="H63" s="8"/>
      <c r="J63" s="8"/>
      <c r="K63" s="131"/>
      <c r="L63" s="8"/>
      <c r="M63" s="131"/>
      <c r="N63" s="8"/>
      <c r="P63" s="89"/>
    </row>
    <row r="64" spans="1:16" ht="13.5" thickBot="1">
      <c r="A64" s="10" t="s">
        <v>59</v>
      </c>
      <c r="B64" s="9">
        <f>B51+B62</f>
        <v>1338913952.9722466</v>
      </c>
      <c r="C64" s="8"/>
      <c r="D64" s="8"/>
      <c r="F64" s="8"/>
      <c r="H64" s="8"/>
      <c r="J64" s="8"/>
      <c r="K64" s="131"/>
      <c r="L64" s="8"/>
      <c r="M64" s="131"/>
      <c r="N64" s="8"/>
      <c r="P64" s="89"/>
    </row>
    <row r="65" spans="1:16" ht="13.5" thickTop="1">
      <c r="A65" s="10"/>
      <c r="B65" s="8"/>
      <c r="C65" s="8"/>
      <c r="D65" s="8"/>
      <c r="F65" s="8"/>
      <c r="H65" s="8"/>
      <c r="J65" s="8"/>
      <c r="K65" s="131"/>
      <c r="L65" s="8"/>
      <c r="M65" s="131"/>
      <c r="N65" s="8"/>
      <c r="P65" s="89"/>
    </row>
    <row r="66" spans="1:16">
      <c r="A66" s="10" t="s">
        <v>8</v>
      </c>
      <c r="B66" s="21">
        <f>B37/B64</f>
        <v>7.2899990794636063E-2</v>
      </c>
      <c r="C66" s="21"/>
      <c r="D66" s="21"/>
      <c r="F66" s="21"/>
      <c r="H66" s="21"/>
      <c r="J66" s="21"/>
      <c r="K66" s="132"/>
      <c r="L66" s="21"/>
      <c r="M66" s="132"/>
      <c r="N66" s="21"/>
      <c r="P66" s="89"/>
    </row>
    <row r="67" spans="1:16">
      <c r="A67" s="10" t="s">
        <v>60</v>
      </c>
      <c r="B67" s="21">
        <f>(B66-Weighted_cost_debt-Weighted_cost_pref)/Percent_common</f>
        <v>9.4999981589272128E-2</v>
      </c>
      <c r="C67" s="21"/>
      <c r="D67" s="21"/>
      <c r="F67" s="21"/>
      <c r="H67" s="21"/>
      <c r="J67" s="21"/>
      <c r="K67" s="132"/>
      <c r="L67" s="21"/>
      <c r="M67" s="132"/>
      <c r="N67" s="21"/>
      <c r="P67" s="89"/>
    </row>
    <row r="68" spans="1:16">
      <c r="A68" s="10" t="s">
        <v>7</v>
      </c>
      <c r="B68" s="8">
        <f>IF(ABS(-(F37-(F64*Overall_ROR))/gross_up_factor)&lt;5,0,-(F37-(F64*Overall_ROR))/gross_up_factor)</f>
        <v>0</v>
      </c>
      <c r="C68" s="8"/>
      <c r="D68" s="8"/>
      <c r="F68" s="8"/>
      <c r="H68" s="8"/>
      <c r="J68" s="8"/>
      <c r="K68" s="131"/>
      <c r="L68" s="8"/>
      <c r="M68" s="131"/>
      <c r="N68" s="8"/>
      <c r="P68" s="89"/>
    </row>
    <row r="69" spans="1:16">
      <c r="A69" s="10"/>
      <c r="B69" s="19"/>
      <c r="C69" s="19"/>
      <c r="D69" s="19"/>
      <c r="F69" s="19"/>
      <c r="H69" s="19"/>
      <c r="J69" s="90"/>
      <c r="K69" s="131"/>
      <c r="L69" s="90"/>
      <c r="M69" s="131"/>
      <c r="N69" s="90"/>
      <c r="P69" s="89"/>
    </row>
    <row r="70" spans="1:16">
      <c r="A70" s="10" t="s">
        <v>61</v>
      </c>
      <c r="B70" s="8"/>
      <c r="C70" s="8"/>
      <c r="D70" s="8"/>
      <c r="F70" s="8"/>
      <c r="H70" s="8"/>
      <c r="J70" s="8"/>
      <c r="K70" s="131"/>
      <c r="L70" s="8"/>
      <c r="M70" s="131"/>
      <c r="N70" s="8"/>
      <c r="P70" s="89"/>
    </row>
    <row r="71" spans="1:16">
      <c r="A71" s="10" t="s">
        <v>62</v>
      </c>
      <c r="B71" s="8">
        <f t="shared" ref="B71" si="0">B13-B26-B27-B28-B29-B34</f>
        <v>84773380.286170661</v>
      </c>
      <c r="C71" s="8"/>
      <c r="D71" s="8"/>
      <c r="F71" s="8"/>
      <c r="H71" s="8"/>
      <c r="J71" s="8"/>
      <c r="K71" s="131"/>
      <c r="L71" s="8"/>
      <c r="M71" s="131"/>
      <c r="N71" s="8"/>
      <c r="P71" s="89"/>
    </row>
    <row r="72" spans="1:16">
      <c r="A72" s="10" t="s">
        <v>63</v>
      </c>
      <c r="B72" s="12">
        <v>0</v>
      </c>
      <c r="C72" s="8"/>
      <c r="D72" s="8"/>
      <c r="F72" s="8"/>
      <c r="H72" s="8"/>
      <c r="J72" s="8"/>
      <c r="K72" s="131"/>
      <c r="L72" s="8"/>
      <c r="M72" s="131"/>
      <c r="N72" s="8"/>
      <c r="P72" s="89"/>
    </row>
    <row r="73" spans="1:16">
      <c r="A73" s="10" t="s">
        <v>64</v>
      </c>
      <c r="B73" s="12">
        <v>-3636274.7351071914</v>
      </c>
      <c r="C73" s="8"/>
      <c r="D73" s="8"/>
      <c r="F73" s="8"/>
      <c r="H73" s="8"/>
      <c r="J73" s="8"/>
      <c r="K73" s="131"/>
      <c r="L73" s="8"/>
      <c r="M73" s="131"/>
      <c r="N73" s="8"/>
      <c r="P73" s="89"/>
    </row>
    <row r="74" spans="1:16">
      <c r="A74" s="10" t="s">
        <v>65</v>
      </c>
      <c r="B74" s="12">
        <v>34008414.405495062</v>
      </c>
      <c r="C74" s="8"/>
      <c r="D74" s="8"/>
      <c r="F74" s="8"/>
      <c r="H74" s="8"/>
      <c r="J74" s="8"/>
      <c r="K74" s="131"/>
      <c r="L74" s="8"/>
      <c r="M74" s="131"/>
      <c r="N74" s="8"/>
      <c r="P74" s="89"/>
    </row>
    <row r="75" spans="1:16">
      <c r="A75" s="10" t="s">
        <v>66</v>
      </c>
      <c r="B75" s="12">
        <v>103130266.78578523</v>
      </c>
      <c r="C75" s="8"/>
      <c r="D75" s="8"/>
      <c r="F75" s="8"/>
      <c r="H75" s="8"/>
      <c r="J75" s="8"/>
      <c r="K75" s="131"/>
      <c r="L75" s="8"/>
      <c r="M75" s="131"/>
      <c r="N75" s="8"/>
      <c r="P75" s="89"/>
    </row>
    <row r="76" spans="1:16">
      <c r="A76" s="10" t="s">
        <v>67</v>
      </c>
      <c r="B76" s="80">
        <v>126711402.96265915</v>
      </c>
      <c r="C76" s="8"/>
      <c r="D76" s="8"/>
      <c r="F76" s="8"/>
      <c r="H76" s="8"/>
      <c r="J76" s="8"/>
      <c r="K76" s="131"/>
      <c r="L76" s="8"/>
      <c r="M76" s="131"/>
      <c r="N76" s="8"/>
      <c r="P76" s="89"/>
    </row>
    <row r="77" spans="1:16">
      <c r="A77" s="10" t="s">
        <v>68</v>
      </c>
      <c r="B77" s="8">
        <f t="shared" ref="B77" si="1">B71-B73-B74+B75-B76</f>
        <v>30820104.438908875</v>
      </c>
      <c r="C77" s="8"/>
      <c r="D77" s="8"/>
      <c r="F77" s="8"/>
      <c r="H77" s="8"/>
      <c r="J77" s="8"/>
      <c r="K77" s="131"/>
      <c r="L77" s="8"/>
      <c r="M77" s="131"/>
      <c r="N77" s="8"/>
      <c r="P77" s="89"/>
    </row>
    <row r="78" spans="1:16">
      <c r="A78" s="10"/>
      <c r="B78" s="8"/>
      <c r="C78" s="8"/>
      <c r="D78" s="8"/>
      <c r="F78" s="8"/>
      <c r="H78" s="8"/>
      <c r="J78" s="8"/>
      <c r="K78" s="131"/>
      <c r="L78" s="8"/>
      <c r="M78" s="131"/>
      <c r="N78" s="8"/>
      <c r="P78" s="89"/>
    </row>
    <row r="79" spans="1:16">
      <c r="A79" s="10" t="s">
        <v>69</v>
      </c>
      <c r="B79" s="8">
        <v>0</v>
      </c>
      <c r="C79" s="8"/>
      <c r="D79" s="8"/>
      <c r="F79" s="8"/>
      <c r="H79" s="8"/>
      <c r="J79" s="8"/>
      <c r="K79" s="131"/>
      <c r="L79" s="8"/>
      <c r="M79" s="131"/>
      <c r="N79" s="8"/>
      <c r="P79" s="89"/>
    </row>
    <row r="80" spans="1:16">
      <c r="A80" s="10" t="s">
        <v>70</v>
      </c>
      <c r="B80" s="8">
        <f>B77-B79</f>
        <v>30820104.438908875</v>
      </c>
      <c r="C80" s="8"/>
      <c r="D80" s="8"/>
      <c r="F80" s="8"/>
      <c r="H80" s="8"/>
      <c r="J80" s="8"/>
      <c r="K80" s="131"/>
      <c r="L80" s="8"/>
      <c r="M80" s="131"/>
      <c r="N80" s="8"/>
      <c r="P80" s="89"/>
    </row>
    <row r="81" spans="1:16">
      <c r="A81" s="10"/>
      <c r="B81" s="8"/>
      <c r="C81" s="8"/>
      <c r="D81" s="8"/>
      <c r="F81" s="8"/>
      <c r="H81" s="8"/>
      <c r="J81" s="8"/>
      <c r="K81" s="131"/>
      <c r="L81" s="8"/>
      <c r="M81" s="131"/>
      <c r="N81" s="8"/>
      <c r="P81" s="89"/>
    </row>
    <row r="82" spans="1:16">
      <c r="A82" s="10" t="s">
        <v>72</v>
      </c>
      <c r="B82" s="8">
        <f>B80*0.21</f>
        <v>6472221.9321708633</v>
      </c>
      <c r="C82" s="8"/>
      <c r="D82" s="8"/>
      <c r="F82" s="8"/>
      <c r="H82" s="8"/>
      <c r="J82" s="8"/>
      <c r="K82" s="131"/>
      <c r="L82" s="8"/>
      <c r="M82" s="131"/>
      <c r="N82" s="8"/>
      <c r="P82" s="89"/>
    </row>
    <row r="83" spans="1:16">
      <c r="A83" s="10" t="s">
        <v>105</v>
      </c>
      <c r="B83" s="8">
        <v>-19774985.681855872</v>
      </c>
      <c r="C83" s="8"/>
      <c r="D83" s="8"/>
      <c r="F83" s="8"/>
      <c r="H83" s="8"/>
      <c r="J83" s="8"/>
      <c r="K83" s="131"/>
      <c r="L83" s="8"/>
      <c r="M83" s="131"/>
      <c r="N83" s="8"/>
      <c r="P83" s="89"/>
    </row>
    <row r="84" spans="1:16">
      <c r="A84" s="10" t="s">
        <v>73</v>
      </c>
      <c r="B84" s="12">
        <v>-13302763.749685008</v>
      </c>
      <c r="C84" s="8"/>
      <c r="D84" s="8"/>
      <c r="F84" s="8"/>
      <c r="H84" s="8"/>
      <c r="J84" s="8"/>
      <c r="K84" s="131"/>
      <c r="L84" s="8"/>
      <c r="M84" s="131"/>
      <c r="N84" s="8"/>
      <c r="P84" s="89"/>
    </row>
    <row r="85" spans="1:16">
      <c r="A85" s="10"/>
      <c r="B85" s="8"/>
      <c r="C85" s="8"/>
      <c r="D85" s="8"/>
      <c r="F85" s="8"/>
      <c r="H85" s="8"/>
      <c r="J85" s="8"/>
      <c r="L85" s="8"/>
      <c r="N85" s="8"/>
      <c r="P85" s="89"/>
    </row>
    <row r="86" spans="1:16">
      <c r="A86" s="10"/>
      <c r="B86" s="8"/>
      <c r="C86" s="8"/>
      <c r="D86" s="8"/>
      <c r="F86" s="8"/>
      <c r="H86" s="8"/>
      <c r="J86" s="8"/>
      <c r="L86" s="8"/>
      <c r="N86" s="8"/>
    </row>
    <row r="87" spans="1:16">
      <c r="A87" s="10"/>
      <c r="B87" s="8"/>
      <c r="C87" s="8"/>
      <c r="D87" s="8"/>
      <c r="F87" s="8"/>
      <c r="H87" s="8"/>
      <c r="J87" s="8"/>
      <c r="L87" s="8"/>
      <c r="N87" s="8"/>
    </row>
    <row r="88" spans="1:16">
      <c r="A88" s="10"/>
      <c r="B88" s="8"/>
      <c r="C88" s="8"/>
      <c r="D88" s="8"/>
      <c r="F88" s="8"/>
      <c r="L88" s="8"/>
    </row>
    <row r="89" spans="1:16">
      <c r="A89" s="10"/>
      <c r="B89" s="8"/>
      <c r="C89" s="8"/>
      <c r="D89" s="8"/>
      <c r="F89" s="8"/>
      <c r="H89" s="8"/>
      <c r="J89" s="133"/>
      <c r="L89" s="8"/>
      <c r="N89" s="8"/>
    </row>
    <row r="90" spans="1:16">
      <c r="A90" s="20"/>
      <c r="B90" s="8"/>
      <c r="C90" s="8"/>
      <c r="D90" s="8"/>
      <c r="F90" s="8"/>
      <c r="H90" s="8"/>
      <c r="J90" s="8"/>
      <c r="L90" s="8"/>
      <c r="N90" s="8"/>
    </row>
    <row r="91" spans="1:16">
      <c r="B91" s="6"/>
      <c r="C91" s="10"/>
      <c r="D91" s="10"/>
      <c r="F91" s="10"/>
      <c r="H91" s="10"/>
      <c r="J91" s="10"/>
      <c r="L91" s="10"/>
      <c r="N91" s="10"/>
    </row>
  </sheetData>
  <phoneticPr fontId="5" type="noConversion"/>
  <pageMargins left="0.5" right="0.5" top="0.5" bottom="0.5" header="0.5" footer="0.5"/>
  <pageSetup scale="66" orientation="portrait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E1835-ED5D-40DF-9B05-93923200F5AE}">
  <sheetPr>
    <tabColor theme="2" tint="-0.749992370372631"/>
  </sheetPr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CBDCF-C1B0-4270-9207-37E6F0C0BA23}">
  <sheetPr>
    <tabColor theme="6" tint="0.59999389629810485"/>
    <pageSetUpPr fitToPage="1"/>
  </sheetPr>
  <dimension ref="A1:I49"/>
  <sheetViews>
    <sheetView view="pageBreakPreview" topLeftCell="A11" zoomScaleNormal="100" zoomScaleSheetLayoutView="100" workbookViewId="0">
      <selection activeCell="J33" sqref="J33"/>
    </sheetView>
  </sheetViews>
  <sheetFormatPr defaultColWidth="9.140625" defaultRowHeight="11.25"/>
  <cols>
    <col min="1" max="1" width="4.28515625" style="190" customWidth="1"/>
    <col min="2" max="2" width="11.28515625" style="188" customWidth="1"/>
    <col min="3" max="3" width="50" style="190" customWidth="1"/>
    <col min="4" max="4" width="10.7109375" style="190" customWidth="1"/>
    <col min="5" max="5" width="12" style="190" bestFit="1" customWidth="1"/>
    <col min="6" max="6" width="10.7109375" style="190" customWidth="1"/>
    <col min="7" max="7" width="23" style="190" customWidth="1"/>
    <col min="8" max="8" width="10.42578125" style="190" bestFit="1" customWidth="1"/>
    <col min="9" max="16384" width="9.140625" style="190"/>
  </cols>
  <sheetData>
    <row r="1" spans="1:9" ht="19.5">
      <c r="A1" s="187" t="s">
        <v>213</v>
      </c>
      <c r="C1" s="189"/>
      <c r="D1" s="189"/>
      <c r="E1" s="189"/>
      <c r="F1" s="189"/>
      <c r="G1" s="189"/>
    </row>
    <row r="2" spans="1:9" ht="6" customHeight="1">
      <c r="A2" s="191"/>
    </row>
    <row r="3" spans="1:9" ht="12.75" customHeight="1">
      <c r="A3" s="225" t="s">
        <v>120</v>
      </c>
      <c r="B3" s="225"/>
      <c r="C3" s="225"/>
      <c r="D3" s="225"/>
      <c r="E3" s="225"/>
      <c r="F3" s="225"/>
      <c r="G3" s="225"/>
    </row>
    <row r="4" spans="1:9" ht="12.75" customHeight="1">
      <c r="A4" s="225"/>
      <c r="B4" s="225"/>
      <c r="C4" s="225"/>
      <c r="D4" s="225"/>
      <c r="E4" s="225"/>
      <c r="F4" s="225"/>
      <c r="G4" s="225"/>
    </row>
    <row r="5" spans="1:9" ht="12.75">
      <c r="B5" s="192"/>
    </row>
    <row r="7" spans="1:9">
      <c r="B7" s="193" t="s">
        <v>92</v>
      </c>
      <c r="C7" s="193" t="s">
        <v>93</v>
      </c>
      <c r="D7" s="193" t="s">
        <v>94</v>
      </c>
      <c r="E7" s="193" t="s">
        <v>95</v>
      </c>
      <c r="F7" s="193" t="s">
        <v>96</v>
      </c>
      <c r="G7" s="193" t="s">
        <v>97</v>
      </c>
    </row>
    <row r="8" spans="1:9" s="198" customFormat="1" ht="24.75" customHeight="1">
      <c r="A8" s="194" t="s">
        <v>91</v>
      </c>
      <c r="B8" s="194" t="s">
        <v>109</v>
      </c>
      <c r="C8" s="194" t="s">
        <v>108</v>
      </c>
      <c r="D8" s="195" t="s">
        <v>87</v>
      </c>
      <c r="E8" s="196" t="s">
        <v>88</v>
      </c>
      <c r="F8" s="195" t="s">
        <v>89</v>
      </c>
      <c r="G8" s="197" t="s">
        <v>86</v>
      </c>
      <c r="I8" s="215"/>
    </row>
    <row r="9" spans="1:9">
      <c r="A9" s="212">
        <v>1</v>
      </c>
      <c r="B9" s="212" t="str">
        <f t="array" ref="B9:B21">TRANSPOSE('Rev Req Adj- Coal Tracker RY2'!C8:O8)</f>
        <v>10.1</v>
      </c>
      <c r="C9" s="211" t="str">
        <f t="array" ref="C9:C21">TRANSPOSE('Rev Req Adj- Coal Tracker RY2'!C9:O9)</f>
        <v>Coal Resources O&amp;M</v>
      </c>
      <c r="D9" s="210">
        <f t="array" ref="D9:D21">TRANSPOSE('Rev Req Adj- Coal Tracker RY2'!C40:O40)</f>
        <v>-1382081.2976351536</v>
      </c>
      <c r="E9" s="210">
        <f t="array" ref="E9:E21">TRANSPOSE('Rev Req Adj- Coal Tracker RY2'!C67:O67)</f>
        <v>0</v>
      </c>
      <c r="F9" s="210">
        <f t="shared" ref="F9:F21" si="0">-(D9-(E9*Overall_ROR))/gross_up_factor</f>
        <v>1838314.0879933408</v>
      </c>
      <c r="G9" s="210"/>
      <c r="H9" s="199"/>
      <c r="I9" s="200"/>
    </row>
    <row r="10" spans="1:9">
      <c r="A10" s="212">
        <f t="shared" ref="A10:A15" si="1">A9+1</f>
        <v>2</v>
      </c>
      <c r="B10" s="214" t="str">
        <v>10.4</v>
      </c>
      <c r="C10" s="211" t="str">
        <v>Jim Bridger Mine Rate Base - Year 1</v>
      </c>
      <c r="D10" s="210">
        <v>0</v>
      </c>
      <c r="E10" s="210">
        <v>5338722.5603168681</v>
      </c>
      <c r="F10" s="210">
        <f t="shared" si="0"/>
        <v>517667.62609015405</v>
      </c>
      <c r="G10" s="210"/>
      <c r="I10" s="200"/>
    </row>
    <row r="11" spans="1:9">
      <c r="A11" s="212">
        <f t="shared" si="1"/>
        <v>3</v>
      </c>
      <c r="B11" s="212" t="str">
        <v>10.5</v>
      </c>
      <c r="C11" s="211" t="str">
        <v>Existing Coal Fired Generation Assets - Year 1</v>
      </c>
      <c r="D11" s="213">
        <v>-1146984.6655504657</v>
      </c>
      <c r="E11" s="213">
        <v>-10630932.278690815</v>
      </c>
      <c r="F11" s="210">
        <f t="shared" si="0"/>
        <v>494785.59021295694</v>
      </c>
      <c r="G11" s="210"/>
      <c r="I11" s="200"/>
    </row>
    <row r="12" spans="1:9">
      <c r="A12" s="212">
        <f t="shared" si="1"/>
        <v>4</v>
      </c>
      <c r="B12" s="212" t="str">
        <v>10.6</v>
      </c>
      <c r="C12" s="211" t="str">
        <v>Pro Forma JB Units 3, 4 Additions - 
Year 1</v>
      </c>
      <c r="D12" s="213">
        <v>-25277.037643615313</v>
      </c>
      <c r="E12" s="213">
        <v>2780326.7358191526</v>
      </c>
      <c r="F12" s="210">
        <f t="shared" si="0"/>
        <v>303214.67463599198</v>
      </c>
      <c r="G12" s="210"/>
      <c r="I12" s="200"/>
    </row>
    <row r="13" spans="1:9">
      <c r="A13" s="212">
        <f t="shared" si="1"/>
        <v>5</v>
      </c>
      <c r="B13" s="212" t="str">
        <v>10.8</v>
      </c>
      <c r="C13" s="211" t="str">
        <v>Fly Ash Revenues - Year 1</v>
      </c>
      <c r="D13" s="210">
        <v>1778276.8044081284</v>
      </c>
      <c r="E13" s="210">
        <v>0</v>
      </c>
      <c r="F13" s="210">
        <f t="shared" si="0"/>
        <v>-2365295.9543615868</v>
      </c>
      <c r="G13" s="210"/>
      <c r="H13" s="200"/>
      <c r="I13" s="200"/>
    </row>
    <row r="14" spans="1:9">
      <c r="A14" s="212">
        <f t="shared" si="1"/>
        <v>6</v>
      </c>
      <c r="B14" s="212" t="str">
        <v>6.4</v>
      </c>
      <c r="C14" s="211" t="str">
        <v>Coal Decomm., Other Closure and Reclamation Costs - Year 1</v>
      </c>
      <c r="D14" s="210">
        <v>-4288458.9060298428</v>
      </c>
      <c r="E14" s="210">
        <v>-16284222.220060062</v>
      </c>
      <c r="F14" s="210">
        <f t="shared" si="0"/>
        <v>4125108.5448477888</v>
      </c>
      <c r="G14" s="210"/>
      <c r="H14" s="200"/>
      <c r="I14" s="200"/>
    </row>
    <row r="15" spans="1:9">
      <c r="A15" s="188">
        <f t="shared" si="1"/>
        <v>7</v>
      </c>
      <c r="B15" s="188" t="str">
        <v>13.5</v>
      </c>
      <c r="C15" s="190" t="str">
        <v>Fly Ash Revenues - Year 2</v>
      </c>
      <c r="D15" s="45">
        <v>-732060.14367006929</v>
      </c>
      <c r="E15" s="45">
        <v>0</v>
      </c>
      <c r="F15" s="45">
        <f t="shared" si="0"/>
        <v>973717.30423514836</v>
      </c>
      <c r="G15" s="45"/>
      <c r="H15" s="45"/>
    </row>
    <row r="16" spans="1:9">
      <c r="A16" s="188">
        <v>8</v>
      </c>
      <c r="B16" s="188" t="str">
        <v>14.4_R</v>
      </c>
      <c r="C16" s="190" t="str">
        <v>Coal Decomm., Other Closure and Reclamation Costs - Year 2</v>
      </c>
      <c r="D16" s="66">
        <v>0</v>
      </c>
      <c r="E16" s="66">
        <v>-4288458.4545407239</v>
      </c>
      <c r="F16" s="66">
        <f t="shared" si="0"/>
        <v>-415829.08320611145</v>
      </c>
      <c r="G16" s="45"/>
      <c r="H16" s="45"/>
    </row>
    <row r="17" spans="1:8">
      <c r="A17" s="188">
        <f>A16+1</f>
        <v>9</v>
      </c>
      <c r="B17" s="188" t="str">
        <v>14.5</v>
      </c>
      <c r="C17" s="190" t="str">
        <v>Jim Bridger Mine Rate Base - Year 2</v>
      </c>
      <c r="D17" s="66">
        <v>0</v>
      </c>
      <c r="E17" s="66">
        <v>-883607.65821111342</v>
      </c>
      <c r="F17" s="66">
        <f t="shared" si="0"/>
        <v>-85678.750609973344</v>
      </c>
      <c r="G17" s="45"/>
      <c r="H17" s="45"/>
    </row>
    <row r="18" spans="1:8">
      <c r="A18" s="188">
        <f>A17+1</f>
        <v>10</v>
      </c>
      <c r="B18" s="188" t="str">
        <v>14.6_C</v>
      </c>
      <c r="C18" s="190" t="str">
        <v>Existing Coal Fired Generation Assets - Year 2</v>
      </c>
      <c r="D18" s="66">
        <v>-2499.2570997914668</v>
      </c>
      <c r="E18" s="66">
        <v>-1493611.0159929795</v>
      </c>
      <c r="F18" s="66">
        <f t="shared" si="0"/>
        <v>-141503.26669428416</v>
      </c>
      <c r="G18" s="45"/>
      <c r="H18" s="45"/>
    </row>
    <row r="19" spans="1:8">
      <c r="A19" s="188">
        <f>A18+1</f>
        <v>11</v>
      </c>
      <c r="B19" s="188" t="str">
        <v>14.7_C</v>
      </c>
      <c r="C19" s="190" t="str">
        <v>Pro Forma JB Units 3, 4 Additions - 
Year 2</v>
      </c>
      <c r="D19" s="66">
        <v>-1188.0481289819309</v>
      </c>
      <c r="E19" s="66">
        <v>99850.290731552479</v>
      </c>
      <c r="F19" s="66">
        <f t="shared" si="0"/>
        <v>11262.182867324766</v>
      </c>
      <c r="G19" s="45"/>
      <c r="H19" s="45"/>
    </row>
    <row r="20" spans="1:8">
      <c r="A20" s="188">
        <f>A19+1</f>
        <v>12</v>
      </c>
      <c r="B20" s="188" t="str">
        <v>7.1_C/15.1_C</v>
      </c>
      <c r="C20" s="190" t="str">
        <v>Interest Synchronization</v>
      </c>
      <c r="D20" s="66">
        <v>-133318.84337689562</v>
      </c>
      <c r="E20" s="66">
        <v>0</v>
      </c>
      <c r="F20" s="66">
        <f t="shared" si="0"/>
        <v>177328.14154570989</v>
      </c>
      <c r="G20" s="45"/>
      <c r="H20" s="45"/>
    </row>
    <row r="21" spans="1:8">
      <c r="A21" s="188">
        <f>A20+1</f>
        <v>13</v>
      </c>
      <c r="B21" s="188" t="str">
        <v>7.6_C/15.6_C</v>
      </c>
      <c r="C21" s="190" t="str">
        <v>Remove Deferred State Tax Expense &amp; Balance</v>
      </c>
      <c r="D21" s="135">
        <v>-253582.61647936964</v>
      </c>
      <c r="E21" s="135">
        <v>399939.30567074427</v>
      </c>
      <c r="F21" s="135">
        <f t="shared" si="0"/>
        <v>376071.65526690811</v>
      </c>
      <c r="G21" s="45"/>
      <c r="H21" s="45"/>
    </row>
    <row r="22" spans="1:8">
      <c r="A22" s="188"/>
      <c r="C22" s="201"/>
      <c r="D22" s="67">
        <f>SUM(D9:D20)</f>
        <v>-5933591.3947266871</v>
      </c>
      <c r="E22" s="67">
        <f>SUM(E9:E20)</f>
        <v>-25361932.04062812</v>
      </c>
      <c r="F22" s="67">
        <f>SUM(F9:F21)</f>
        <v>5809162.7528233677</v>
      </c>
      <c r="G22" s="45"/>
    </row>
    <row r="23" spans="1:8">
      <c r="A23" s="188"/>
      <c r="C23" s="201"/>
      <c r="D23" s="67"/>
      <c r="E23" s="67"/>
      <c r="F23" s="67"/>
      <c r="G23" s="45"/>
    </row>
    <row r="24" spans="1:8">
      <c r="A24" s="188"/>
      <c r="C24" s="190" t="s">
        <v>121</v>
      </c>
      <c r="D24" s="67"/>
      <c r="E24" s="67"/>
      <c r="F24" s="136">
        <v>-1735595.4798920334</v>
      </c>
      <c r="G24" s="45"/>
    </row>
    <row r="25" spans="1:8" ht="12" thickBot="1">
      <c r="A25" s="188"/>
      <c r="C25" s="190" t="s">
        <v>182</v>
      </c>
      <c r="D25" s="67"/>
      <c r="E25" s="67"/>
      <c r="F25" s="209">
        <f>SUM(F22:F24)</f>
        <v>4073567.2729313346</v>
      </c>
      <c r="G25" s="45"/>
    </row>
    <row r="26" spans="1:8">
      <c r="A26" s="188"/>
      <c r="D26" s="67"/>
      <c r="E26" s="67"/>
      <c r="F26" s="67"/>
      <c r="G26" s="45"/>
    </row>
    <row r="27" spans="1:8" ht="12" thickBot="1">
      <c r="A27" s="188"/>
      <c r="C27" s="201" t="s">
        <v>181</v>
      </c>
      <c r="D27" s="67"/>
      <c r="E27" s="67"/>
      <c r="F27" s="209">
        <v>370434.70820137579</v>
      </c>
      <c r="G27" s="45"/>
    </row>
    <row r="28" spans="1:8">
      <c r="A28" s="188"/>
      <c r="C28" s="201"/>
      <c r="D28" s="67"/>
      <c r="E28" s="67"/>
      <c r="F28" s="67"/>
      <c r="G28" s="45"/>
    </row>
    <row r="29" spans="1:8">
      <c r="A29" s="188"/>
      <c r="B29" s="191" t="s">
        <v>90</v>
      </c>
      <c r="C29" s="201"/>
      <c r="D29" s="67"/>
      <c r="E29" s="67"/>
      <c r="F29" s="67"/>
      <c r="G29" s="45"/>
    </row>
    <row r="30" spans="1:8">
      <c r="A30" s="188"/>
      <c r="B30" s="191" t="s">
        <v>150</v>
      </c>
    </row>
    <row r="31" spans="1:8">
      <c r="A31" s="188"/>
      <c r="B31" s="191" t="s">
        <v>151</v>
      </c>
    </row>
    <row r="32" spans="1:8">
      <c r="A32" s="188"/>
      <c r="B32" s="191" t="s">
        <v>180</v>
      </c>
    </row>
    <row r="33" spans="1:7">
      <c r="A33" s="188"/>
    </row>
    <row r="34" spans="1:7">
      <c r="A34" s="188"/>
      <c r="F34" s="200">
        <f>F22-'Rev Req Adj- Coal Tracker RY2'!B71</f>
        <v>0</v>
      </c>
      <c r="G34" s="190" t="s">
        <v>118</v>
      </c>
    </row>
    <row r="35" spans="1:7">
      <c r="A35" s="188"/>
    </row>
    <row r="39" spans="1:7">
      <c r="C39" s="202" t="s">
        <v>167</v>
      </c>
      <c r="D39" s="208">
        <v>21065564</v>
      </c>
      <c r="E39" s="190" t="s">
        <v>168</v>
      </c>
    </row>
    <row r="40" spans="1:7">
      <c r="C40" s="202" t="s">
        <v>169</v>
      </c>
      <c r="D40" s="203">
        <v>-6275031.1337689795</v>
      </c>
    </row>
    <row r="41" spans="1:7">
      <c r="C41" s="202" t="s">
        <v>172</v>
      </c>
      <c r="D41" s="200">
        <f>SUM(D39:D40)</f>
        <v>14790532.866231021</v>
      </c>
    </row>
    <row r="42" spans="1:7">
      <c r="C42" s="202" t="s">
        <v>173</v>
      </c>
      <c r="D42" s="203">
        <f>F15</f>
        <v>973717.30423514836</v>
      </c>
    </row>
    <row r="43" spans="1:7" ht="12" thickBot="1">
      <c r="C43" s="202" t="s">
        <v>174</v>
      </c>
      <c r="D43" s="204">
        <f>SUM(D41:D42)</f>
        <v>15764250.17046617</v>
      </c>
    </row>
    <row r="45" spans="1:7">
      <c r="C45" s="202" t="s">
        <v>175</v>
      </c>
      <c r="D45" s="200">
        <f>F27</f>
        <v>370434.70820137579</v>
      </c>
      <c r="E45" s="190" t="s">
        <v>85</v>
      </c>
    </row>
    <row r="46" spans="1:7">
      <c r="C46" s="202" t="s">
        <v>176</v>
      </c>
      <c r="D46" s="203">
        <f>D43-D45</f>
        <v>15393815.462264795</v>
      </c>
      <c r="E46" s="190" t="s">
        <v>177</v>
      </c>
    </row>
    <row r="47" spans="1:7" ht="12" thickBot="1">
      <c r="C47" s="202" t="s">
        <v>178</v>
      </c>
      <c r="D47" s="204">
        <f>SUM(D45:D46)</f>
        <v>15764250.17046617</v>
      </c>
    </row>
    <row r="49" spans="4:5">
      <c r="D49" s="200">
        <f>D43-D47</f>
        <v>0</v>
      </c>
      <c r="E49" s="190" t="s">
        <v>179</v>
      </c>
    </row>
  </sheetData>
  <mergeCells count="1">
    <mergeCell ref="A3:G4"/>
  </mergeCells>
  <printOptions horizontalCentered="1"/>
  <pageMargins left="0.7" right="0.7" top="0.75" bottom="0.75" header="0.3" footer="0.3"/>
  <pageSetup scale="74" orientation="portrait" useFirstPageNumber="1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C787C-5000-4F23-80AE-E3EA378C6416}">
  <sheetPr>
    <tabColor theme="6" tint="0.59999389629810485"/>
    <pageSetUpPr fitToPage="1"/>
  </sheetPr>
  <dimension ref="A1:V153"/>
  <sheetViews>
    <sheetView view="pageBreakPreview" topLeftCell="A52" zoomScale="80" zoomScaleNormal="70" zoomScaleSheetLayoutView="80" workbookViewId="0">
      <selection activeCell="E99" sqref="E99"/>
    </sheetView>
  </sheetViews>
  <sheetFormatPr defaultColWidth="9.140625" defaultRowHeight="12.75"/>
  <cols>
    <col min="1" max="1" width="52.42578125" style="2" customWidth="1"/>
    <col min="2" max="2" width="24.7109375" style="14" customWidth="1"/>
    <col min="3" max="3" width="17.28515625" style="2" bestFit="1" customWidth="1"/>
    <col min="4" max="10" width="17.42578125" style="2" customWidth="1"/>
    <col min="11" max="11" width="17.28515625" style="2" bestFit="1" customWidth="1"/>
    <col min="12" max="13" width="17.42578125" style="2" customWidth="1"/>
    <col min="14" max="21" width="17.28515625" style="2" bestFit="1" customWidth="1"/>
    <col min="22" max="22" width="9.140625" style="2"/>
    <col min="23" max="16384" width="9.140625" style="14"/>
  </cols>
  <sheetData>
    <row r="1" spans="1:22">
      <c r="A1" s="4" t="s">
        <v>6</v>
      </c>
    </row>
    <row r="2" spans="1:22" s="2" customFormat="1" ht="12.75" customHeight="1">
      <c r="A2" s="61" t="s">
        <v>101</v>
      </c>
    </row>
    <row r="3" spans="1:22" s="2" customFormat="1">
      <c r="A3" s="62" t="s">
        <v>164</v>
      </c>
    </row>
    <row r="4" spans="1:22" s="2" customFormat="1">
      <c r="A4" s="62" t="s">
        <v>116</v>
      </c>
      <c r="J4" s="172"/>
      <c r="L4" s="172"/>
      <c r="M4" s="172"/>
      <c r="P4" s="171"/>
    </row>
    <row r="5" spans="1:22" s="2" customFormat="1">
      <c r="A5" s="61"/>
      <c r="J5" s="173"/>
      <c r="L5" s="173"/>
      <c r="M5" s="173"/>
    </row>
    <row r="6" spans="1:22" s="4" customFormat="1" ht="13.5" thickBot="1">
      <c r="A6" s="63"/>
    </row>
    <row r="7" spans="1:22" s="64" customFormat="1" ht="13.5" thickBot="1">
      <c r="A7" s="4"/>
      <c r="B7" s="88"/>
      <c r="C7" s="242" t="s">
        <v>209</v>
      </c>
      <c r="D7" s="243"/>
      <c r="E7" s="243"/>
      <c r="F7" s="244"/>
      <c r="G7" s="242" t="s">
        <v>209</v>
      </c>
      <c r="H7" s="243"/>
      <c r="I7" s="243"/>
      <c r="J7" s="243"/>
      <c r="K7" s="243"/>
      <c r="L7" s="244"/>
      <c r="M7" s="242" t="s">
        <v>209</v>
      </c>
      <c r="N7" s="243"/>
      <c r="O7" s="244"/>
      <c r="P7" s="88"/>
      <c r="Q7" s="88"/>
      <c r="R7" s="88"/>
      <c r="S7" s="88"/>
      <c r="T7" s="88"/>
      <c r="U7" s="88"/>
      <c r="V7" s="4"/>
    </row>
    <row r="8" spans="1:22">
      <c r="B8" s="177" t="s">
        <v>186</v>
      </c>
      <c r="C8" s="177" t="s">
        <v>102</v>
      </c>
      <c r="D8" s="178" t="s">
        <v>110</v>
      </c>
      <c r="E8" s="178" t="s">
        <v>103</v>
      </c>
      <c r="F8" s="179" t="s">
        <v>113</v>
      </c>
      <c r="G8" s="177" t="s">
        <v>104</v>
      </c>
      <c r="H8" s="178" t="s">
        <v>114</v>
      </c>
      <c r="I8" s="178" t="s">
        <v>185</v>
      </c>
      <c r="J8" s="178" t="s">
        <v>162</v>
      </c>
      <c r="K8" s="178" t="s">
        <v>159</v>
      </c>
      <c r="L8" s="179" t="s">
        <v>160</v>
      </c>
      <c r="M8" s="177" t="s">
        <v>161</v>
      </c>
      <c r="N8" s="178" t="s">
        <v>170</v>
      </c>
      <c r="O8" s="179" t="s">
        <v>171</v>
      </c>
      <c r="P8" s="47"/>
      <c r="Q8" s="47"/>
      <c r="R8" s="47"/>
      <c r="S8" s="47"/>
      <c r="T8" s="47"/>
      <c r="U8" s="47"/>
    </row>
    <row r="9" spans="1:22" s="13" customFormat="1" ht="81" customHeight="1">
      <c r="B9" s="84" t="s">
        <v>99</v>
      </c>
      <c r="C9" s="59" t="s">
        <v>107</v>
      </c>
      <c r="D9" s="60" t="s">
        <v>111</v>
      </c>
      <c r="E9" s="60" t="s">
        <v>112</v>
      </c>
      <c r="F9" s="134" t="s">
        <v>117</v>
      </c>
      <c r="G9" s="59" t="s">
        <v>106</v>
      </c>
      <c r="H9" s="60" t="s">
        <v>198</v>
      </c>
      <c r="I9" s="60" t="s">
        <v>184</v>
      </c>
      <c r="J9" s="60" t="s">
        <v>199</v>
      </c>
      <c r="K9" s="60" t="s">
        <v>163</v>
      </c>
      <c r="L9" s="134" t="s">
        <v>201</v>
      </c>
      <c r="M9" s="59" t="s">
        <v>200</v>
      </c>
      <c r="N9" s="60" t="s">
        <v>115</v>
      </c>
      <c r="O9" s="134" t="s">
        <v>119</v>
      </c>
      <c r="P9" s="60"/>
      <c r="Q9" s="60"/>
      <c r="R9" s="60"/>
      <c r="S9" s="60"/>
      <c r="T9" s="60"/>
      <c r="U9" s="60"/>
    </row>
    <row r="10" spans="1:22">
      <c r="B10" s="85"/>
      <c r="C10" s="28"/>
      <c r="F10" s="53"/>
      <c r="G10" s="28"/>
      <c r="L10" s="53"/>
      <c r="M10" s="28"/>
      <c r="O10" s="53"/>
    </row>
    <row r="11" spans="1:22">
      <c r="A11" s="13" t="s">
        <v>9</v>
      </c>
      <c r="B11" s="24"/>
      <c r="C11" s="24"/>
      <c r="D11" s="11"/>
      <c r="E11" s="11"/>
      <c r="F11" s="48"/>
      <c r="G11" s="24"/>
      <c r="H11" s="11"/>
      <c r="I11" s="11"/>
      <c r="J11" s="11"/>
      <c r="K11" s="11"/>
      <c r="L11" s="48"/>
      <c r="M11" s="24"/>
      <c r="N11" s="11"/>
      <c r="O11" s="48"/>
      <c r="P11" s="11"/>
      <c r="Q11" s="11"/>
      <c r="R11" s="11"/>
      <c r="S11" s="11"/>
      <c r="T11" s="11"/>
      <c r="U11" s="11"/>
    </row>
    <row r="12" spans="1:22">
      <c r="A12" s="13" t="s">
        <v>10</v>
      </c>
      <c r="B12" s="25">
        <f>SUM(C12:O12)</f>
        <v>0</v>
      </c>
      <c r="C12" s="26"/>
      <c r="D12" s="51"/>
      <c r="E12" s="51"/>
      <c r="F12" s="52"/>
      <c r="G12" s="26"/>
      <c r="H12" s="51"/>
      <c r="I12" s="51"/>
      <c r="J12" s="51"/>
      <c r="K12" s="51"/>
      <c r="L12" s="52"/>
      <c r="M12" s="26"/>
      <c r="N12" s="51"/>
      <c r="O12" s="52"/>
      <c r="P12" s="51"/>
      <c r="Q12" s="51"/>
      <c r="R12" s="51"/>
      <c r="S12" s="51"/>
      <c r="T12" s="51"/>
      <c r="U12" s="51"/>
    </row>
    <row r="13" spans="1:22">
      <c r="A13" s="13" t="s">
        <v>11</v>
      </c>
      <c r="B13" s="25">
        <f>SUM(C13:O13)</f>
        <v>0</v>
      </c>
      <c r="C13" s="26"/>
      <c r="D13" s="51"/>
      <c r="E13" s="51"/>
      <c r="F13" s="52"/>
      <c r="G13" s="26"/>
      <c r="H13" s="51"/>
      <c r="I13" s="51"/>
      <c r="J13" s="51"/>
      <c r="K13" s="51"/>
      <c r="L13" s="52"/>
      <c r="M13" s="26"/>
      <c r="N13" s="51"/>
      <c r="O13" s="52"/>
      <c r="P13" s="51"/>
      <c r="Q13" s="51"/>
      <c r="R13" s="51"/>
      <c r="S13" s="51"/>
      <c r="T13" s="51"/>
      <c r="U13" s="51"/>
    </row>
    <row r="14" spans="1:22">
      <c r="A14" s="13" t="s">
        <v>12</v>
      </c>
      <c r="B14" s="25">
        <f>SUM(C14:O14)</f>
        <v>0</v>
      </c>
      <c r="C14" s="26"/>
      <c r="D14" s="51"/>
      <c r="E14" s="51"/>
      <c r="F14" s="52"/>
      <c r="G14" s="26"/>
      <c r="H14" s="51"/>
      <c r="I14" s="51"/>
      <c r="J14" s="51"/>
      <c r="K14" s="51"/>
      <c r="L14" s="52"/>
      <c r="M14" s="26"/>
      <c r="N14" s="51"/>
      <c r="O14" s="52"/>
      <c r="P14" s="51"/>
      <c r="Q14" s="51"/>
      <c r="R14" s="51"/>
      <c r="S14" s="51"/>
      <c r="T14" s="51"/>
      <c r="U14" s="51"/>
    </row>
    <row r="15" spans="1:22">
      <c r="A15" s="13" t="s">
        <v>13</v>
      </c>
      <c r="B15" s="25">
        <f>SUM(C15:O15)</f>
        <v>1324324.8870102013</v>
      </c>
      <c r="C15" s="26"/>
      <c r="D15" s="51"/>
      <c r="E15" s="51"/>
      <c r="F15" s="52"/>
      <c r="G15" s="26">
        <v>2250983.2967191497</v>
      </c>
      <c r="H15" s="51"/>
      <c r="I15" s="51">
        <v>-926658.40970894846</v>
      </c>
      <c r="J15" s="51"/>
      <c r="K15" s="51"/>
      <c r="L15" s="52"/>
      <c r="M15" s="26"/>
      <c r="N15" s="51"/>
      <c r="O15" s="52"/>
      <c r="P15" s="51"/>
      <c r="Q15" s="51"/>
      <c r="R15" s="51"/>
      <c r="S15" s="51"/>
      <c r="T15" s="51"/>
      <c r="U15" s="51"/>
    </row>
    <row r="16" spans="1:22">
      <c r="A16" s="92" t="s">
        <v>14</v>
      </c>
      <c r="B16" s="93">
        <f>SUM(C16:O16)</f>
        <v>1324324.8870102013</v>
      </c>
      <c r="C16" s="93">
        <f t="shared" ref="C16:O16" si="0">SUM(C12:C15)</f>
        <v>0</v>
      </c>
      <c r="D16" s="94">
        <f t="shared" si="0"/>
        <v>0</v>
      </c>
      <c r="E16" s="94">
        <f t="shared" si="0"/>
        <v>0</v>
      </c>
      <c r="F16" s="95">
        <f t="shared" si="0"/>
        <v>0</v>
      </c>
      <c r="G16" s="93">
        <f t="shared" si="0"/>
        <v>2250983.2967191497</v>
      </c>
      <c r="H16" s="94">
        <f t="shared" si="0"/>
        <v>0</v>
      </c>
      <c r="I16" s="94">
        <f t="shared" si="0"/>
        <v>-926658.40970894846</v>
      </c>
      <c r="J16" s="94">
        <f t="shared" si="0"/>
        <v>0</v>
      </c>
      <c r="K16" s="94">
        <f t="shared" si="0"/>
        <v>0</v>
      </c>
      <c r="L16" s="95">
        <f t="shared" si="0"/>
        <v>0</v>
      </c>
      <c r="M16" s="93">
        <f t="shared" si="0"/>
        <v>0</v>
      </c>
      <c r="N16" s="94">
        <f t="shared" si="0"/>
        <v>0</v>
      </c>
      <c r="O16" s="95">
        <f t="shared" si="0"/>
        <v>0</v>
      </c>
      <c r="P16" s="11"/>
      <c r="Q16" s="11"/>
      <c r="R16" s="11"/>
      <c r="S16" s="11"/>
      <c r="T16" s="11"/>
      <c r="U16" s="11"/>
    </row>
    <row r="17" spans="1:21" s="2" customFormat="1">
      <c r="A17" s="13"/>
      <c r="B17" s="24"/>
      <c r="C17" s="24"/>
      <c r="D17" s="11"/>
      <c r="E17" s="11"/>
      <c r="F17" s="48"/>
      <c r="G17" s="24"/>
      <c r="H17" s="11"/>
      <c r="I17" s="11"/>
      <c r="J17" s="11"/>
      <c r="K17" s="11"/>
      <c r="L17" s="48"/>
      <c r="M17" s="24"/>
      <c r="N17" s="11"/>
      <c r="O17" s="48"/>
      <c r="P17" s="11"/>
      <c r="Q17" s="11"/>
      <c r="R17" s="11"/>
      <c r="S17" s="11"/>
      <c r="T17" s="11"/>
      <c r="U17" s="11"/>
    </row>
    <row r="18" spans="1:21" s="2" customFormat="1">
      <c r="A18" s="13" t="s">
        <v>15</v>
      </c>
      <c r="B18" s="24"/>
      <c r="C18" s="24"/>
      <c r="D18" s="11"/>
      <c r="E18" s="11"/>
      <c r="F18" s="48"/>
      <c r="G18" s="24"/>
      <c r="H18" s="11"/>
      <c r="I18" s="11"/>
      <c r="J18" s="11"/>
      <c r="K18" s="11"/>
      <c r="L18" s="48"/>
      <c r="M18" s="24"/>
      <c r="N18" s="11"/>
      <c r="O18" s="48"/>
      <c r="P18" s="11"/>
      <c r="Q18" s="11"/>
      <c r="R18" s="11"/>
      <c r="S18" s="11"/>
      <c r="T18" s="11"/>
      <c r="U18" s="11"/>
    </row>
    <row r="19" spans="1:21" s="2" customFormat="1">
      <c r="A19" s="13" t="s">
        <v>16</v>
      </c>
      <c r="B19" s="25">
        <f t="shared" ref="B19:B38" si="1">SUM(C19:O19)</f>
        <v>3744634.5087966202</v>
      </c>
      <c r="C19" s="26">
        <v>1755172.9760006012</v>
      </c>
      <c r="D19" s="51"/>
      <c r="E19" s="51"/>
      <c r="F19" s="52"/>
      <c r="G19" s="26"/>
      <c r="H19" s="51">
        <v>1986017.4321633733</v>
      </c>
      <c r="I19" s="51"/>
      <c r="J19" s="51"/>
      <c r="K19" s="51"/>
      <c r="L19" s="52">
        <v>3444.1006326457582</v>
      </c>
      <c r="M19" s="26"/>
      <c r="N19" s="51"/>
      <c r="O19" s="52"/>
      <c r="P19" s="51"/>
      <c r="Q19" s="51"/>
      <c r="R19" s="51"/>
      <c r="S19" s="51"/>
      <c r="T19" s="51"/>
      <c r="U19" s="51"/>
    </row>
    <row r="20" spans="1:21" s="2" customFormat="1">
      <c r="A20" s="13" t="s">
        <v>17</v>
      </c>
      <c r="B20" s="25">
        <f t="shared" si="1"/>
        <v>0</v>
      </c>
      <c r="C20" s="26"/>
      <c r="D20" s="51"/>
      <c r="E20" s="51"/>
      <c r="F20" s="52"/>
      <c r="G20" s="26"/>
      <c r="H20" s="51"/>
      <c r="I20" s="51"/>
      <c r="J20" s="51"/>
      <c r="K20" s="51"/>
      <c r="L20" s="52"/>
      <c r="M20" s="26"/>
      <c r="N20" s="51"/>
      <c r="O20" s="52"/>
      <c r="P20" s="51"/>
      <c r="Q20" s="51"/>
      <c r="R20" s="51"/>
      <c r="S20" s="51"/>
      <c r="T20" s="51"/>
      <c r="U20" s="51"/>
    </row>
    <row r="21" spans="1:21" s="2" customFormat="1">
      <c r="A21" s="13" t="s">
        <v>18</v>
      </c>
      <c r="B21" s="25">
        <f t="shared" si="1"/>
        <v>0</v>
      </c>
      <c r="C21" s="26"/>
      <c r="D21" s="51"/>
      <c r="E21" s="51"/>
      <c r="F21" s="52"/>
      <c r="G21" s="26"/>
      <c r="H21" s="51"/>
      <c r="I21" s="51"/>
      <c r="J21" s="51"/>
      <c r="K21" s="51"/>
      <c r="L21" s="52"/>
      <c r="M21" s="26"/>
      <c r="N21" s="51"/>
      <c r="O21" s="52"/>
      <c r="P21" s="51"/>
      <c r="Q21" s="51"/>
      <c r="R21" s="51"/>
      <c r="S21" s="51"/>
      <c r="T21" s="51"/>
      <c r="U21" s="51"/>
    </row>
    <row r="22" spans="1:21" s="2" customFormat="1">
      <c r="A22" s="13" t="s">
        <v>19</v>
      </c>
      <c r="B22" s="25">
        <f t="shared" si="1"/>
        <v>0</v>
      </c>
      <c r="C22" s="26"/>
      <c r="D22" s="51"/>
      <c r="E22" s="51"/>
      <c r="F22" s="52"/>
      <c r="G22" s="26"/>
      <c r="H22" s="51"/>
      <c r="I22" s="51"/>
      <c r="J22" s="51"/>
      <c r="K22" s="51"/>
      <c r="L22" s="52"/>
      <c r="M22" s="26"/>
      <c r="N22" s="51"/>
      <c r="O22" s="52"/>
      <c r="P22" s="51"/>
      <c r="Q22" s="51"/>
      <c r="R22" s="51"/>
      <c r="S22" s="51"/>
      <c r="T22" s="51"/>
      <c r="U22" s="51"/>
    </row>
    <row r="23" spans="1:21" s="2" customFormat="1">
      <c r="A23" s="13" t="s">
        <v>20</v>
      </c>
      <c r="B23" s="25">
        <f t="shared" si="1"/>
        <v>0</v>
      </c>
      <c r="C23" s="26"/>
      <c r="D23" s="51"/>
      <c r="E23" s="51"/>
      <c r="F23" s="52"/>
      <c r="G23" s="26"/>
      <c r="H23" s="51"/>
      <c r="I23" s="51"/>
      <c r="J23" s="51"/>
      <c r="K23" s="51"/>
      <c r="L23" s="52"/>
      <c r="M23" s="26"/>
      <c r="N23" s="51"/>
      <c r="O23" s="52"/>
      <c r="P23" s="51"/>
      <c r="Q23" s="51"/>
      <c r="R23" s="51"/>
      <c r="S23" s="51"/>
      <c r="T23" s="51"/>
      <c r="U23" s="51"/>
    </row>
    <row r="24" spans="1:21" s="2" customFormat="1">
      <c r="A24" s="13" t="s">
        <v>21</v>
      </c>
      <c r="B24" s="25">
        <f t="shared" si="1"/>
        <v>0</v>
      </c>
      <c r="C24" s="26"/>
      <c r="D24" s="51"/>
      <c r="E24" s="51"/>
      <c r="F24" s="52"/>
      <c r="G24" s="26"/>
      <c r="H24" s="51"/>
      <c r="I24" s="51"/>
      <c r="J24" s="51"/>
      <c r="K24" s="51"/>
      <c r="L24" s="52"/>
      <c r="M24" s="26"/>
      <c r="N24" s="51"/>
      <c r="O24" s="52"/>
      <c r="P24" s="51"/>
      <c r="Q24" s="51"/>
      <c r="R24" s="51"/>
      <c r="S24" s="51"/>
      <c r="T24" s="51"/>
      <c r="U24" s="51"/>
    </row>
    <row r="25" spans="1:21" s="2" customFormat="1">
      <c r="A25" s="13" t="s">
        <v>22</v>
      </c>
      <c r="B25" s="25">
        <f t="shared" si="1"/>
        <v>0</v>
      </c>
      <c r="C25" s="26"/>
      <c r="D25" s="51"/>
      <c r="E25" s="51"/>
      <c r="F25" s="52"/>
      <c r="G25" s="26"/>
      <c r="H25" s="51"/>
      <c r="I25" s="51"/>
      <c r="J25" s="51"/>
      <c r="K25" s="51"/>
      <c r="L25" s="52"/>
      <c r="M25" s="26"/>
      <c r="N25" s="51"/>
      <c r="O25" s="52"/>
      <c r="P25" s="51"/>
      <c r="Q25" s="51"/>
      <c r="R25" s="51"/>
      <c r="S25" s="51"/>
      <c r="T25" s="51"/>
      <c r="U25" s="51"/>
    </row>
    <row r="26" spans="1:21" s="2" customFormat="1">
      <c r="A26" s="13" t="s">
        <v>23</v>
      </c>
      <c r="B26" s="25">
        <f t="shared" si="1"/>
        <v>0</v>
      </c>
      <c r="C26" s="26"/>
      <c r="D26" s="51"/>
      <c r="E26" s="51"/>
      <c r="F26" s="52"/>
      <c r="G26" s="26"/>
      <c r="H26" s="51"/>
      <c r="I26" s="51"/>
      <c r="J26" s="51"/>
      <c r="K26" s="51"/>
      <c r="L26" s="52"/>
      <c r="M26" s="26"/>
      <c r="N26" s="51"/>
      <c r="O26" s="52"/>
      <c r="P26" s="51"/>
      <c r="Q26" s="51"/>
      <c r="R26" s="51"/>
      <c r="S26" s="51"/>
      <c r="T26" s="51"/>
      <c r="U26" s="51"/>
    </row>
    <row r="27" spans="1:21" s="2" customFormat="1">
      <c r="A27" s="13" t="s">
        <v>24</v>
      </c>
      <c r="B27" s="25">
        <f t="shared" si="1"/>
        <v>0</v>
      </c>
      <c r="C27" s="26"/>
      <c r="D27" s="51"/>
      <c r="E27" s="51"/>
      <c r="F27" s="52"/>
      <c r="G27" s="26"/>
      <c r="H27" s="51"/>
      <c r="I27" s="51"/>
      <c r="J27" s="51"/>
      <c r="K27" s="51"/>
      <c r="L27" s="52"/>
      <c r="M27" s="26"/>
      <c r="N27" s="51"/>
      <c r="O27" s="52"/>
      <c r="P27" s="51"/>
      <c r="Q27" s="51"/>
      <c r="R27" s="51"/>
      <c r="S27" s="51"/>
      <c r="T27" s="51"/>
      <c r="U27" s="51"/>
    </row>
    <row r="28" spans="1:21" s="2" customFormat="1">
      <c r="A28" s="13" t="s">
        <v>25</v>
      </c>
      <c r="B28" s="25">
        <f t="shared" si="1"/>
        <v>-5702.9789940776418</v>
      </c>
      <c r="C28" s="27">
        <v>-5702.9789940776418</v>
      </c>
      <c r="D28" s="54"/>
      <c r="E28" s="54"/>
      <c r="F28" s="56"/>
      <c r="G28" s="27"/>
      <c r="H28" s="54"/>
      <c r="I28" s="54"/>
      <c r="J28" s="54"/>
      <c r="K28" s="54"/>
      <c r="L28" s="56"/>
      <c r="M28" s="27"/>
      <c r="N28" s="54"/>
      <c r="O28" s="56"/>
      <c r="P28" s="51"/>
      <c r="Q28" s="51"/>
      <c r="R28" s="51"/>
      <c r="S28" s="51"/>
      <c r="T28" s="51"/>
      <c r="U28" s="51"/>
    </row>
    <row r="29" spans="1:21" s="2" customFormat="1">
      <c r="A29" s="92" t="s">
        <v>26</v>
      </c>
      <c r="B29" s="97">
        <f t="shared" si="1"/>
        <v>3738931.5298025426</v>
      </c>
      <c r="C29" s="98">
        <f t="shared" ref="C29:O29" si="2">SUM(C19:C28)</f>
        <v>1749469.9970065237</v>
      </c>
      <c r="D29" s="96">
        <f t="shared" si="2"/>
        <v>0</v>
      </c>
      <c r="E29" s="96">
        <f t="shared" si="2"/>
        <v>0</v>
      </c>
      <c r="F29" s="99">
        <f t="shared" si="2"/>
        <v>0</v>
      </c>
      <c r="G29" s="98">
        <f t="shared" si="2"/>
        <v>0</v>
      </c>
      <c r="H29" s="96">
        <f t="shared" si="2"/>
        <v>1986017.4321633733</v>
      </c>
      <c r="I29" s="96">
        <f t="shared" si="2"/>
        <v>0</v>
      </c>
      <c r="J29" s="96">
        <f t="shared" si="2"/>
        <v>0</v>
      </c>
      <c r="K29" s="96">
        <f t="shared" si="2"/>
        <v>0</v>
      </c>
      <c r="L29" s="99">
        <f t="shared" si="2"/>
        <v>3444.1006326457582</v>
      </c>
      <c r="M29" s="98">
        <f t="shared" si="2"/>
        <v>0</v>
      </c>
      <c r="N29" s="96">
        <f t="shared" si="2"/>
        <v>0</v>
      </c>
      <c r="O29" s="99">
        <f t="shared" si="2"/>
        <v>0</v>
      </c>
      <c r="P29" s="11"/>
      <c r="Q29" s="11"/>
      <c r="R29" s="11"/>
      <c r="S29" s="11"/>
      <c r="T29" s="11"/>
      <c r="U29" s="11"/>
    </row>
    <row r="30" spans="1:21" s="2" customFormat="1">
      <c r="A30" s="13" t="s">
        <v>27</v>
      </c>
      <c r="B30" s="25">
        <f t="shared" si="1"/>
        <v>1588729.6050946186</v>
      </c>
      <c r="C30" s="26"/>
      <c r="D30" s="51"/>
      <c r="E30" s="51">
        <v>1563207.2771988716</v>
      </c>
      <c r="F30" s="52">
        <v>23871.2950445813</v>
      </c>
      <c r="G30" s="26"/>
      <c r="H30" s="51"/>
      <c r="I30" s="51"/>
      <c r="J30" s="51"/>
      <c r="K30" s="51"/>
      <c r="L30" s="52"/>
      <c r="M30" s="26">
        <v>1651.0328511656346</v>
      </c>
      <c r="N30" s="51"/>
      <c r="O30" s="52"/>
      <c r="P30" s="51"/>
      <c r="Q30" s="51"/>
      <c r="R30" s="51"/>
      <c r="S30" s="51"/>
      <c r="T30" s="51"/>
      <c r="U30" s="51"/>
    </row>
    <row r="31" spans="1:21" s="2" customFormat="1">
      <c r="A31" s="13" t="s">
        <v>28</v>
      </c>
      <c r="B31" s="25">
        <f t="shared" si="1"/>
        <v>3700582.6343244445</v>
      </c>
      <c r="C31" s="26"/>
      <c r="D31" s="51"/>
      <c r="E31" s="51"/>
      <c r="F31" s="52"/>
      <c r="G31" s="26"/>
      <c r="H31" s="51">
        <v>3700582.6343244445</v>
      </c>
      <c r="I31" s="51"/>
      <c r="J31" s="51"/>
      <c r="K31" s="51"/>
      <c r="L31" s="52"/>
      <c r="M31" s="26"/>
      <c r="N31" s="51"/>
      <c r="O31" s="52"/>
      <c r="P31" s="51"/>
      <c r="Q31" s="51"/>
      <c r="R31" s="51"/>
      <c r="S31" s="51"/>
      <c r="T31" s="51"/>
      <c r="U31" s="51"/>
    </row>
    <row r="32" spans="1:21" s="2" customFormat="1">
      <c r="A32" s="13" t="s">
        <v>29</v>
      </c>
      <c r="B32" s="25">
        <f t="shared" si="1"/>
        <v>0</v>
      </c>
      <c r="C32" s="26"/>
      <c r="D32" s="51"/>
      <c r="E32" s="51"/>
      <c r="F32" s="52"/>
      <c r="G32" s="26"/>
      <c r="H32" s="51"/>
      <c r="I32" s="51"/>
      <c r="J32" s="51"/>
      <c r="K32" s="51"/>
      <c r="L32" s="52"/>
      <c r="M32" s="26"/>
      <c r="N32" s="51"/>
      <c r="O32" s="52"/>
      <c r="P32" s="51"/>
      <c r="Q32" s="51"/>
      <c r="R32" s="51"/>
      <c r="S32" s="51"/>
      <c r="T32" s="51"/>
      <c r="U32" s="51"/>
    </row>
    <row r="33" spans="1:21" s="2" customFormat="1">
      <c r="A33" s="92" t="s">
        <v>30</v>
      </c>
      <c r="B33" s="100">
        <f t="shared" si="1"/>
        <v>-3835.1029170665424</v>
      </c>
      <c r="C33" s="101">
        <f t="shared" ref="C33:O33" si="3">C87</f>
        <v>-367388.69937136996</v>
      </c>
      <c r="D33" s="102">
        <f t="shared" si="3"/>
        <v>0</v>
      </c>
      <c r="E33" s="102">
        <f t="shared" si="3"/>
        <v>-4892.3912441574084</v>
      </c>
      <c r="F33" s="103">
        <f t="shared" si="3"/>
        <v>-42591.989460030534</v>
      </c>
      <c r="G33" s="101">
        <f t="shared" si="3"/>
        <v>472706.49231102143</v>
      </c>
      <c r="H33" s="102">
        <f t="shared" si="3"/>
        <v>-4.9131069174036382E-2</v>
      </c>
      <c r="I33" s="102">
        <f t="shared" si="3"/>
        <v>-194598.26603887917</v>
      </c>
      <c r="J33" s="102">
        <f t="shared" si="3"/>
        <v>0</v>
      </c>
      <c r="K33" s="102">
        <f t="shared" si="3"/>
        <v>0</v>
      </c>
      <c r="L33" s="103">
        <f t="shared" si="3"/>
        <v>-723.26113285560916</v>
      </c>
      <c r="M33" s="101">
        <f t="shared" si="3"/>
        <v>334.21777337820794</v>
      </c>
      <c r="N33" s="102">
        <f t="shared" si="3"/>
        <v>133318.84337689562</v>
      </c>
      <c r="O33" s="103">
        <f t="shared" si="3"/>
        <v>0</v>
      </c>
      <c r="P33" s="51"/>
      <c r="Q33" s="51"/>
      <c r="R33" s="51"/>
      <c r="S33" s="51"/>
      <c r="T33" s="51"/>
      <c r="U33" s="51"/>
    </row>
    <row r="34" spans="1:21" s="2" customFormat="1">
      <c r="A34" s="13" t="s">
        <v>31</v>
      </c>
      <c r="B34" s="25">
        <f t="shared" si="1"/>
        <v>0</v>
      </c>
      <c r="C34" s="25">
        <v>0</v>
      </c>
      <c r="D34" s="49">
        <v>0</v>
      </c>
      <c r="E34" s="49">
        <v>0</v>
      </c>
      <c r="F34" s="50">
        <v>0</v>
      </c>
      <c r="G34" s="25">
        <v>0</v>
      </c>
      <c r="H34" s="49">
        <v>0</v>
      </c>
      <c r="I34" s="49">
        <v>0</v>
      </c>
      <c r="J34" s="49">
        <v>0</v>
      </c>
      <c r="K34" s="49">
        <v>0</v>
      </c>
      <c r="L34" s="50">
        <v>0</v>
      </c>
      <c r="M34" s="25">
        <v>0</v>
      </c>
      <c r="N34" s="49">
        <v>0</v>
      </c>
      <c r="O34" s="50">
        <v>0</v>
      </c>
      <c r="P34" s="49"/>
      <c r="Q34" s="49"/>
      <c r="R34" s="49"/>
      <c r="S34" s="49"/>
      <c r="T34" s="49"/>
      <c r="U34" s="49"/>
    </row>
    <row r="35" spans="1:21" s="2" customFormat="1">
      <c r="A35" s="13" t="s">
        <v>32</v>
      </c>
      <c r="B35" s="25">
        <f t="shared" si="1"/>
        <v>-1512909.7680882809</v>
      </c>
      <c r="C35" s="26"/>
      <c r="D35" s="51"/>
      <c r="E35" s="51">
        <v>-411330.22040424845</v>
      </c>
      <c r="F35" s="52">
        <v>43997.732059064547</v>
      </c>
      <c r="G35" s="26"/>
      <c r="H35" s="51">
        <v>-1398141.1113269059</v>
      </c>
      <c r="I35" s="51"/>
      <c r="J35" s="51"/>
      <c r="K35" s="51"/>
      <c r="L35" s="52">
        <v>-221.58239999868238</v>
      </c>
      <c r="M35" s="26">
        <v>-797.20249556191186</v>
      </c>
      <c r="N35" s="51"/>
      <c r="O35" s="52">
        <v>253582.61647936964</v>
      </c>
      <c r="P35" s="51"/>
      <c r="Q35" s="51"/>
      <c r="R35" s="51"/>
      <c r="S35" s="51"/>
      <c r="T35" s="51"/>
      <c r="U35" s="51"/>
    </row>
    <row r="36" spans="1:21" s="2" customFormat="1">
      <c r="A36" s="13" t="s">
        <v>33</v>
      </c>
      <c r="B36" s="25">
        <f t="shared" si="1"/>
        <v>0</v>
      </c>
      <c r="C36" s="26"/>
      <c r="D36" s="51"/>
      <c r="E36" s="51"/>
      <c r="F36" s="52"/>
      <c r="G36" s="26"/>
      <c r="H36" s="51"/>
      <c r="I36" s="51"/>
      <c r="J36" s="51"/>
      <c r="K36" s="51"/>
      <c r="L36" s="52"/>
      <c r="M36" s="26"/>
      <c r="N36" s="51"/>
      <c r="O36" s="52"/>
      <c r="P36" s="51"/>
      <c r="Q36" s="51"/>
      <c r="R36" s="51"/>
      <c r="S36" s="51"/>
      <c r="T36" s="51"/>
      <c r="U36" s="51"/>
    </row>
    <row r="37" spans="1:21" s="2" customFormat="1">
      <c r="A37" s="13" t="s">
        <v>34</v>
      </c>
      <c r="B37" s="25">
        <f t="shared" si="1"/>
        <v>0</v>
      </c>
      <c r="C37" s="26"/>
      <c r="D37" s="51"/>
      <c r="E37" s="51"/>
      <c r="F37" s="52"/>
      <c r="G37" s="26"/>
      <c r="H37" s="51"/>
      <c r="I37" s="51"/>
      <c r="J37" s="51"/>
      <c r="K37" s="51"/>
      <c r="L37" s="52"/>
      <c r="M37" s="26"/>
      <c r="N37" s="51"/>
      <c r="O37" s="52"/>
      <c r="P37" s="51"/>
      <c r="Q37" s="51"/>
      <c r="R37" s="51"/>
      <c r="S37" s="51"/>
      <c r="T37" s="51"/>
      <c r="U37" s="51"/>
    </row>
    <row r="38" spans="1:21" s="2" customFormat="1">
      <c r="A38" s="92" t="s">
        <v>35</v>
      </c>
      <c r="B38" s="93">
        <f t="shared" si="1"/>
        <v>7511498.8982162587</v>
      </c>
      <c r="C38" s="93">
        <f t="shared" ref="C38:O38" si="4">SUM(C29:C37)</f>
        <v>1382081.2976351536</v>
      </c>
      <c r="D38" s="94">
        <f t="shared" si="4"/>
        <v>0</v>
      </c>
      <c r="E38" s="94">
        <f t="shared" si="4"/>
        <v>1146984.6655504657</v>
      </c>
      <c r="F38" s="95">
        <f t="shared" si="4"/>
        <v>25277.037643615313</v>
      </c>
      <c r="G38" s="93">
        <f t="shared" si="4"/>
        <v>472706.49231102143</v>
      </c>
      <c r="H38" s="94">
        <f t="shared" si="4"/>
        <v>4288458.9060298428</v>
      </c>
      <c r="I38" s="94">
        <f t="shared" si="4"/>
        <v>-194598.26603887917</v>
      </c>
      <c r="J38" s="94">
        <f t="shared" si="4"/>
        <v>0</v>
      </c>
      <c r="K38" s="94">
        <f t="shared" si="4"/>
        <v>0</v>
      </c>
      <c r="L38" s="95">
        <f t="shared" si="4"/>
        <v>2499.2570997914668</v>
      </c>
      <c r="M38" s="93">
        <f t="shared" si="4"/>
        <v>1188.0481289819309</v>
      </c>
      <c r="N38" s="94">
        <f t="shared" si="4"/>
        <v>133318.84337689562</v>
      </c>
      <c r="O38" s="95">
        <f t="shared" si="4"/>
        <v>253582.61647936964</v>
      </c>
      <c r="P38" s="11"/>
      <c r="Q38" s="11"/>
      <c r="R38" s="11"/>
      <c r="S38" s="11"/>
      <c r="T38" s="11"/>
      <c r="U38" s="11"/>
    </row>
    <row r="39" spans="1:21" s="2" customFormat="1">
      <c r="A39" s="13"/>
      <c r="B39" s="24">
        <f>SUM(C39:C39)</f>
        <v>0</v>
      </c>
      <c r="C39" s="24"/>
      <c r="D39" s="11"/>
      <c r="E39" s="11"/>
      <c r="F39" s="48"/>
      <c r="G39" s="24"/>
      <c r="H39" s="11"/>
      <c r="I39" s="11"/>
      <c r="J39" s="11"/>
      <c r="K39" s="11"/>
      <c r="L39" s="48"/>
      <c r="M39" s="24"/>
      <c r="N39" s="11"/>
      <c r="O39" s="48"/>
      <c r="P39" s="11"/>
      <c r="Q39" s="11"/>
      <c r="R39" s="11"/>
      <c r="S39" s="11"/>
      <c r="T39" s="11"/>
      <c r="U39" s="11"/>
    </row>
    <row r="40" spans="1:21" s="2" customFormat="1" ht="13.5" thickBot="1">
      <c r="A40" s="92" t="s">
        <v>36</v>
      </c>
      <c r="B40" s="104">
        <f>SUM(C40:O40)</f>
        <v>-6187174.0112060569</v>
      </c>
      <c r="C40" s="104">
        <f t="shared" ref="C40:O40" si="5">C16-C38</f>
        <v>-1382081.2976351536</v>
      </c>
      <c r="D40" s="105">
        <f t="shared" si="5"/>
        <v>0</v>
      </c>
      <c r="E40" s="105">
        <f t="shared" si="5"/>
        <v>-1146984.6655504657</v>
      </c>
      <c r="F40" s="106">
        <f t="shared" si="5"/>
        <v>-25277.037643615313</v>
      </c>
      <c r="G40" s="104">
        <f t="shared" si="5"/>
        <v>1778276.8044081284</v>
      </c>
      <c r="H40" s="105">
        <f t="shared" si="5"/>
        <v>-4288458.9060298428</v>
      </c>
      <c r="I40" s="105">
        <f t="shared" si="5"/>
        <v>-732060.14367006929</v>
      </c>
      <c r="J40" s="105">
        <f t="shared" si="5"/>
        <v>0</v>
      </c>
      <c r="K40" s="105">
        <f t="shared" si="5"/>
        <v>0</v>
      </c>
      <c r="L40" s="106">
        <f t="shared" si="5"/>
        <v>-2499.2570997914668</v>
      </c>
      <c r="M40" s="104">
        <f t="shared" si="5"/>
        <v>-1188.0481289819309</v>
      </c>
      <c r="N40" s="105">
        <f t="shared" si="5"/>
        <v>-133318.84337689562</v>
      </c>
      <c r="O40" s="106">
        <f t="shared" si="5"/>
        <v>-253582.61647936964</v>
      </c>
      <c r="P40" s="222"/>
      <c r="Q40" s="222"/>
      <c r="R40" s="222"/>
      <c r="S40" s="222"/>
      <c r="T40" s="222"/>
      <c r="U40" s="222"/>
    </row>
    <row r="41" spans="1:21" s="2" customFormat="1" ht="13.5" thickTop="1">
      <c r="A41" s="13"/>
      <c r="B41" s="24"/>
      <c r="C41" s="24"/>
      <c r="D41" s="11"/>
      <c r="E41" s="11"/>
      <c r="F41" s="48"/>
      <c r="G41" s="24"/>
      <c r="H41" s="11"/>
      <c r="I41" s="11"/>
      <c r="J41" s="11"/>
      <c r="K41" s="11"/>
      <c r="L41" s="48"/>
      <c r="M41" s="24"/>
      <c r="N41" s="11"/>
      <c r="O41" s="48"/>
      <c r="P41" s="11"/>
      <c r="Q41" s="11"/>
      <c r="R41" s="11"/>
      <c r="S41" s="11"/>
      <c r="T41" s="11"/>
      <c r="U41" s="11"/>
    </row>
    <row r="42" spans="1:21" s="2" customFormat="1">
      <c r="A42" s="13" t="s">
        <v>37</v>
      </c>
      <c r="B42" s="24"/>
      <c r="C42" s="24"/>
      <c r="D42" s="11"/>
      <c r="E42" s="11"/>
      <c r="F42" s="48"/>
      <c r="G42" s="24"/>
      <c r="H42" s="11"/>
      <c r="I42" s="11"/>
      <c r="J42" s="11"/>
      <c r="K42" s="11"/>
      <c r="L42" s="48"/>
      <c r="M42" s="24"/>
      <c r="N42" s="11"/>
      <c r="O42" s="48"/>
      <c r="P42" s="11"/>
      <c r="Q42" s="11"/>
      <c r="R42" s="11"/>
      <c r="S42" s="11"/>
      <c r="T42" s="11"/>
      <c r="U42" s="11"/>
    </row>
    <row r="43" spans="1:21" s="2" customFormat="1">
      <c r="A43" s="13" t="s">
        <v>38</v>
      </c>
      <c r="B43" s="25">
        <f t="shared" ref="B43:B54" si="6">SUM(C43:O43)</f>
        <v>188988024.43954331</v>
      </c>
      <c r="C43" s="26"/>
      <c r="D43" s="51">
        <v>40072259.394654654</v>
      </c>
      <c r="E43" s="51">
        <v>144746212.19226265</v>
      </c>
      <c r="F43" s="52">
        <v>2818840.4452612875</v>
      </c>
      <c r="G43" s="26"/>
      <c r="H43" s="51"/>
      <c r="I43" s="51"/>
      <c r="J43" s="51"/>
      <c r="K43" s="51">
        <v>1155586.2634248782</v>
      </c>
      <c r="L43" s="52"/>
      <c r="M43" s="26">
        <v>195126.14393982818</v>
      </c>
      <c r="N43" s="51"/>
      <c r="O43" s="52"/>
      <c r="P43" s="51"/>
      <c r="Q43" s="51"/>
      <c r="R43" s="51"/>
      <c r="S43" s="51"/>
      <c r="T43" s="51"/>
      <c r="U43" s="51"/>
    </row>
    <row r="44" spans="1:21" s="2" customFormat="1">
      <c r="A44" s="13" t="s">
        <v>39</v>
      </c>
      <c r="B44" s="25">
        <f t="shared" si="6"/>
        <v>0</v>
      </c>
      <c r="C44" s="26"/>
      <c r="D44" s="51"/>
      <c r="E44" s="51"/>
      <c r="F44" s="52"/>
      <c r="G44" s="26"/>
      <c r="H44" s="51"/>
      <c r="I44" s="51"/>
      <c r="J44" s="51"/>
      <c r="K44" s="51"/>
      <c r="L44" s="52"/>
      <c r="M44" s="26"/>
      <c r="N44" s="51"/>
      <c r="O44" s="52"/>
      <c r="P44" s="51"/>
      <c r="Q44" s="51"/>
      <c r="R44" s="51"/>
      <c r="S44" s="51"/>
      <c r="T44" s="51"/>
      <c r="U44" s="51"/>
    </row>
    <row r="45" spans="1:21" s="2" customFormat="1">
      <c r="A45" s="13" t="s">
        <v>40</v>
      </c>
      <c r="B45" s="25">
        <f t="shared" si="6"/>
        <v>0</v>
      </c>
      <c r="C45" s="26"/>
      <c r="D45" s="51">
        <v>0</v>
      </c>
      <c r="E45" s="51"/>
      <c r="F45" s="52"/>
      <c r="G45" s="26"/>
      <c r="H45" s="51"/>
      <c r="I45" s="51"/>
      <c r="J45" s="51"/>
      <c r="K45" s="51">
        <v>0</v>
      </c>
      <c r="L45" s="52"/>
      <c r="M45" s="26"/>
      <c r="N45" s="51"/>
      <c r="O45" s="52"/>
      <c r="P45" s="51"/>
      <c r="Q45" s="51"/>
      <c r="R45" s="51"/>
      <c r="S45" s="51"/>
      <c r="T45" s="51"/>
      <c r="U45" s="51"/>
    </row>
    <row r="46" spans="1:21" s="2" customFormat="1">
      <c r="A46" s="13" t="s">
        <v>41</v>
      </c>
      <c r="B46" s="25">
        <f t="shared" si="6"/>
        <v>0</v>
      </c>
      <c r="C46" s="26"/>
      <c r="D46" s="51"/>
      <c r="E46" s="51"/>
      <c r="F46" s="52"/>
      <c r="G46" s="26"/>
      <c r="H46" s="51"/>
      <c r="I46" s="51"/>
      <c r="J46" s="51"/>
      <c r="K46" s="51"/>
      <c r="L46" s="52"/>
      <c r="M46" s="26"/>
      <c r="N46" s="51"/>
      <c r="O46" s="52"/>
      <c r="P46" s="51"/>
      <c r="Q46" s="51"/>
      <c r="R46" s="51"/>
      <c r="S46" s="51"/>
      <c r="T46" s="51"/>
      <c r="U46" s="51"/>
    </row>
    <row r="47" spans="1:21" s="2" customFormat="1">
      <c r="A47" s="13" t="s">
        <v>42</v>
      </c>
      <c r="B47" s="25">
        <f t="shared" si="6"/>
        <v>0</v>
      </c>
      <c r="C47" s="26"/>
      <c r="D47" s="51"/>
      <c r="E47" s="51"/>
      <c r="F47" s="52"/>
      <c r="G47" s="26"/>
      <c r="H47" s="51"/>
      <c r="I47" s="51"/>
      <c r="J47" s="51"/>
      <c r="K47" s="51"/>
      <c r="L47" s="52"/>
      <c r="M47" s="26"/>
      <c r="N47" s="51"/>
      <c r="O47" s="52"/>
      <c r="P47" s="51"/>
      <c r="Q47" s="51"/>
      <c r="R47" s="51"/>
      <c r="S47" s="51"/>
      <c r="T47" s="51"/>
      <c r="U47" s="51"/>
    </row>
    <row r="48" spans="1:21" s="2" customFormat="1">
      <c r="A48" s="13" t="s">
        <v>43</v>
      </c>
      <c r="B48" s="25">
        <f t="shared" si="6"/>
        <v>0</v>
      </c>
      <c r="C48" s="26"/>
      <c r="D48" s="51"/>
      <c r="E48" s="51"/>
      <c r="F48" s="52"/>
      <c r="G48" s="26"/>
      <c r="H48" s="51"/>
      <c r="I48" s="51"/>
      <c r="J48" s="51"/>
      <c r="K48" s="51"/>
      <c r="L48" s="52"/>
      <c r="M48" s="26"/>
      <c r="N48" s="51"/>
      <c r="O48" s="52"/>
      <c r="P48" s="51"/>
      <c r="Q48" s="51"/>
      <c r="R48" s="51"/>
      <c r="S48" s="51"/>
      <c r="T48" s="51"/>
      <c r="U48" s="51"/>
    </row>
    <row r="49" spans="1:21" s="2" customFormat="1">
      <c r="A49" s="13" t="s">
        <v>44</v>
      </c>
      <c r="B49" s="25">
        <f t="shared" si="6"/>
        <v>0</v>
      </c>
      <c r="C49" s="26"/>
      <c r="D49" s="51"/>
      <c r="E49" s="51"/>
      <c r="F49" s="52"/>
      <c r="G49" s="26"/>
      <c r="H49" s="51"/>
      <c r="I49" s="51"/>
      <c r="J49" s="51"/>
      <c r="K49" s="51"/>
      <c r="L49" s="52"/>
      <c r="M49" s="26"/>
      <c r="N49" s="51"/>
      <c r="O49" s="52"/>
      <c r="P49" s="51"/>
      <c r="Q49" s="51"/>
      <c r="R49" s="51"/>
      <c r="S49" s="51"/>
      <c r="T49" s="51"/>
      <c r="U49" s="51"/>
    </row>
    <row r="50" spans="1:21" s="2" customFormat="1">
      <c r="A50" s="13" t="s">
        <v>45</v>
      </c>
      <c r="B50" s="25">
        <f t="shared" si="6"/>
        <v>0</v>
      </c>
      <c r="C50" s="26"/>
      <c r="D50" s="51"/>
      <c r="E50" s="51"/>
      <c r="F50" s="52"/>
      <c r="G50" s="26"/>
      <c r="H50" s="51"/>
      <c r="I50" s="51"/>
      <c r="J50" s="51"/>
      <c r="K50" s="51"/>
      <c r="L50" s="52"/>
      <c r="M50" s="26"/>
      <c r="N50" s="51"/>
      <c r="O50" s="52"/>
      <c r="P50" s="51"/>
      <c r="Q50" s="51"/>
      <c r="R50" s="51"/>
      <c r="S50" s="51"/>
      <c r="T50" s="51"/>
      <c r="U50" s="51"/>
    </row>
    <row r="51" spans="1:21" s="2" customFormat="1">
      <c r="A51" s="13" t="s">
        <v>46</v>
      </c>
      <c r="B51" s="25">
        <f t="shared" si="6"/>
        <v>0</v>
      </c>
      <c r="C51" s="26"/>
      <c r="D51" s="51"/>
      <c r="E51" s="51"/>
      <c r="F51" s="52"/>
      <c r="G51" s="26"/>
      <c r="H51" s="51"/>
      <c r="I51" s="51"/>
      <c r="J51" s="51"/>
      <c r="K51" s="51"/>
      <c r="L51" s="52"/>
      <c r="M51" s="26"/>
      <c r="N51" s="51"/>
      <c r="O51" s="52"/>
      <c r="P51" s="51"/>
      <c r="Q51" s="51"/>
      <c r="R51" s="51"/>
      <c r="S51" s="51"/>
      <c r="T51" s="51"/>
      <c r="U51" s="51"/>
    </row>
    <row r="52" spans="1:21" s="2" customFormat="1">
      <c r="A52" s="13" t="s">
        <v>47</v>
      </c>
      <c r="B52" s="25">
        <f t="shared" si="6"/>
        <v>0</v>
      </c>
      <c r="C52" s="26"/>
      <c r="D52" s="51"/>
      <c r="E52" s="51"/>
      <c r="F52" s="52"/>
      <c r="G52" s="26"/>
      <c r="H52" s="51"/>
      <c r="I52" s="51"/>
      <c r="J52" s="51"/>
      <c r="K52" s="51"/>
      <c r="L52" s="52"/>
      <c r="M52" s="26"/>
      <c r="N52" s="51"/>
      <c r="O52" s="52"/>
      <c r="P52" s="51"/>
      <c r="Q52" s="51"/>
      <c r="R52" s="51"/>
      <c r="S52" s="51"/>
      <c r="T52" s="51"/>
      <c r="U52" s="51"/>
    </row>
    <row r="53" spans="1:21" s="2" customFormat="1">
      <c r="A53" s="13" t="s">
        <v>48</v>
      </c>
      <c r="B53" s="25">
        <f t="shared" si="6"/>
        <v>0</v>
      </c>
      <c r="C53" s="26"/>
      <c r="D53" s="51"/>
      <c r="E53" s="51"/>
      <c r="F53" s="52"/>
      <c r="G53" s="26"/>
      <c r="H53" s="51"/>
      <c r="I53" s="51"/>
      <c r="J53" s="51"/>
      <c r="K53" s="51"/>
      <c r="L53" s="52"/>
      <c r="M53" s="26"/>
      <c r="N53" s="51"/>
      <c r="O53" s="52"/>
      <c r="P53" s="51"/>
      <c r="Q53" s="51"/>
      <c r="R53" s="51"/>
      <c r="S53" s="51"/>
      <c r="T53" s="51"/>
      <c r="U53" s="51"/>
    </row>
    <row r="54" spans="1:21" s="2" customFormat="1">
      <c r="A54" s="92" t="s">
        <v>49</v>
      </c>
      <c r="B54" s="107">
        <f t="shared" si="6"/>
        <v>188988024.43954331</v>
      </c>
      <c r="C54" s="107">
        <f t="shared" ref="C54:O54" si="7">SUM(C43:C53)</f>
        <v>0</v>
      </c>
      <c r="D54" s="108">
        <f t="shared" si="7"/>
        <v>40072259.394654654</v>
      </c>
      <c r="E54" s="108">
        <f t="shared" si="7"/>
        <v>144746212.19226265</v>
      </c>
      <c r="F54" s="109">
        <f t="shared" si="7"/>
        <v>2818840.4452612875</v>
      </c>
      <c r="G54" s="107">
        <f t="shared" si="7"/>
        <v>0</v>
      </c>
      <c r="H54" s="108">
        <f t="shared" si="7"/>
        <v>0</v>
      </c>
      <c r="I54" s="108">
        <f t="shared" si="7"/>
        <v>0</v>
      </c>
      <c r="J54" s="108">
        <f t="shared" si="7"/>
        <v>0</v>
      </c>
      <c r="K54" s="108">
        <f t="shared" si="7"/>
        <v>1155586.2634248782</v>
      </c>
      <c r="L54" s="109">
        <f t="shared" si="7"/>
        <v>0</v>
      </c>
      <c r="M54" s="107">
        <f t="shared" si="7"/>
        <v>195126.14393982818</v>
      </c>
      <c r="N54" s="108">
        <f t="shared" si="7"/>
        <v>0</v>
      </c>
      <c r="O54" s="109">
        <f t="shared" si="7"/>
        <v>0</v>
      </c>
      <c r="P54" s="49"/>
      <c r="Q54" s="49"/>
      <c r="R54" s="49"/>
      <c r="S54" s="49"/>
      <c r="T54" s="49"/>
      <c r="U54" s="49"/>
    </row>
    <row r="55" spans="1:21" s="2" customFormat="1">
      <c r="A55" s="13"/>
      <c r="B55" s="24"/>
      <c r="C55" s="24"/>
      <c r="D55" s="11"/>
      <c r="E55" s="11"/>
      <c r="F55" s="48"/>
      <c r="G55" s="24"/>
      <c r="H55" s="11"/>
      <c r="I55" s="11"/>
      <c r="J55" s="11"/>
      <c r="K55" s="11"/>
      <c r="L55" s="48"/>
      <c r="M55" s="24"/>
      <c r="N55" s="11"/>
      <c r="O55" s="48"/>
      <c r="P55" s="11"/>
      <c r="Q55" s="11"/>
      <c r="R55" s="11"/>
      <c r="S55" s="11"/>
      <c r="T55" s="11"/>
      <c r="U55" s="11"/>
    </row>
    <row r="56" spans="1:21" s="2" customFormat="1">
      <c r="A56" s="13" t="s">
        <v>50</v>
      </c>
      <c r="B56" s="24"/>
      <c r="C56" s="24"/>
      <c r="D56" s="11"/>
      <c r="E56" s="11"/>
      <c r="F56" s="48"/>
      <c r="G56" s="24"/>
      <c r="H56" s="11"/>
      <c r="I56" s="11"/>
      <c r="J56" s="11"/>
      <c r="K56" s="11"/>
      <c r="L56" s="48"/>
      <c r="M56" s="24"/>
      <c r="N56" s="11"/>
      <c r="O56" s="48"/>
      <c r="P56" s="11"/>
      <c r="Q56" s="11"/>
      <c r="R56" s="11"/>
      <c r="S56" s="11"/>
      <c r="T56" s="11"/>
      <c r="U56" s="11"/>
    </row>
    <row r="57" spans="1:21" s="2" customFormat="1">
      <c r="A57" s="13" t="s">
        <v>51</v>
      </c>
      <c r="B57" s="25">
        <f t="shared" ref="B57:B65" si="8">SUM(C57:O57)</f>
        <v>-184328449.8581796</v>
      </c>
      <c r="C57" s="26"/>
      <c r="D57" s="51">
        <v>-34739396.253725342</v>
      </c>
      <c r="E57" s="51">
        <v>-145939584.60045871</v>
      </c>
      <c r="F57" s="52">
        <v>-22531.760830106788</v>
      </c>
      <c r="G57" s="26"/>
      <c r="H57" s="51"/>
      <c r="I57" s="51"/>
      <c r="J57" s="51"/>
      <c r="K57" s="51">
        <v>-2039193.9216359917</v>
      </c>
      <c r="L57" s="52">
        <v>-1563207.2771989743</v>
      </c>
      <c r="M57" s="26">
        <v>-24536.044330474469</v>
      </c>
      <c r="N57" s="51"/>
      <c r="O57" s="52"/>
      <c r="P57" s="51"/>
      <c r="Q57" s="51"/>
      <c r="R57" s="51"/>
      <c r="S57" s="51"/>
      <c r="T57" s="51"/>
      <c r="U57" s="51"/>
    </row>
    <row r="58" spans="1:21" s="2" customFormat="1">
      <c r="A58" s="13" t="s">
        <v>52</v>
      </c>
      <c r="B58" s="25">
        <f t="shared" si="8"/>
        <v>0</v>
      </c>
      <c r="C58" s="26"/>
      <c r="D58" s="51"/>
      <c r="E58" s="51"/>
      <c r="F58" s="52"/>
      <c r="G58" s="26"/>
      <c r="H58" s="51"/>
      <c r="I58" s="51"/>
      <c r="J58" s="51"/>
      <c r="K58" s="51"/>
      <c r="L58" s="52"/>
      <c r="M58" s="26"/>
      <c r="N58" s="51"/>
      <c r="O58" s="52"/>
      <c r="P58" s="51"/>
      <c r="Q58" s="51"/>
      <c r="R58" s="51"/>
      <c r="S58" s="51"/>
      <c r="T58" s="51"/>
      <c r="U58" s="51"/>
    </row>
    <row r="59" spans="1:21" s="2" customFormat="1">
      <c r="A59" s="13" t="s">
        <v>53</v>
      </c>
      <c r="B59" s="25">
        <f t="shared" si="8"/>
        <v>-2341695.5755120357</v>
      </c>
      <c r="C59" s="26"/>
      <c r="D59" s="51">
        <v>5859.4193875578885</v>
      </c>
      <c r="E59" s="51">
        <v>-9437559.870494768</v>
      </c>
      <c r="F59" s="52">
        <v>-15981.948612028087</v>
      </c>
      <c r="G59" s="26"/>
      <c r="H59" s="51">
        <v>5309049.4542611726</v>
      </c>
      <c r="I59" s="51"/>
      <c r="J59" s="51">
        <v>1398141.6119470925</v>
      </c>
      <c r="K59" s="51"/>
      <c r="L59" s="52">
        <v>69596.261205994757</v>
      </c>
      <c r="M59" s="26">
        <v>-70739.808877801232</v>
      </c>
      <c r="N59" s="51"/>
      <c r="O59" s="52">
        <v>399939.30567074427</v>
      </c>
      <c r="P59" s="51"/>
      <c r="Q59" s="51"/>
      <c r="R59" s="51"/>
      <c r="S59" s="51"/>
      <c r="T59" s="51"/>
      <c r="U59" s="51"/>
    </row>
    <row r="60" spans="1:21" s="2" customFormat="1">
      <c r="A60" s="13" t="s">
        <v>54</v>
      </c>
      <c r="B60" s="25">
        <f t="shared" si="8"/>
        <v>0</v>
      </c>
      <c r="C60" s="26"/>
      <c r="D60" s="51"/>
      <c r="E60" s="51"/>
      <c r="F60" s="52"/>
      <c r="G60" s="26"/>
      <c r="H60" s="51"/>
      <c r="I60" s="51"/>
      <c r="J60" s="51"/>
      <c r="K60" s="51"/>
      <c r="L60" s="52"/>
      <c r="M60" s="26"/>
      <c r="N60" s="51"/>
      <c r="O60" s="52"/>
      <c r="P60" s="51"/>
      <c r="Q60" s="51"/>
      <c r="R60" s="51"/>
      <c r="S60" s="51"/>
      <c r="T60" s="51"/>
      <c r="U60" s="51"/>
    </row>
    <row r="61" spans="1:21" s="2" customFormat="1">
      <c r="A61" s="13" t="s">
        <v>55</v>
      </c>
      <c r="B61" s="25">
        <f t="shared" si="8"/>
        <v>0</v>
      </c>
      <c r="C61" s="26"/>
      <c r="D61" s="51"/>
      <c r="E61" s="51"/>
      <c r="F61" s="52"/>
      <c r="G61" s="26"/>
      <c r="H61" s="51"/>
      <c r="I61" s="51"/>
      <c r="J61" s="51"/>
      <c r="K61" s="51"/>
      <c r="L61" s="52"/>
      <c r="M61" s="26"/>
      <c r="N61" s="51"/>
      <c r="O61" s="52"/>
      <c r="P61" s="51"/>
      <c r="Q61" s="51"/>
      <c r="R61" s="51"/>
      <c r="S61" s="51"/>
      <c r="T61" s="51"/>
      <c r="U61" s="51"/>
    </row>
    <row r="62" spans="1:21" s="2" customFormat="1">
      <c r="A62" s="13" t="s">
        <v>56</v>
      </c>
      <c r="B62" s="25">
        <f t="shared" si="8"/>
        <v>0</v>
      </c>
      <c r="C62" s="26"/>
      <c r="D62" s="51"/>
      <c r="E62" s="51"/>
      <c r="F62" s="52"/>
      <c r="G62" s="26"/>
      <c r="H62" s="51"/>
      <c r="I62" s="51"/>
      <c r="J62" s="51"/>
      <c r="K62" s="51"/>
      <c r="L62" s="52"/>
      <c r="M62" s="26"/>
      <c r="N62" s="51"/>
      <c r="O62" s="52"/>
      <c r="P62" s="51"/>
      <c r="Q62" s="51"/>
      <c r="R62" s="51"/>
      <c r="S62" s="51"/>
      <c r="T62" s="51"/>
      <c r="U62" s="51"/>
    </row>
    <row r="63" spans="1:21" s="2" customFormat="1">
      <c r="A63" s="13" t="s">
        <v>57</v>
      </c>
      <c r="B63" s="25">
        <f t="shared" si="8"/>
        <v>-27279871.740809049</v>
      </c>
      <c r="C63" s="26"/>
      <c r="D63" s="51"/>
      <c r="E63" s="51"/>
      <c r="F63" s="52"/>
      <c r="G63" s="26"/>
      <c r="H63" s="51">
        <v>-21593271.674321234</v>
      </c>
      <c r="I63" s="51"/>
      <c r="J63" s="51">
        <v>-5686600.0664878162</v>
      </c>
      <c r="K63" s="51"/>
      <c r="L63" s="52"/>
      <c r="M63" s="26"/>
      <c r="N63" s="51"/>
      <c r="O63" s="52"/>
      <c r="P63" s="51"/>
      <c r="Q63" s="51"/>
      <c r="R63" s="51"/>
      <c r="S63" s="51"/>
      <c r="T63" s="51"/>
      <c r="U63" s="51"/>
    </row>
    <row r="64" spans="1:21" s="2" customFormat="1">
      <c r="A64" s="13"/>
      <c r="B64" s="24">
        <f t="shared" si="8"/>
        <v>0</v>
      </c>
      <c r="C64" s="24"/>
      <c r="D64" s="11"/>
      <c r="E64" s="11"/>
      <c r="F64" s="48"/>
      <c r="G64" s="24"/>
      <c r="H64" s="11"/>
      <c r="I64" s="11"/>
      <c r="J64" s="11"/>
      <c r="K64" s="11"/>
      <c r="L64" s="48"/>
      <c r="M64" s="24"/>
      <c r="N64" s="11"/>
      <c r="O64" s="48"/>
      <c r="P64" s="11"/>
      <c r="Q64" s="11"/>
      <c r="R64" s="11"/>
      <c r="S64" s="11"/>
      <c r="T64" s="11"/>
      <c r="U64" s="11"/>
    </row>
    <row r="65" spans="1:22">
      <c r="A65" s="92" t="s">
        <v>58</v>
      </c>
      <c r="B65" s="93">
        <f t="shared" si="8"/>
        <v>-213950017.17450064</v>
      </c>
      <c r="C65" s="93">
        <f t="shared" ref="C65:O65" si="9">SUM(C57:C64)</f>
        <v>0</v>
      </c>
      <c r="D65" s="94">
        <f t="shared" si="9"/>
        <v>-34733536.834337786</v>
      </c>
      <c r="E65" s="94">
        <f t="shared" si="9"/>
        <v>-155377144.47095346</v>
      </c>
      <c r="F65" s="95">
        <f t="shared" si="9"/>
        <v>-38513.709442134874</v>
      </c>
      <c r="G65" s="93">
        <f t="shared" si="9"/>
        <v>0</v>
      </c>
      <c r="H65" s="94">
        <f t="shared" si="9"/>
        <v>-16284222.220060062</v>
      </c>
      <c r="I65" s="94">
        <f t="shared" si="9"/>
        <v>0</v>
      </c>
      <c r="J65" s="94">
        <f t="shared" si="9"/>
        <v>-4288458.4545407239</v>
      </c>
      <c r="K65" s="94">
        <f t="shared" si="9"/>
        <v>-2039193.9216359917</v>
      </c>
      <c r="L65" s="95">
        <f t="shared" si="9"/>
        <v>-1493611.0159929795</v>
      </c>
      <c r="M65" s="93">
        <f t="shared" si="9"/>
        <v>-95275.853208275701</v>
      </c>
      <c r="N65" s="94">
        <f t="shared" si="9"/>
        <v>0</v>
      </c>
      <c r="O65" s="95">
        <f t="shared" si="9"/>
        <v>399939.30567074427</v>
      </c>
      <c r="P65" s="11"/>
      <c r="Q65" s="11"/>
      <c r="R65" s="11"/>
      <c r="S65" s="11"/>
      <c r="T65" s="11"/>
      <c r="U65" s="11"/>
    </row>
    <row r="66" spans="1:22">
      <c r="A66" s="13"/>
      <c r="B66" s="24"/>
      <c r="C66" s="24"/>
      <c r="D66" s="11"/>
      <c r="E66" s="11"/>
      <c r="F66" s="48"/>
      <c r="G66" s="24"/>
      <c r="H66" s="11"/>
      <c r="I66" s="11"/>
      <c r="J66" s="11"/>
      <c r="K66" s="11"/>
      <c r="L66" s="48"/>
      <c r="M66" s="24"/>
      <c r="N66" s="11"/>
      <c r="O66" s="48"/>
      <c r="P66" s="11"/>
      <c r="Q66" s="11"/>
      <c r="R66" s="11"/>
      <c r="S66" s="11"/>
      <c r="T66" s="11"/>
      <c r="U66" s="11"/>
    </row>
    <row r="67" spans="1:22" ht="13.5" thickBot="1">
      <c r="A67" s="92" t="s">
        <v>59</v>
      </c>
      <c r="B67" s="110">
        <f>SUM(C67:O67)</f>
        <v>-24961992.734957375</v>
      </c>
      <c r="C67" s="110">
        <f t="shared" ref="C67:O67" si="10">C54+C65</f>
        <v>0</v>
      </c>
      <c r="D67" s="111">
        <f t="shared" si="10"/>
        <v>5338722.5603168681</v>
      </c>
      <c r="E67" s="111">
        <f t="shared" si="10"/>
        <v>-10630932.278690815</v>
      </c>
      <c r="F67" s="112">
        <f t="shared" si="10"/>
        <v>2780326.7358191526</v>
      </c>
      <c r="G67" s="110">
        <f t="shared" si="10"/>
        <v>0</v>
      </c>
      <c r="H67" s="111">
        <f t="shared" si="10"/>
        <v>-16284222.220060062</v>
      </c>
      <c r="I67" s="111">
        <f t="shared" si="10"/>
        <v>0</v>
      </c>
      <c r="J67" s="111">
        <f t="shared" si="10"/>
        <v>-4288458.4545407239</v>
      </c>
      <c r="K67" s="111">
        <f t="shared" si="10"/>
        <v>-883607.65821111342</v>
      </c>
      <c r="L67" s="112">
        <f t="shared" si="10"/>
        <v>-1493611.0159929795</v>
      </c>
      <c r="M67" s="110">
        <f t="shared" si="10"/>
        <v>99850.290731552479</v>
      </c>
      <c r="N67" s="111">
        <f t="shared" si="10"/>
        <v>0</v>
      </c>
      <c r="O67" s="112">
        <f t="shared" si="10"/>
        <v>399939.30567074427</v>
      </c>
      <c r="P67" s="12"/>
      <c r="Q67" s="12"/>
      <c r="R67" s="12"/>
      <c r="S67" s="12"/>
      <c r="T67" s="12"/>
      <c r="U67" s="12"/>
    </row>
    <row r="68" spans="1:22" ht="13.5" thickTop="1">
      <c r="A68" s="13"/>
      <c r="B68" s="24"/>
      <c r="C68" s="24"/>
      <c r="D68" s="11"/>
      <c r="E68" s="11"/>
      <c r="F68" s="48"/>
      <c r="G68" s="24"/>
      <c r="H68" s="11"/>
      <c r="I68" s="11"/>
      <c r="J68" s="11"/>
      <c r="K68" s="11"/>
      <c r="L68" s="48"/>
      <c r="M68" s="24"/>
      <c r="N68" s="11"/>
      <c r="O68" s="48"/>
      <c r="P68" s="11"/>
      <c r="Q68" s="11"/>
      <c r="R68" s="11"/>
      <c r="S68" s="11"/>
      <c r="T68" s="11"/>
      <c r="U68" s="11"/>
    </row>
    <row r="69" spans="1:22">
      <c r="A69" s="13"/>
      <c r="B69" s="24"/>
      <c r="C69" s="24"/>
      <c r="D69" s="11"/>
      <c r="E69" s="11"/>
      <c r="F69" s="48"/>
      <c r="G69" s="24"/>
      <c r="H69" s="11"/>
      <c r="I69" s="11"/>
      <c r="J69" s="11"/>
      <c r="K69" s="11"/>
      <c r="L69" s="48"/>
      <c r="M69" s="24"/>
      <c r="N69" s="11"/>
      <c r="O69" s="48"/>
      <c r="P69" s="11"/>
      <c r="Q69" s="11"/>
      <c r="R69" s="11"/>
      <c r="S69" s="11"/>
      <c r="T69" s="11"/>
      <c r="U69" s="11"/>
    </row>
    <row r="70" spans="1:22" s="79" customFormat="1">
      <c r="A70" s="114" t="s">
        <v>84</v>
      </c>
      <c r="B70" s="115">
        <f t="shared" ref="B70:O70" si="11">(((B40+Unadj_Op_revenue)/(B67+Unadj_rate_base))-Weighted_cost_debt-Weighted_cost_pref)/Percent_common-Unadj_ROE</f>
        <v>-6.6478000760745726E-3</v>
      </c>
      <c r="C70" s="115">
        <f t="shared" si="11"/>
        <v>-2.0644811334844526E-3</v>
      </c>
      <c r="D70" s="116">
        <f t="shared" si="11"/>
        <v>-5.7904712794865087E-4</v>
      </c>
      <c r="E70" s="116">
        <f t="shared" si="11"/>
        <v>-5.6010623413868532E-4</v>
      </c>
      <c r="F70" s="117">
        <f t="shared" si="11"/>
        <v>-3.3981337557836833E-4</v>
      </c>
      <c r="G70" s="115">
        <f t="shared" si="11"/>
        <v>2.6562973676695911E-3</v>
      </c>
      <c r="H70" s="116">
        <f t="shared" si="11"/>
        <v>-4.6896560450458147E-3</v>
      </c>
      <c r="I70" s="116">
        <f t="shared" si="11"/>
        <v>-1.0935133539313191E-3</v>
      </c>
      <c r="J70" s="116">
        <f t="shared" si="11"/>
        <v>4.6848885045788768E-4</v>
      </c>
      <c r="K70" s="116">
        <f t="shared" si="11"/>
        <v>9.6283302355976152E-5</v>
      </c>
      <c r="L70" s="117">
        <f t="shared" si="11"/>
        <v>1.5908980726470068E-4</v>
      </c>
      <c r="M70" s="115">
        <f t="shared" si="11"/>
        <v>-1.2646820194861519E-5</v>
      </c>
      <c r="N70" s="116">
        <f t="shared" si="11"/>
        <v>-1.9914475173096746E-4</v>
      </c>
      <c r="O70" s="117">
        <f t="shared" si="11"/>
        <v>-4.222134778282538E-4</v>
      </c>
      <c r="P70" s="15"/>
      <c r="Q70" s="15"/>
      <c r="R70" s="15"/>
      <c r="S70" s="15"/>
      <c r="T70" s="15"/>
      <c r="U70" s="15"/>
      <c r="V70" s="76"/>
    </row>
    <row r="71" spans="1:22">
      <c r="A71" s="92" t="s">
        <v>7</v>
      </c>
      <c r="B71" s="221">
        <f>SUM(C71:O71)</f>
        <v>5809162.7528233677</v>
      </c>
      <c r="C71" s="221">
        <f t="shared" ref="C71:O71" si="12">-(C40-(C67*Overall_ROR))/gross_up_factor</f>
        <v>1838314.0879933408</v>
      </c>
      <c r="D71" s="220">
        <f t="shared" si="12"/>
        <v>517667.62609015405</v>
      </c>
      <c r="E71" s="220">
        <f t="shared" si="12"/>
        <v>494785.59021295694</v>
      </c>
      <c r="F71" s="219">
        <f t="shared" si="12"/>
        <v>303214.67463599198</v>
      </c>
      <c r="G71" s="221">
        <f t="shared" si="12"/>
        <v>-2365295.9543615868</v>
      </c>
      <c r="H71" s="220">
        <f t="shared" si="12"/>
        <v>4125108.5448477888</v>
      </c>
      <c r="I71" s="220">
        <f t="shared" si="12"/>
        <v>973717.30423514836</v>
      </c>
      <c r="J71" s="220">
        <f t="shared" si="12"/>
        <v>-415829.08320611145</v>
      </c>
      <c r="K71" s="220">
        <f t="shared" si="12"/>
        <v>-85678.750609973344</v>
      </c>
      <c r="L71" s="219">
        <f t="shared" si="12"/>
        <v>-141503.26669428416</v>
      </c>
      <c r="M71" s="221">
        <f t="shared" si="12"/>
        <v>11262.182867324766</v>
      </c>
      <c r="N71" s="220">
        <f t="shared" si="12"/>
        <v>177328.14154570989</v>
      </c>
      <c r="O71" s="219">
        <f t="shared" si="12"/>
        <v>376071.65526690811</v>
      </c>
      <c r="P71" s="218"/>
      <c r="Q71" s="218"/>
      <c r="R71" s="218"/>
      <c r="S71" s="218"/>
      <c r="T71" s="218"/>
      <c r="U71" s="218"/>
    </row>
    <row r="72" spans="1:22">
      <c r="A72" s="13"/>
      <c r="B72" s="16"/>
      <c r="C72" s="16"/>
      <c r="D72" s="15"/>
      <c r="E72" s="15"/>
      <c r="F72" s="17"/>
      <c r="G72" s="16"/>
      <c r="H72" s="15"/>
      <c r="I72" s="15"/>
      <c r="J72" s="15"/>
      <c r="K72" s="15"/>
      <c r="L72" s="17"/>
      <c r="M72" s="16"/>
      <c r="N72" s="15"/>
      <c r="O72" s="17"/>
      <c r="P72" s="15"/>
      <c r="Q72" s="15"/>
      <c r="R72" s="15"/>
      <c r="S72" s="15"/>
      <c r="T72" s="15"/>
      <c r="U72" s="15"/>
    </row>
    <row r="73" spans="1:22">
      <c r="A73" s="13" t="s">
        <v>61</v>
      </c>
      <c r="B73" s="24"/>
      <c r="C73" s="24"/>
      <c r="D73" s="11"/>
      <c r="E73" s="11"/>
      <c r="F73" s="48"/>
      <c r="G73" s="24"/>
      <c r="H73" s="11"/>
      <c r="I73" s="11"/>
      <c r="J73" s="11"/>
      <c r="K73" s="11"/>
      <c r="L73" s="48"/>
      <c r="M73" s="24"/>
      <c r="N73" s="11"/>
      <c r="O73" s="48"/>
      <c r="P73" s="11"/>
      <c r="Q73" s="11"/>
      <c r="R73" s="11"/>
      <c r="S73" s="11"/>
      <c r="T73" s="11"/>
      <c r="U73" s="11"/>
    </row>
    <row r="74" spans="1:22">
      <c r="A74" s="92" t="s">
        <v>62</v>
      </c>
      <c r="B74" s="221">
        <f t="shared" ref="B74:B80" si="13">SUM(C74:O74)</f>
        <v>-7703918.8822114058</v>
      </c>
      <c r="C74" s="221">
        <f t="shared" ref="C74:O74" si="14">C16-C29-C30-C31-C32-C37</f>
        <v>-1749469.9970065237</v>
      </c>
      <c r="D74" s="220">
        <f t="shared" si="14"/>
        <v>0</v>
      </c>
      <c r="E74" s="220">
        <f t="shared" si="14"/>
        <v>-1563207.2771988716</v>
      </c>
      <c r="F74" s="219">
        <f t="shared" si="14"/>
        <v>-23871.2950445813</v>
      </c>
      <c r="G74" s="221">
        <f t="shared" si="14"/>
        <v>2250983.2967191497</v>
      </c>
      <c r="H74" s="220">
        <f t="shared" si="14"/>
        <v>-5686600.066487818</v>
      </c>
      <c r="I74" s="220">
        <f t="shared" si="14"/>
        <v>-926658.40970894846</v>
      </c>
      <c r="J74" s="220">
        <f t="shared" si="14"/>
        <v>0</v>
      </c>
      <c r="K74" s="220">
        <f t="shared" si="14"/>
        <v>0</v>
      </c>
      <c r="L74" s="219">
        <f t="shared" si="14"/>
        <v>-3444.1006326457582</v>
      </c>
      <c r="M74" s="221">
        <f t="shared" si="14"/>
        <v>-1651.0328511656346</v>
      </c>
      <c r="N74" s="220">
        <f t="shared" si="14"/>
        <v>0</v>
      </c>
      <c r="O74" s="219">
        <f t="shared" si="14"/>
        <v>0</v>
      </c>
      <c r="P74" s="218"/>
      <c r="Q74" s="218"/>
      <c r="R74" s="218"/>
      <c r="S74" s="218"/>
      <c r="T74" s="218"/>
      <c r="U74" s="218"/>
    </row>
    <row r="75" spans="1:22">
      <c r="A75" s="13" t="s">
        <v>63</v>
      </c>
      <c r="B75" s="217">
        <f t="shared" si="13"/>
        <v>0</v>
      </c>
      <c r="C75" s="24"/>
      <c r="D75" s="11"/>
      <c r="E75" s="11"/>
      <c r="F75" s="48"/>
      <c r="G75" s="24"/>
      <c r="H75" s="11"/>
      <c r="I75" s="11"/>
      <c r="J75" s="11"/>
      <c r="K75" s="11"/>
      <c r="L75" s="48"/>
      <c r="M75" s="24"/>
      <c r="N75" s="11"/>
      <c r="O75" s="48"/>
      <c r="P75" s="11"/>
      <c r="Q75" s="11"/>
      <c r="R75" s="11"/>
      <c r="S75" s="11"/>
      <c r="T75" s="11"/>
      <c r="U75" s="11"/>
    </row>
    <row r="76" spans="1:22">
      <c r="A76" s="13" t="s">
        <v>64</v>
      </c>
      <c r="B76" s="217">
        <f t="shared" si="13"/>
        <v>0</v>
      </c>
      <c r="C76" s="25"/>
      <c r="D76" s="49"/>
      <c r="E76" s="49"/>
      <c r="F76" s="50"/>
      <c r="G76" s="25"/>
      <c r="H76" s="49"/>
      <c r="I76" s="49"/>
      <c r="J76" s="49"/>
      <c r="K76" s="49"/>
      <c r="L76" s="50"/>
      <c r="M76" s="25"/>
      <c r="N76" s="49"/>
      <c r="O76" s="50"/>
      <c r="P76" s="49"/>
      <c r="Q76" s="49"/>
      <c r="R76" s="49"/>
      <c r="S76" s="49"/>
      <c r="T76" s="49"/>
      <c r="U76" s="49"/>
    </row>
    <row r="77" spans="1:22">
      <c r="A77" s="13" t="s">
        <v>65</v>
      </c>
      <c r="B77" s="217">
        <f t="shared" si="13"/>
        <v>-634851.63512807444</v>
      </c>
      <c r="C77" s="25"/>
      <c r="D77" s="49"/>
      <c r="E77" s="49"/>
      <c r="F77" s="50"/>
      <c r="G77" s="25"/>
      <c r="H77" s="49"/>
      <c r="I77" s="49"/>
      <c r="J77" s="49"/>
      <c r="K77" s="49"/>
      <c r="L77" s="50"/>
      <c r="M77" s="25"/>
      <c r="N77" s="49">
        <v>-634851.63512807444</v>
      </c>
      <c r="O77" s="50"/>
      <c r="P77" s="49"/>
      <c r="Q77" s="49"/>
      <c r="R77" s="49"/>
      <c r="S77" s="49"/>
      <c r="T77" s="49"/>
      <c r="U77" s="49"/>
    </row>
    <row r="78" spans="1:22">
      <c r="A78" s="13" t="s">
        <v>66</v>
      </c>
      <c r="B78" s="217">
        <f t="shared" si="13"/>
        <v>7281537.957428976</v>
      </c>
      <c r="C78" s="25"/>
      <c r="D78" s="49"/>
      <c r="E78" s="49">
        <v>1569416.0292294936</v>
      </c>
      <c r="F78" s="50">
        <v>23871.073414752143</v>
      </c>
      <c r="G78" s="25"/>
      <c r="H78" s="49">
        <v>5686599.8325303458</v>
      </c>
      <c r="I78" s="49"/>
      <c r="J78" s="49"/>
      <c r="K78" s="49"/>
      <c r="L78" s="50"/>
      <c r="M78" s="25">
        <v>1651.0222543840509</v>
      </c>
      <c r="N78" s="49"/>
      <c r="O78" s="50"/>
      <c r="P78" s="49"/>
      <c r="Q78" s="49"/>
      <c r="R78" s="49"/>
      <c r="S78" s="49"/>
      <c r="T78" s="49"/>
      <c r="U78" s="49"/>
    </row>
    <row r="79" spans="1:22">
      <c r="A79" s="13" t="s">
        <v>67</v>
      </c>
      <c r="B79" s="217">
        <f t="shared" si="13"/>
        <v>201227.25199554319</v>
      </c>
      <c r="C79" s="57"/>
      <c r="D79" s="55"/>
      <c r="E79" s="55"/>
      <c r="F79" s="58">
        <v>202818.77579888768</v>
      </c>
      <c r="G79" s="57"/>
      <c r="H79" s="55"/>
      <c r="I79" s="55"/>
      <c r="J79" s="55"/>
      <c r="K79" s="55"/>
      <c r="L79" s="58"/>
      <c r="M79" s="57">
        <v>-1591.5238033444787</v>
      </c>
      <c r="N79" s="55"/>
      <c r="O79" s="58"/>
      <c r="P79" s="49"/>
      <c r="Q79" s="49"/>
      <c r="R79" s="49"/>
      <c r="S79" s="49"/>
      <c r="T79" s="49"/>
      <c r="U79" s="49"/>
    </row>
    <row r="80" spans="1:22">
      <c r="A80" s="92" t="s">
        <v>68</v>
      </c>
      <c r="B80" s="118">
        <f t="shared" si="13"/>
        <v>11243.458350101952</v>
      </c>
      <c r="C80" s="119">
        <f t="shared" ref="C80:O80" si="15">C74-C76-C77+C78-C79</f>
        <v>-1749469.9970065237</v>
      </c>
      <c r="D80" s="113">
        <f t="shared" si="15"/>
        <v>0</v>
      </c>
      <c r="E80" s="113">
        <f t="shared" si="15"/>
        <v>6208.7520306219812</v>
      </c>
      <c r="F80" s="120">
        <f t="shared" si="15"/>
        <v>-202818.99742871683</v>
      </c>
      <c r="G80" s="119">
        <f t="shared" si="15"/>
        <v>2250983.2967191497</v>
      </c>
      <c r="H80" s="113">
        <f t="shared" si="15"/>
        <v>-0.23395747225731611</v>
      </c>
      <c r="I80" s="113">
        <f t="shared" si="15"/>
        <v>-926658.40970894846</v>
      </c>
      <c r="J80" s="113">
        <f t="shared" si="15"/>
        <v>0</v>
      </c>
      <c r="K80" s="113">
        <f t="shared" si="15"/>
        <v>0</v>
      </c>
      <c r="L80" s="120">
        <f t="shared" si="15"/>
        <v>-3444.1006326457582</v>
      </c>
      <c r="M80" s="119">
        <f t="shared" si="15"/>
        <v>1591.513206562895</v>
      </c>
      <c r="N80" s="113">
        <f t="shared" si="15"/>
        <v>634851.63512807444</v>
      </c>
      <c r="O80" s="120">
        <f t="shared" si="15"/>
        <v>0</v>
      </c>
      <c r="P80" s="12"/>
      <c r="Q80" s="12"/>
      <c r="R80" s="12"/>
      <c r="S80" s="12"/>
      <c r="T80" s="12"/>
      <c r="U80" s="12"/>
    </row>
    <row r="81" spans="1:21" s="2" customFormat="1">
      <c r="A81" s="13"/>
      <c r="B81" s="24"/>
      <c r="C81" s="24"/>
      <c r="D81" s="11"/>
      <c r="E81" s="11"/>
      <c r="F81" s="48"/>
      <c r="G81" s="24"/>
      <c r="H81" s="11"/>
      <c r="I81" s="11"/>
      <c r="J81" s="11"/>
      <c r="K81" s="11"/>
      <c r="L81" s="48"/>
      <c r="M81" s="24"/>
      <c r="N81" s="11"/>
      <c r="O81" s="48"/>
      <c r="P81" s="11"/>
      <c r="Q81" s="11"/>
      <c r="R81" s="11"/>
      <c r="S81" s="11"/>
      <c r="T81" s="11"/>
      <c r="U81" s="11"/>
    </row>
    <row r="82" spans="1:21" s="2" customFormat="1">
      <c r="A82" s="13" t="s">
        <v>69</v>
      </c>
      <c r="B82" s="28">
        <f>SUM(C82:O82)</f>
        <v>0</v>
      </c>
      <c r="C82" s="24">
        <v>0</v>
      </c>
      <c r="D82" s="11">
        <v>0</v>
      </c>
      <c r="E82" s="11">
        <v>0</v>
      </c>
      <c r="F82" s="48">
        <v>0</v>
      </c>
      <c r="G82" s="24">
        <v>0</v>
      </c>
      <c r="H82" s="11">
        <v>0</v>
      </c>
      <c r="I82" s="11">
        <v>0</v>
      </c>
      <c r="J82" s="11">
        <v>0</v>
      </c>
      <c r="K82" s="11">
        <v>0</v>
      </c>
      <c r="L82" s="48">
        <v>0</v>
      </c>
      <c r="M82" s="24">
        <v>0</v>
      </c>
      <c r="N82" s="11">
        <v>0</v>
      </c>
      <c r="O82" s="48">
        <v>0</v>
      </c>
      <c r="P82" s="11"/>
      <c r="Q82" s="11"/>
      <c r="R82" s="11"/>
      <c r="S82" s="11"/>
      <c r="T82" s="11"/>
      <c r="U82" s="11"/>
    </row>
    <row r="83" spans="1:21" s="2" customFormat="1">
      <c r="A83" s="92" t="s">
        <v>70</v>
      </c>
      <c r="B83" s="121">
        <f>SUM(C83:O83)</f>
        <v>11243.458350101952</v>
      </c>
      <c r="C83" s="98">
        <f t="shared" ref="C83:O83" si="16">C80-C82</f>
        <v>-1749469.9970065237</v>
      </c>
      <c r="D83" s="96">
        <f t="shared" si="16"/>
        <v>0</v>
      </c>
      <c r="E83" s="96">
        <f t="shared" si="16"/>
        <v>6208.7520306219812</v>
      </c>
      <c r="F83" s="99">
        <f t="shared" si="16"/>
        <v>-202818.99742871683</v>
      </c>
      <c r="G83" s="98">
        <f t="shared" si="16"/>
        <v>2250983.2967191497</v>
      </c>
      <c r="H83" s="96">
        <f t="shared" si="16"/>
        <v>-0.23395747225731611</v>
      </c>
      <c r="I83" s="96">
        <f t="shared" si="16"/>
        <v>-926658.40970894846</v>
      </c>
      <c r="J83" s="96">
        <f t="shared" si="16"/>
        <v>0</v>
      </c>
      <c r="K83" s="96">
        <f t="shared" si="16"/>
        <v>0</v>
      </c>
      <c r="L83" s="99">
        <f t="shared" si="16"/>
        <v>-3444.1006326457582</v>
      </c>
      <c r="M83" s="98">
        <f t="shared" si="16"/>
        <v>1591.513206562895</v>
      </c>
      <c r="N83" s="96">
        <f t="shared" si="16"/>
        <v>634851.63512807444</v>
      </c>
      <c r="O83" s="99">
        <f t="shared" si="16"/>
        <v>0</v>
      </c>
      <c r="P83" s="11"/>
      <c r="Q83" s="11"/>
      <c r="R83" s="11"/>
      <c r="S83" s="11"/>
      <c r="T83" s="11"/>
      <c r="U83" s="11"/>
    </row>
    <row r="84" spans="1:21" s="2" customFormat="1">
      <c r="A84" s="13"/>
      <c r="B84" s="28"/>
      <c r="C84" s="24"/>
      <c r="D84" s="11"/>
      <c r="E84" s="11"/>
      <c r="F84" s="48"/>
      <c r="G84" s="24"/>
      <c r="H84" s="11"/>
      <c r="I84" s="11"/>
      <c r="J84" s="11"/>
      <c r="K84" s="11"/>
      <c r="L84" s="48"/>
      <c r="M84" s="24"/>
      <c r="N84" s="11"/>
      <c r="O84" s="48"/>
      <c r="P84" s="11"/>
      <c r="Q84" s="11"/>
      <c r="R84" s="11"/>
      <c r="S84" s="11"/>
      <c r="T84" s="11"/>
      <c r="U84" s="11"/>
    </row>
    <row r="85" spans="1:21" s="2" customFormat="1">
      <c r="A85" s="92" t="s">
        <v>72</v>
      </c>
      <c r="B85" s="121">
        <f>SUM(C85:O85)</f>
        <v>2361.1262535214337</v>
      </c>
      <c r="C85" s="98">
        <f t="shared" ref="C85:O85" si="17">C83*0.21</f>
        <v>-367388.69937136996</v>
      </c>
      <c r="D85" s="96">
        <f t="shared" si="17"/>
        <v>0</v>
      </c>
      <c r="E85" s="96">
        <f t="shared" si="17"/>
        <v>1303.8379264306161</v>
      </c>
      <c r="F85" s="99">
        <f t="shared" si="17"/>
        <v>-42591.989460030534</v>
      </c>
      <c r="G85" s="98">
        <f t="shared" si="17"/>
        <v>472706.49231102143</v>
      </c>
      <c r="H85" s="96">
        <f t="shared" si="17"/>
        <v>-4.9131069174036382E-2</v>
      </c>
      <c r="I85" s="96">
        <f t="shared" si="17"/>
        <v>-194598.26603887917</v>
      </c>
      <c r="J85" s="96">
        <f t="shared" si="17"/>
        <v>0</v>
      </c>
      <c r="K85" s="96">
        <f t="shared" si="17"/>
        <v>0</v>
      </c>
      <c r="L85" s="99">
        <f t="shared" si="17"/>
        <v>-723.26113285560916</v>
      </c>
      <c r="M85" s="98">
        <f t="shared" si="17"/>
        <v>334.21777337820794</v>
      </c>
      <c r="N85" s="96">
        <f t="shared" si="17"/>
        <v>133318.84337689562</v>
      </c>
      <c r="O85" s="99">
        <f t="shared" si="17"/>
        <v>0</v>
      </c>
      <c r="P85" s="11"/>
      <c r="Q85" s="11"/>
      <c r="R85" s="11"/>
      <c r="S85" s="11"/>
      <c r="T85" s="11"/>
      <c r="U85" s="11"/>
    </row>
    <row r="86" spans="1:21" s="2" customFormat="1">
      <c r="A86" s="13" t="s">
        <v>105</v>
      </c>
      <c r="B86" s="28">
        <f>SUM(C86:O86)</f>
        <v>-6196.2291705880243</v>
      </c>
      <c r="C86" s="24"/>
      <c r="D86" s="11"/>
      <c r="E86" s="11">
        <v>-6196.2291705880243</v>
      </c>
      <c r="F86" s="48"/>
      <c r="G86" s="24"/>
      <c r="H86" s="11"/>
      <c r="I86" s="11"/>
      <c r="J86" s="11"/>
      <c r="K86" s="11"/>
      <c r="L86" s="48"/>
      <c r="M86" s="24"/>
      <c r="N86" s="11"/>
      <c r="O86" s="48"/>
      <c r="P86" s="11"/>
      <c r="Q86" s="11"/>
      <c r="R86" s="11"/>
      <c r="S86" s="11"/>
      <c r="T86" s="11"/>
      <c r="U86" s="11"/>
    </row>
    <row r="87" spans="1:21" s="2" customFormat="1" ht="13.5" thickBot="1">
      <c r="A87" s="92" t="s">
        <v>73</v>
      </c>
      <c r="B87" s="122">
        <f>SUM(C87:O87)</f>
        <v>-3835.1029170665424</v>
      </c>
      <c r="C87" s="123">
        <f t="shared" ref="C87:O87" si="18">C85+C86</f>
        <v>-367388.69937136996</v>
      </c>
      <c r="D87" s="124">
        <f t="shared" si="18"/>
        <v>0</v>
      </c>
      <c r="E87" s="124">
        <f t="shared" si="18"/>
        <v>-4892.3912441574084</v>
      </c>
      <c r="F87" s="125">
        <f t="shared" si="18"/>
        <v>-42591.989460030534</v>
      </c>
      <c r="G87" s="123">
        <f t="shared" si="18"/>
        <v>472706.49231102143</v>
      </c>
      <c r="H87" s="124">
        <f t="shared" si="18"/>
        <v>-4.9131069174036382E-2</v>
      </c>
      <c r="I87" s="124">
        <f t="shared" si="18"/>
        <v>-194598.26603887917</v>
      </c>
      <c r="J87" s="124">
        <f t="shared" si="18"/>
        <v>0</v>
      </c>
      <c r="K87" s="124">
        <f t="shared" si="18"/>
        <v>0</v>
      </c>
      <c r="L87" s="125">
        <f t="shared" si="18"/>
        <v>-723.26113285560916</v>
      </c>
      <c r="M87" s="123">
        <f t="shared" si="18"/>
        <v>334.21777337820794</v>
      </c>
      <c r="N87" s="124">
        <f t="shared" si="18"/>
        <v>133318.84337689562</v>
      </c>
      <c r="O87" s="125">
        <f t="shared" si="18"/>
        <v>0</v>
      </c>
      <c r="P87" s="11"/>
      <c r="Q87" s="11"/>
      <c r="R87" s="11"/>
      <c r="S87" s="11"/>
      <c r="T87" s="11"/>
      <c r="U87" s="11"/>
    </row>
    <row r="88" spans="1:21" s="2" customFormat="1">
      <c r="A88" s="13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</row>
    <row r="89" spans="1:21" s="2" customForma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</row>
    <row r="90" spans="1:21" s="2" customForma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</row>
    <row r="91" spans="1:21" s="2" customForma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 spans="1:21" s="2" customFormat="1">
      <c r="A92" s="216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spans="1:21" s="2" customFormat="1" ht="15">
      <c r="B93" s="14"/>
      <c r="J93" s="175"/>
      <c r="K93" s="174"/>
      <c r="L93" s="174"/>
      <c r="M93" s="174"/>
    </row>
    <row r="94" spans="1:21" s="2" customFormat="1">
      <c r="A94" s="4" t="s">
        <v>121</v>
      </c>
      <c r="B94" s="14">
        <v>-1735595.4798920334</v>
      </c>
      <c r="K94" s="176"/>
      <c r="L94" s="176"/>
      <c r="M94" s="176"/>
    </row>
    <row r="95" spans="1:21" s="2" customFormat="1">
      <c r="A95" s="4" t="s">
        <v>183</v>
      </c>
      <c r="B95" s="2">
        <f>B71+B94</f>
        <v>4073567.2729313346</v>
      </c>
    </row>
    <row r="96" spans="1:21" s="2" customFormat="1">
      <c r="B96" s="163">
        <f>B95-'Non-NPC Coal Costs (RY2)'!F25</f>
        <v>0</v>
      </c>
    </row>
    <row r="97" spans="1:13" s="2" customFormat="1"/>
    <row r="98" spans="1:13" s="2" customFormat="1"/>
    <row r="99" spans="1:13" s="2" customFormat="1">
      <c r="J99" s="172"/>
      <c r="K99" s="172"/>
      <c r="L99" s="172"/>
      <c r="M99" s="172"/>
    </row>
    <row r="100" spans="1:13" s="2" customFormat="1" ht="15">
      <c r="A100" s="168"/>
    </row>
    <row r="101" spans="1:13" s="2" customFormat="1"/>
    <row r="102" spans="1:13" s="2" customFormat="1"/>
    <row r="103" spans="1:13" s="2" customFormat="1"/>
    <row r="104" spans="1:13" s="2" customFormat="1" ht="6.75" customHeight="1"/>
    <row r="105" spans="1:13" s="2" customFormat="1"/>
    <row r="106" spans="1:13" s="2" customFormat="1"/>
    <row r="107" spans="1:13" s="2" customFormat="1">
      <c r="K107" s="172"/>
    </row>
    <row r="108" spans="1:13" s="2" customFormat="1">
      <c r="A108" s="169"/>
      <c r="B108" s="170"/>
      <c r="K108" s="172"/>
    </row>
    <row r="109" spans="1:13" s="2" customFormat="1">
      <c r="K109" s="172"/>
    </row>
    <row r="110" spans="1:13" s="2" customFormat="1">
      <c r="A110" s="163"/>
      <c r="B110" s="4"/>
      <c r="K110" s="172"/>
    </row>
    <row r="111" spans="1:13" s="2" customFormat="1">
      <c r="B111" s="128"/>
      <c r="K111" s="172"/>
    </row>
    <row r="112" spans="1:13" s="2" customFormat="1">
      <c r="A112" s="4"/>
      <c r="B112" s="137"/>
      <c r="K112" s="172"/>
    </row>
    <row r="113" spans="2:11" s="2" customFormat="1">
      <c r="K113" s="172"/>
    </row>
    <row r="114" spans="2:11" s="2" customFormat="1">
      <c r="K114" s="172"/>
    </row>
    <row r="115" spans="2:11" s="2" customFormat="1">
      <c r="B115" s="14"/>
      <c r="K115" s="172"/>
    </row>
    <row r="116" spans="2:11" s="2" customFormat="1">
      <c r="B116" s="14"/>
      <c r="K116" s="172"/>
    </row>
    <row r="117" spans="2:11" s="2" customFormat="1">
      <c r="B117" s="14"/>
      <c r="K117" s="172"/>
    </row>
    <row r="118" spans="2:11" s="2" customFormat="1">
      <c r="B118" s="14"/>
      <c r="K118" s="172"/>
    </row>
    <row r="119" spans="2:11" s="2" customFormat="1">
      <c r="B119" s="14"/>
      <c r="K119" s="172"/>
    </row>
    <row r="120" spans="2:11" s="2" customFormat="1">
      <c r="B120" s="14"/>
      <c r="K120" s="172"/>
    </row>
    <row r="121" spans="2:11" s="2" customFormat="1">
      <c r="B121" s="14"/>
      <c r="K121" s="172"/>
    </row>
    <row r="122" spans="2:11" s="2" customFormat="1">
      <c r="B122" s="14"/>
      <c r="K122" s="172"/>
    </row>
    <row r="123" spans="2:11" s="2" customFormat="1">
      <c r="B123" s="14"/>
      <c r="K123" s="172"/>
    </row>
    <row r="124" spans="2:11" s="2" customFormat="1">
      <c r="B124" s="14"/>
      <c r="K124" s="172"/>
    </row>
    <row r="125" spans="2:11" s="2" customFormat="1">
      <c r="B125" s="14"/>
      <c r="K125" s="172"/>
    </row>
    <row r="126" spans="2:11" s="2" customFormat="1">
      <c r="B126" s="14"/>
      <c r="K126" s="172"/>
    </row>
    <row r="127" spans="2:11" s="2" customFormat="1">
      <c r="B127" s="14"/>
      <c r="K127" s="172"/>
    </row>
    <row r="128" spans="2:11" s="2" customFormat="1">
      <c r="B128" s="14"/>
      <c r="K128" s="172"/>
    </row>
    <row r="129" spans="2:11" s="2" customFormat="1">
      <c r="B129" s="14"/>
      <c r="K129" s="172"/>
    </row>
    <row r="130" spans="2:11" s="2" customFormat="1">
      <c r="B130" s="14"/>
      <c r="K130" s="172"/>
    </row>
    <row r="131" spans="2:11" s="2" customFormat="1">
      <c r="B131" s="14"/>
      <c r="K131" s="172"/>
    </row>
    <row r="132" spans="2:11" s="2" customFormat="1">
      <c r="B132" s="14"/>
      <c r="K132" s="172"/>
    </row>
    <row r="133" spans="2:11" s="2" customFormat="1">
      <c r="B133" s="14"/>
      <c r="K133" s="172"/>
    </row>
    <row r="134" spans="2:11" s="2" customFormat="1">
      <c r="B134" s="14"/>
      <c r="K134" s="172"/>
    </row>
    <row r="135" spans="2:11" s="2" customFormat="1">
      <c r="B135" s="14"/>
      <c r="K135" s="172"/>
    </row>
    <row r="136" spans="2:11" s="2" customFormat="1">
      <c r="B136" s="14"/>
      <c r="K136" s="172"/>
    </row>
    <row r="137" spans="2:11" s="2" customFormat="1">
      <c r="B137" s="14"/>
      <c r="K137" s="172"/>
    </row>
    <row r="138" spans="2:11" s="2" customFormat="1">
      <c r="B138" s="14"/>
      <c r="K138" s="172"/>
    </row>
    <row r="139" spans="2:11" s="2" customFormat="1">
      <c r="B139" s="14"/>
      <c r="K139" s="172"/>
    </row>
    <row r="140" spans="2:11" s="2" customFormat="1">
      <c r="B140" s="14"/>
      <c r="K140" s="172"/>
    </row>
    <row r="141" spans="2:11" s="2" customFormat="1">
      <c r="B141" s="14"/>
      <c r="K141" s="172"/>
    </row>
    <row r="142" spans="2:11" s="2" customFormat="1">
      <c r="B142" s="14"/>
      <c r="K142" s="172"/>
    </row>
    <row r="143" spans="2:11" s="2" customFormat="1">
      <c r="B143" s="14"/>
      <c r="K143" s="172"/>
    </row>
    <row r="144" spans="2:11" s="2" customFormat="1">
      <c r="B144" s="14"/>
      <c r="K144" s="172"/>
    </row>
    <row r="145" spans="2:11" s="2" customFormat="1">
      <c r="B145" s="14"/>
      <c r="K145" s="172"/>
    </row>
    <row r="146" spans="2:11" s="2" customFormat="1">
      <c r="B146" s="14"/>
      <c r="K146" s="172"/>
    </row>
    <row r="147" spans="2:11" s="2" customFormat="1">
      <c r="B147" s="14"/>
      <c r="K147" s="172"/>
    </row>
    <row r="148" spans="2:11" s="2" customFormat="1">
      <c r="B148" s="14"/>
      <c r="K148" s="172"/>
    </row>
    <row r="149" spans="2:11" s="2" customFormat="1">
      <c r="B149" s="14"/>
      <c r="K149" s="172"/>
    </row>
    <row r="150" spans="2:11" s="2" customFormat="1">
      <c r="B150" s="14"/>
      <c r="K150" s="172"/>
    </row>
    <row r="151" spans="2:11" s="2" customFormat="1">
      <c r="B151" s="14"/>
      <c r="K151" s="172"/>
    </row>
    <row r="152" spans="2:11" s="2" customFormat="1">
      <c r="B152" s="14"/>
      <c r="K152" s="172"/>
    </row>
    <row r="153" spans="2:11" s="2" customFormat="1">
      <c r="B153" s="14"/>
      <c r="K153" s="172"/>
    </row>
  </sheetData>
  <mergeCells count="3">
    <mergeCell ref="C7:F7"/>
    <mergeCell ref="G7:L7"/>
    <mergeCell ref="M7:O7"/>
  </mergeCells>
  <pageMargins left="0.7" right="0.7" top="0.75" bottom="0.75" header="0.3" footer="0.3"/>
  <pageSetup scale="56" firstPageNumber="17" fitToWidth="0" orientation="portrait" useFirstPageNumber="1" r:id="rId1"/>
  <headerFooter alignWithMargins="0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6ED1A-B9D7-40E5-BA45-EF3E34E5AB2C}">
  <sheetPr>
    <tabColor theme="6" tint="0.59999389629810485"/>
    <pageSetUpPr fitToPage="1"/>
  </sheetPr>
  <dimension ref="A1:M73"/>
  <sheetViews>
    <sheetView view="pageBreakPreview" zoomScale="80" zoomScaleNormal="100" zoomScaleSheetLayoutView="80" workbookViewId="0">
      <pane ySplit="6" topLeftCell="A43" activePane="bottomLeft" state="frozen"/>
      <selection pane="bottomLeft" activeCell="D74" sqref="D74"/>
    </sheetView>
  </sheetViews>
  <sheetFormatPr defaultColWidth="9.140625" defaultRowHeight="12.75"/>
  <cols>
    <col min="1" max="1" width="10.42578125" style="152" bestFit="1" customWidth="1"/>
    <col min="2" max="2" width="12" style="152" bestFit="1" customWidth="1"/>
    <col min="3" max="3" width="13.5703125" style="152" bestFit="1" customWidth="1"/>
    <col min="4" max="4" width="13.42578125" style="152" customWidth="1"/>
    <col min="5" max="5" width="14.140625" style="152" bestFit="1" customWidth="1"/>
    <col min="6" max="6" width="13.5703125" style="152" customWidth="1"/>
    <col min="7" max="7" width="8.85546875" style="152" customWidth="1"/>
    <col min="8" max="8" width="13.7109375" style="152" bestFit="1" customWidth="1"/>
    <col min="9" max="9" width="14.7109375" style="152" customWidth="1"/>
    <col min="10" max="10" width="13.42578125" style="152" bestFit="1" customWidth="1"/>
    <col min="11" max="11" width="15.85546875" style="152" bestFit="1" customWidth="1"/>
    <col min="12" max="12" width="9.140625" style="152"/>
    <col min="13" max="13" width="9.28515625" style="152" bestFit="1" customWidth="1"/>
    <col min="14" max="16384" width="9.140625" style="152"/>
  </cols>
  <sheetData>
    <row r="1" spans="1:13">
      <c r="A1" s="154" t="s">
        <v>6</v>
      </c>
    </row>
    <row r="2" spans="1:13">
      <c r="A2" s="154" t="s">
        <v>188</v>
      </c>
      <c r="E2" s="140"/>
      <c r="L2" s="139">
        <v>0.21577192756641544</v>
      </c>
      <c r="M2" s="140" t="s">
        <v>122</v>
      </c>
    </row>
    <row r="3" spans="1:13">
      <c r="A3" s="154" t="s">
        <v>121</v>
      </c>
      <c r="E3" s="140"/>
      <c r="L3" s="139"/>
      <c r="M3" s="140"/>
    </row>
    <row r="4" spans="1:13">
      <c r="A4" s="154"/>
      <c r="C4" s="153"/>
      <c r="D4" s="140"/>
      <c r="E4" s="140"/>
    </row>
    <row r="5" spans="1:13">
      <c r="A5" s="154"/>
      <c r="B5" s="226" t="s">
        <v>123</v>
      </c>
      <c r="C5" s="226"/>
      <c r="D5" s="154"/>
      <c r="E5" s="154"/>
      <c r="F5" s="154"/>
      <c r="G5" s="154"/>
      <c r="H5" s="154"/>
      <c r="I5" s="155"/>
    </row>
    <row r="6" spans="1:13" ht="38.25">
      <c r="A6" s="155" t="s">
        <v>124</v>
      </c>
      <c r="B6" s="155" t="s">
        <v>125</v>
      </c>
      <c r="C6" s="155" t="s">
        <v>149</v>
      </c>
      <c r="D6" s="155" t="s">
        <v>126</v>
      </c>
      <c r="E6" s="156" t="s">
        <v>148</v>
      </c>
      <c r="F6" s="155" t="s">
        <v>127</v>
      </c>
      <c r="G6" s="156" t="s">
        <v>155</v>
      </c>
      <c r="H6" s="155" t="s">
        <v>65</v>
      </c>
      <c r="I6" s="155" t="s">
        <v>129</v>
      </c>
      <c r="L6" s="155" t="s">
        <v>130</v>
      </c>
      <c r="M6" s="156" t="s">
        <v>128</v>
      </c>
    </row>
    <row r="7" spans="1:13">
      <c r="A7" s="157">
        <v>44508</v>
      </c>
      <c r="B7" s="140">
        <f>B8*(A8-A7)/30</f>
        <v>-32049.970795151996</v>
      </c>
      <c r="C7" s="138">
        <v>-218617.42951483361</v>
      </c>
      <c r="D7" s="140">
        <v>0</v>
      </c>
      <c r="E7" s="140">
        <f>(C7-B7)/2</f>
        <v>-93283.7293598408</v>
      </c>
      <c r="F7" s="140">
        <v>0</v>
      </c>
      <c r="G7" s="141">
        <f t="shared" ref="G7:G8" si="0">$M$10</f>
        <v>3.2500000000000001E-2</v>
      </c>
      <c r="H7" s="140">
        <f t="shared" ref="H7:H59" si="1">(D7+0.5*(E7+F7))*G7/12</f>
        <v>-126.32171684145108</v>
      </c>
      <c r="I7" s="140">
        <f t="shared" ref="I7:I59" si="2">D7+E7+F7+H7</f>
        <v>-93410.051076682255</v>
      </c>
      <c r="L7" s="152" t="s">
        <v>131</v>
      </c>
      <c r="M7" s="158">
        <v>3.2500000000000001E-2</v>
      </c>
    </row>
    <row r="8" spans="1:13">
      <c r="A8" s="157">
        <v>44531</v>
      </c>
      <c r="B8" s="138">
        <v>-41804.309732806949</v>
      </c>
      <c r="C8" s="138">
        <v>-218364.60455434158</v>
      </c>
      <c r="D8" s="138">
        <f t="shared" ref="D8:D10" si="3">I7</f>
        <v>-93410.051076682255</v>
      </c>
      <c r="E8" s="138">
        <f t="shared" ref="E8:E35" si="4">(C8-B8)/2</f>
        <v>-88280.147410767313</v>
      </c>
      <c r="F8" s="138">
        <v>0</v>
      </c>
      <c r="G8" s="142">
        <f t="shared" si="0"/>
        <v>3.2500000000000001E-2</v>
      </c>
      <c r="H8" s="138">
        <f t="shared" si="1"/>
        <v>-372.53158795142855</v>
      </c>
      <c r="I8" s="138">
        <f t="shared" si="2"/>
        <v>-182062.73007540099</v>
      </c>
      <c r="L8" s="152" t="s">
        <v>132</v>
      </c>
      <c r="M8" s="158">
        <v>3.2500000000000001E-2</v>
      </c>
    </row>
    <row r="9" spans="1:13">
      <c r="A9" s="157">
        <v>44562</v>
      </c>
      <c r="B9" s="140">
        <f t="shared" ref="B9:B35" si="5">B8</f>
        <v>-41804.309732806949</v>
      </c>
      <c r="C9" s="138">
        <v>-246135.35321356138</v>
      </c>
      <c r="D9" s="140">
        <f t="shared" si="3"/>
        <v>-182062.73007540099</v>
      </c>
      <c r="E9" s="140">
        <f t="shared" si="4"/>
        <v>-102165.52174037721</v>
      </c>
      <c r="F9" s="140">
        <v>0</v>
      </c>
      <c r="G9" s="141">
        <f>$M$11</f>
        <v>3.2500000000000001E-2</v>
      </c>
      <c r="H9" s="140">
        <f t="shared" si="1"/>
        <v>-631.43570464430525</v>
      </c>
      <c r="I9" s="140">
        <f t="shared" si="2"/>
        <v>-284859.68752042251</v>
      </c>
      <c r="L9" s="152" t="s">
        <v>133</v>
      </c>
      <c r="M9" s="158">
        <v>3.2500000000000001E-2</v>
      </c>
    </row>
    <row r="10" spans="1:13">
      <c r="A10" s="157">
        <v>44593</v>
      </c>
      <c r="B10" s="140">
        <f t="shared" si="5"/>
        <v>-41804.309732806949</v>
      </c>
      <c r="C10" s="138">
        <v>-266302.76411945978</v>
      </c>
      <c r="D10" s="140">
        <f t="shared" si="3"/>
        <v>-284859.68752042251</v>
      </c>
      <c r="E10" s="140">
        <f t="shared" si="4"/>
        <v>-112249.22719332641</v>
      </c>
      <c r="F10" s="140">
        <v>0</v>
      </c>
      <c r="G10" s="141">
        <f t="shared" ref="G10:G11" si="6">$M$11</f>
        <v>3.2500000000000001E-2</v>
      </c>
      <c r="H10" s="140">
        <f t="shared" si="1"/>
        <v>-923.49914885877388</v>
      </c>
      <c r="I10" s="140">
        <f t="shared" si="2"/>
        <v>-398032.41386260767</v>
      </c>
      <c r="J10" s="159"/>
      <c r="L10" s="152" t="s">
        <v>134</v>
      </c>
      <c r="M10" s="158">
        <v>3.2500000000000001E-2</v>
      </c>
    </row>
    <row r="11" spans="1:13">
      <c r="A11" s="157">
        <v>44621</v>
      </c>
      <c r="B11" s="140">
        <f t="shared" si="5"/>
        <v>-41804.309732806949</v>
      </c>
      <c r="C11" s="138">
        <v>-177835.02665548818</v>
      </c>
      <c r="D11" s="140">
        <f>I10</f>
        <v>-398032.41386260767</v>
      </c>
      <c r="E11" s="140">
        <f t="shared" si="4"/>
        <v>-68015.358461340613</v>
      </c>
      <c r="F11" s="140">
        <v>0</v>
      </c>
      <c r="G11" s="141">
        <f t="shared" si="6"/>
        <v>3.2500000000000001E-2</v>
      </c>
      <c r="H11" s="140">
        <f t="shared" si="1"/>
        <v>-1170.1085854609612</v>
      </c>
      <c r="I11" s="140">
        <f t="shared" si="2"/>
        <v>-467217.88090940926</v>
      </c>
      <c r="L11" s="152" t="s">
        <v>135</v>
      </c>
      <c r="M11" s="158">
        <v>3.2500000000000001E-2</v>
      </c>
    </row>
    <row r="12" spans="1:13">
      <c r="A12" s="157">
        <v>44652</v>
      </c>
      <c r="B12" s="140">
        <f t="shared" si="5"/>
        <v>-41804.309732806949</v>
      </c>
      <c r="C12" s="138">
        <v>-255927.2267748572</v>
      </c>
      <c r="D12" s="140">
        <f t="shared" ref="D12:D45" si="7">I11</f>
        <v>-467217.88090940926</v>
      </c>
      <c r="E12" s="140">
        <f t="shared" si="4"/>
        <v>-107061.45852102512</v>
      </c>
      <c r="F12" s="140">
        <v>0</v>
      </c>
      <c r="G12" s="141">
        <f>$M$12</f>
        <v>3.2500000000000001E-2</v>
      </c>
      <c r="H12" s="140">
        <f t="shared" si="1"/>
        <v>-1410.3608192102049</v>
      </c>
      <c r="I12" s="140">
        <f t="shared" si="2"/>
        <v>-575689.70024964458</v>
      </c>
      <c r="L12" s="152" t="s">
        <v>136</v>
      </c>
      <c r="M12" s="158">
        <v>3.2500000000000001E-2</v>
      </c>
    </row>
    <row r="13" spans="1:13">
      <c r="A13" s="157">
        <v>44682</v>
      </c>
      <c r="B13" s="140">
        <f t="shared" si="5"/>
        <v>-41804.309732806949</v>
      </c>
      <c r="C13" s="138">
        <v>-229168.24564469676</v>
      </c>
      <c r="D13" s="140">
        <f t="shared" si="7"/>
        <v>-575689.70024964458</v>
      </c>
      <c r="E13" s="140">
        <f t="shared" si="4"/>
        <v>-93681.9679559449</v>
      </c>
      <c r="F13" s="140">
        <v>0</v>
      </c>
      <c r="G13" s="141">
        <f t="shared" ref="G13:G14" si="8">$M$12</f>
        <v>3.2500000000000001E-2</v>
      </c>
      <c r="H13" s="140">
        <f t="shared" si="1"/>
        <v>-1686.0206031164628</v>
      </c>
      <c r="I13" s="140">
        <f t="shared" si="2"/>
        <v>-671057.68880870601</v>
      </c>
      <c r="L13" s="152" t="s">
        <v>137</v>
      </c>
      <c r="M13" s="158">
        <v>3.5999999999999997E-2</v>
      </c>
    </row>
    <row r="14" spans="1:13">
      <c r="A14" s="157">
        <v>44713</v>
      </c>
      <c r="B14" s="140">
        <f t="shared" si="5"/>
        <v>-41804.309732806949</v>
      </c>
      <c r="C14" s="138">
        <v>-243434.69063276067</v>
      </c>
      <c r="D14" s="140">
        <f t="shared" si="7"/>
        <v>-671057.68880870601</v>
      </c>
      <c r="E14" s="140">
        <f t="shared" si="4"/>
        <v>-100815.19044997686</v>
      </c>
      <c r="F14" s="140">
        <v>0</v>
      </c>
      <c r="G14" s="141">
        <f t="shared" si="8"/>
        <v>3.2500000000000001E-2</v>
      </c>
      <c r="H14" s="140">
        <f t="shared" si="1"/>
        <v>-1953.9684775912558</v>
      </c>
      <c r="I14" s="140">
        <f t="shared" si="2"/>
        <v>-773826.84773627413</v>
      </c>
      <c r="L14" s="152" t="s">
        <v>138</v>
      </c>
      <c r="M14" s="158">
        <v>4.9099999999999998E-2</v>
      </c>
    </row>
    <row r="15" spans="1:13">
      <c r="A15" s="157">
        <v>44743</v>
      </c>
      <c r="B15" s="140">
        <f t="shared" si="5"/>
        <v>-41804.309732806949</v>
      </c>
      <c r="C15" s="138">
        <v>-220800.9929292227</v>
      </c>
      <c r="D15" s="140">
        <f t="shared" si="7"/>
        <v>-773826.84773627413</v>
      </c>
      <c r="E15" s="140">
        <f t="shared" si="4"/>
        <v>-89498.341598207873</v>
      </c>
      <c r="F15" s="140">
        <v>0</v>
      </c>
      <c r="G15" s="141">
        <f>$M$13</f>
        <v>3.5999999999999997E-2</v>
      </c>
      <c r="H15" s="140">
        <f t="shared" si="1"/>
        <v>-2455.7280556061337</v>
      </c>
      <c r="I15" s="140">
        <f t="shared" si="2"/>
        <v>-865780.91739008809</v>
      </c>
      <c r="L15" s="152" t="s">
        <v>139</v>
      </c>
      <c r="M15" s="158">
        <v>6.3100000000000003E-2</v>
      </c>
    </row>
    <row r="16" spans="1:13">
      <c r="A16" s="157">
        <v>44774</v>
      </c>
      <c r="B16" s="140">
        <f t="shared" si="5"/>
        <v>-41804.309732806949</v>
      </c>
      <c r="C16" s="138">
        <v>-269251.85815447936</v>
      </c>
      <c r="D16" s="140">
        <f t="shared" si="7"/>
        <v>-865780.91739008809</v>
      </c>
      <c r="E16" s="140">
        <f t="shared" si="4"/>
        <v>-113723.7742108362</v>
      </c>
      <c r="F16" s="140">
        <v>0</v>
      </c>
      <c r="G16" s="141">
        <f t="shared" ref="G16:G17" si="9">$M$13</f>
        <v>3.5999999999999997E-2</v>
      </c>
      <c r="H16" s="140">
        <f t="shared" si="1"/>
        <v>-2767.9284134865188</v>
      </c>
      <c r="I16" s="140">
        <f t="shared" si="2"/>
        <v>-982272.62001441082</v>
      </c>
      <c r="L16" s="152" t="s">
        <v>140</v>
      </c>
      <c r="M16" s="158">
        <v>7.4999999999999997E-2</v>
      </c>
    </row>
    <row r="17" spans="1:13">
      <c r="A17" s="157">
        <v>44805</v>
      </c>
      <c r="B17" s="140">
        <f t="shared" si="5"/>
        <v>-41804.309732806949</v>
      </c>
      <c r="C17" s="138">
        <v>-351668.94626904855</v>
      </c>
      <c r="D17" s="140">
        <f t="shared" si="7"/>
        <v>-982272.62001441082</v>
      </c>
      <c r="E17" s="140">
        <f t="shared" si="4"/>
        <v>-154932.31826812081</v>
      </c>
      <c r="F17" s="140">
        <v>0</v>
      </c>
      <c r="G17" s="141">
        <f t="shared" si="9"/>
        <v>3.5999999999999997E-2</v>
      </c>
      <c r="H17" s="140">
        <f t="shared" si="1"/>
        <v>-3179.216337445414</v>
      </c>
      <c r="I17" s="140">
        <f t="shared" si="2"/>
        <v>-1140384.1546199771</v>
      </c>
      <c r="L17" s="152" t="s">
        <v>141</v>
      </c>
      <c r="M17" s="158">
        <v>8.0199999999999994E-2</v>
      </c>
    </row>
    <row r="18" spans="1:13">
      <c r="A18" s="157">
        <v>44835</v>
      </c>
      <c r="B18" s="140">
        <f t="shared" si="5"/>
        <v>-41804.309732806949</v>
      </c>
      <c r="C18" s="138">
        <v>-291929.24686831451</v>
      </c>
      <c r="D18" s="140">
        <f t="shared" si="7"/>
        <v>-1140384.1546199771</v>
      </c>
      <c r="E18" s="140">
        <f t="shared" si="4"/>
        <v>-125062.46856775378</v>
      </c>
      <c r="F18" s="140">
        <v>0</v>
      </c>
      <c r="G18" s="141">
        <f>$M$14</f>
        <v>4.9099999999999998E-2</v>
      </c>
      <c r="H18" s="140">
        <f t="shared" si="1"/>
        <v>-4921.9287995982686</v>
      </c>
      <c r="I18" s="140">
        <f t="shared" si="2"/>
        <v>-1270368.551987329</v>
      </c>
      <c r="L18" s="152" t="s">
        <v>142</v>
      </c>
      <c r="M18" s="158">
        <v>8.3500000000000005E-2</v>
      </c>
    </row>
    <row r="19" spans="1:13">
      <c r="A19" s="157">
        <v>44866</v>
      </c>
      <c r="B19" s="140">
        <f t="shared" si="5"/>
        <v>-41804.309732806949</v>
      </c>
      <c r="C19" s="138">
        <v>-301735.6620190487</v>
      </c>
      <c r="D19" s="140">
        <f t="shared" si="7"/>
        <v>-1270368.551987329</v>
      </c>
      <c r="E19" s="140">
        <f t="shared" si="4"/>
        <v>-129965.67614312087</v>
      </c>
      <c r="F19" s="140">
        <v>0</v>
      </c>
      <c r="G19" s="141">
        <f t="shared" ref="G19:G20" si="10">$M$14</f>
        <v>4.9099999999999998E-2</v>
      </c>
      <c r="H19" s="140">
        <f t="shared" si="1"/>
        <v>-5463.8127709909559</v>
      </c>
      <c r="I19" s="140">
        <f t="shared" si="2"/>
        <v>-1405798.0409014409</v>
      </c>
      <c r="L19" s="152" t="s">
        <v>143</v>
      </c>
      <c r="M19" s="158">
        <v>8.5000000000000006E-2</v>
      </c>
    </row>
    <row r="20" spans="1:13">
      <c r="A20" s="157">
        <v>44896</v>
      </c>
      <c r="B20" s="140">
        <f t="shared" si="5"/>
        <v>-41804.309732806949</v>
      </c>
      <c r="C20" s="138">
        <v>-300250.84044581605</v>
      </c>
      <c r="D20" s="140">
        <f t="shared" si="7"/>
        <v>-1405798.0409014409</v>
      </c>
      <c r="E20" s="140">
        <f t="shared" si="4"/>
        <v>-129223.26535650455</v>
      </c>
      <c r="F20" s="140">
        <v>0</v>
      </c>
      <c r="G20" s="141">
        <f t="shared" si="10"/>
        <v>4.9099999999999998E-2</v>
      </c>
      <c r="H20" s="140">
        <f t="shared" si="1"/>
        <v>-6016.4262477302436</v>
      </c>
      <c r="I20" s="140">
        <f t="shared" si="2"/>
        <v>-1541037.7325056756</v>
      </c>
      <c r="L20" s="152" t="s">
        <v>144</v>
      </c>
      <c r="M20" s="158">
        <v>8.5000000000000006E-2</v>
      </c>
    </row>
    <row r="21" spans="1:13">
      <c r="A21" s="157">
        <v>44927</v>
      </c>
      <c r="B21" s="140">
        <f t="shared" si="5"/>
        <v>-41804.309732806949</v>
      </c>
      <c r="C21" s="140">
        <v>-270856.87806922599</v>
      </c>
      <c r="D21" s="140">
        <f t="shared" si="7"/>
        <v>-1541037.7325056756</v>
      </c>
      <c r="E21" s="140">
        <f t="shared" si="4"/>
        <v>-114526.28416820952</v>
      </c>
      <c r="F21" s="140">
        <v>0</v>
      </c>
      <c r="G21" s="141">
        <f>$M$15</f>
        <v>6.3100000000000003E-2</v>
      </c>
      <c r="H21" s="140">
        <f t="shared" si="1"/>
        <v>-8404.3987655512628</v>
      </c>
      <c r="I21" s="140">
        <f t="shared" si="2"/>
        <v>-1663968.4154394362</v>
      </c>
      <c r="M21" s="158"/>
    </row>
    <row r="22" spans="1:13">
      <c r="A22" s="157">
        <v>44958</v>
      </c>
      <c r="B22" s="140">
        <f t="shared" si="5"/>
        <v>-41804.309732806949</v>
      </c>
      <c r="C22" s="140">
        <v>-226344.75201716981</v>
      </c>
      <c r="D22" s="140">
        <f t="shared" si="7"/>
        <v>-1663968.4154394362</v>
      </c>
      <c r="E22" s="140">
        <f t="shared" si="4"/>
        <v>-92270.221142181428</v>
      </c>
      <c r="F22" s="140">
        <v>0</v>
      </c>
      <c r="G22" s="141">
        <f t="shared" ref="G22:G23" si="11">$M$15</f>
        <v>6.3100000000000003E-2</v>
      </c>
      <c r="H22" s="140">
        <f t="shared" si="1"/>
        <v>-8992.2943742720217</v>
      </c>
      <c r="I22" s="140">
        <f t="shared" si="2"/>
        <v>-1765230.9309558896</v>
      </c>
      <c r="K22" s="159"/>
      <c r="M22" s="158"/>
    </row>
    <row r="23" spans="1:13">
      <c r="A23" s="157">
        <v>44986</v>
      </c>
      <c r="B23" s="140">
        <f t="shared" si="5"/>
        <v>-41804.309732806949</v>
      </c>
      <c r="C23" s="140">
        <v>-163285.28518098788</v>
      </c>
      <c r="D23" s="140">
        <f t="shared" si="7"/>
        <v>-1765230.9309558896</v>
      </c>
      <c r="E23" s="140">
        <f t="shared" si="4"/>
        <v>-60740.487724090461</v>
      </c>
      <c r="F23" s="140">
        <v>0</v>
      </c>
      <c r="G23" s="141">
        <f t="shared" si="11"/>
        <v>6.3100000000000003E-2</v>
      </c>
      <c r="H23" s="140">
        <f t="shared" si="1"/>
        <v>-9441.8695109176424</v>
      </c>
      <c r="I23" s="140">
        <f t="shared" si="2"/>
        <v>-1835413.2881908978</v>
      </c>
      <c r="M23" s="158"/>
    </row>
    <row r="24" spans="1:13">
      <c r="A24" s="157">
        <v>45017</v>
      </c>
      <c r="B24" s="140">
        <f t="shared" si="5"/>
        <v>-41804.309732806949</v>
      </c>
      <c r="C24" s="140">
        <v>-182991.94574641238</v>
      </c>
      <c r="D24" s="140">
        <f t="shared" si="7"/>
        <v>-1835413.2881908978</v>
      </c>
      <c r="E24" s="140">
        <f t="shared" si="4"/>
        <v>-70593.818006802714</v>
      </c>
      <c r="F24" s="140">
        <v>0</v>
      </c>
      <c r="G24" s="141">
        <f>$M$16</f>
        <v>7.4999999999999997E-2</v>
      </c>
      <c r="H24" s="140">
        <f t="shared" si="1"/>
        <v>-11691.938732464369</v>
      </c>
      <c r="I24" s="140">
        <f t="shared" si="2"/>
        <v>-1917699.0449301649</v>
      </c>
      <c r="M24" s="158"/>
    </row>
    <row r="25" spans="1:13">
      <c r="A25" s="157">
        <v>45047</v>
      </c>
      <c r="B25" s="140">
        <f t="shared" si="5"/>
        <v>-41804.309732806949</v>
      </c>
      <c r="C25" s="140">
        <v>-85322.917720392317</v>
      </c>
      <c r="D25" s="140">
        <f t="shared" si="7"/>
        <v>-1917699.0449301649</v>
      </c>
      <c r="E25" s="140">
        <f t="shared" si="4"/>
        <v>-21759.303993792684</v>
      </c>
      <c r="F25" s="140">
        <v>0</v>
      </c>
      <c r="G25" s="141">
        <f t="shared" ref="G25:G26" si="12">$M$16</f>
        <v>7.4999999999999997E-2</v>
      </c>
      <c r="H25" s="140">
        <f t="shared" si="1"/>
        <v>-12053.616855794133</v>
      </c>
      <c r="I25" s="140">
        <f t="shared" si="2"/>
        <v>-1951511.9657797518</v>
      </c>
      <c r="J25" s="140"/>
      <c r="M25" s="158"/>
    </row>
    <row r="26" spans="1:13">
      <c r="A26" s="157">
        <v>45078</v>
      </c>
      <c r="B26" s="140">
        <f t="shared" si="5"/>
        <v>-41804.309732806949</v>
      </c>
      <c r="C26" s="140">
        <v>-176038.72550234574</v>
      </c>
      <c r="D26" s="140">
        <f t="shared" si="7"/>
        <v>-1951511.9657797518</v>
      </c>
      <c r="E26" s="140">
        <f t="shared" si="4"/>
        <v>-67117.207884769392</v>
      </c>
      <c r="F26" s="140">
        <v>0</v>
      </c>
      <c r="G26" s="141">
        <f t="shared" si="12"/>
        <v>7.4999999999999997E-2</v>
      </c>
      <c r="H26" s="140">
        <f t="shared" si="1"/>
        <v>-12406.691060763353</v>
      </c>
      <c r="I26" s="140">
        <f t="shared" si="2"/>
        <v>-2031035.8647252845</v>
      </c>
      <c r="M26" s="158"/>
    </row>
    <row r="27" spans="1:13">
      <c r="A27" s="157">
        <v>45108</v>
      </c>
      <c r="B27" s="140">
        <f t="shared" si="5"/>
        <v>-41804.309732806949</v>
      </c>
      <c r="C27" s="138">
        <v>-277948.91095376271</v>
      </c>
      <c r="D27" s="140">
        <f t="shared" si="7"/>
        <v>-2031035.8647252845</v>
      </c>
      <c r="E27" s="140">
        <f t="shared" si="4"/>
        <v>-118072.30061047788</v>
      </c>
      <c r="F27" s="140">
        <v>0</v>
      </c>
      <c r="G27" s="141">
        <f>$M$17</f>
        <v>8.0199999999999994E-2</v>
      </c>
      <c r="H27" s="140">
        <f t="shared" si="1"/>
        <v>-13968.647967120663</v>
      </c>
      <c r="I27" s="140">
        <f t="shared" si="2"/>
        <v>-2163076.8133028829</v>
      </c>
      <c r="M27" s="158"/>
    </row>
    <row r="28" spans="1:13">
      <c r="A28" s="157">
        <v>45139</v>
      </c>
      <c r="B28" s="140">
        <f t="shared" si="5"/>
        <v>-41804.309732806949</v>
      </c>
      <c r="C28" s="138">
        <v>-302968.78822803823</v>
      </c>
      <c r="D28" s="140">
        <f t="shared" si="7"/>
        <v>-2163076.8133028829</v>
      </c>
      <c r="E28" s="140">
        <f t="shared" si="4"/>
        <v>-130582.23924761564</v>
      </c>
      <c r="F28" s="140">
        <v>0</v>
      </c>
      <c r="G28" s="141">
        <f t="shared" ref="G28:G29" si="13">$M$17</f>
        <v>8.0199999999999994E-2</v>
      </c>
      <c r="H28" s="140">
        <f t="shared" si="1"/>
        <v>-14892.925685060049</v>
      </c>
      <c r="I28" s="140">
        <f t="shared" si="2"/>
        <v>-2308551.9782355586</v>
      </c>
      <c r="M28" s="158"/>
    </row>
    <row r="29" spans="1:13">
      <c r="A29" s="157">
        <v>45170</v>
      </c>
      <c r="B29" s="140">
        <f t="shared" si="5"/>
        <v>-41804.309732806949</v>
      </c>
      <c r="C29" s="138">
        <v>-339718.21270344674</v>
      </c>
      <c r="D29" s="140">
        <f t="shared" si="7"/>
        <v>-2308551.9782355586</v>
      </c>
      <c r="E29" s="140">
        <f t="shared" si="4"/>
        <v>-148956.95148531991</v>
      </c>
      <c r="F29" s="140">
        <v>0</v>
      </c>
      <c r="G29" s="141">
        <f t="shared" si="13"/>
        <v>8.0199999999999994E-2</v>
      </c>
      <c r="H29" s="140">
        <f t="shared" si="1"/>
        <v>-15926.586867421094</v>
      </c>
      <c r="I29" s="140">
        <f t="shared" si="2"/>
        <v>-2473435.5165882995</v>
      </c>
      <c r="M29" s="158"/>
    </row>
    <row r="30" spans="1:13">
      <c r="A30" s="157">
        <v>45200</v>
      </c>
      <c r="B30" s="140">
        <f t="shared" si="5"/>
        <v>-41804.309732806949</v>
      </c>
      <c r="C30" s="138">
        <v>-245914.10608771781</v>
      </c>
      <c r="D30" s="140">
        <f t="shared" si="7"/>
        <v>-2473435.5165882995</v>
      </c>
      <c r="E30" s="140">
        <f t="shared" si="4"/>
        <v>-102054.89817745543</v>
      </c>
      <c r="F30" s="140">
        <v>0</v>
      </c>
      <c r="G30" s="141">
        <f>$M$18</f>
        <v>8.3500000000000005E-2</v>
      </c>
      <c r="H30" s="140">
        <f t="shared" si="1"/>
        <v>-17566.054802835981</v>
      </c>
      <c r="I30" s="140">
        <f t="shared" si="2"/>
        <v>-2593056.4695685911</v>
      </c>
      <c r="M30" s="158"/>
    </row>
    <row r="31" spans="1:13">
      <c r="A31" s="157">
        <v>45231</v>
      </c>
      <c r="B31" s="140">
        <f t="shared" si="5"/>
        <v>-41804.309732806949</v>
      </c>
      <c r="C31" s="138">
        <v>-322620.76847574027</v>
      </c>
      <c r="D31" s="140">
        <f t="shared" si="7"/>
        <v>-2593056.4695685911</v>
      </c>
      <c r="E31" s="140">
        <f t="shared" si="4"/>
        <v>-140408.22937146667</v>
      </c>
      <c r="F31" s="140">
        <v>0</v>
      </c>
      <c r="G31" s="141">
        <f t="shared" ref="G31:G32" si="14">$G$30</f>
        <v>8.3500000000000005E-2</v>
      </c>
      <c r="H31" s="140">
        <f t="shared" si="1"/>
        <v>-18531.854898769674</v>
      </c>
      <c r="I31" s="140">
        <f t="shared" si="2"/>
        <v>-2751996.5538388276</v>
      </c>
      <c r="M31" s="158"/>
    </row>
    <row r="32" spans="1:13">
      <c r="A32" s="157">
        <v>45261</v>
      </c>
      <c r="B32" s="140">
        <f t="shared" si="5"/>
        <v>-41804.309732806949</v>
      </c>
      <c r="C32" s="138">
        <v>-227939.8913038093</v>
      </c>
      <c r="D32" s="140">
        <f t="shared" si="7"/>
        <v>-2751996.5538388276</v>
      </c>
      <c r="E32" s="140">
        <f t="shared" si="4"/>
        <v>-93067.790785501173</v>
      </c>
      <c r="F32" s="140">
        <v>0</v>
      </c>
      <c r="G32" s="141">
        <f t="shared" si="14"/>
        <v>8.3500000000000005E-2</v>
      </c>
      <c r="H32" s="140">
        <f t="shared" si="1"/>
        <v>-19473.107709236399</v>
      </c>
      <c r="I32" s="140">
        <f t="shared" si="2"/>
        <v>-2864537.4523335653</v>
      </c>
      <c r="M32" s="158"/>
    </row>
    <row r="33" spans="1:13">
      <c r="A33" s="157">
        <v>45292</v>
      </c>
      <c r="B33" s="140">
        <f t="shared" si="5"/>
        <v>-41804.309732806949</v>
      </c>
      <c r="C33" s="138">
        <v>-405454.94257551164</v>
      </c>
      <c r="D33" s="140">
        <f t="shared" si="7"/>
        <v>-2864537.4523335653</v>
      </c>
      <c r="E33" s="140">
        <f t="shared" si="4"/>
        <v>-181825.31642135236</v>
      </c>
      <c r="F33" s="140">
        <v>0</v>
      </c>
      <c r="G33" s="141">
        <f>M19</f>
        <v>8.5000000000000006E-2</v>
      </c>
      <c r="H33" s="140">
        <f t="shared" si="1"/>
        <v>-20934.438283021711</v>
      </c>
      <c r="I33" s="140">
        <f t="shared" si="2"/>
        <v>-3067297.2070379392</v>
      </c>
      <c r="M33" s="158"/>
    </row>
    <row r="34" spans="1:13">
      <c r="A34" s="157">
        <v>45323</v>
      </c>
      <c r="B34" s="140">
        <f t="shared" si="5"/>
        <v>-41804.309732806949</v>
      </c>
      <c r="C34" s="138">
        <v>-123317.35277732562</v>
      </c>
      <c r="D34" s="138">
        <f t="shared" si="7"/>
        <v>-3067297.2070379392</v>
      </c>
      <c r="E34" s="140">
        <f t="shared" si="4"/>
        <v>-40756.52152225934</v>
      </c>
      <c r="F34" s="140">
        <v>0</v>
      </c>
      <c r="G34" s="141">
        <f>$G$33</f>
        <v>8.5000000000000006E-2</v>
      </c>
      <c r="H34" s="140">
        <f t="shared" si="1"/>
        <v>-21871.034563576741</v>
      </c>
      <c r="I34" s="140">
        <f t="shared" si="2"/>
        <v>-3129924.7631237754</v>
      </c>
      <c r="M34" s="158"/>
    </row>
    <row r="35" spans="1:13">
      <c r="A35" s="157">
        <v>45352</v>
      </c>
      <c r="B35" s="140">
        <f t="shared" si="5"/>
        <v>-41804.309732806949</v>
      </c>
      <c r="C35" s="138">
        <v>-123554.69758221017</v>
      </c>
      <c r="D35" s="138">
        <f t="shared" si="7"/>
        <v>-3129924.7631237754</v>
      </c>
      <c r="E35" s="140">
        <f t="shared" si="4"/>
        <v>-40875.193924701613</v>
      </c>
      <c r="F35" s="143">
        <v>0</v>
      </c>
      <c r="G35" s="141">
        <f>$G$33</f>
        <v>8.5000000000000006E-2</v>
      </c>
      <c r="H35" s="140">
        <f t="shared" si="1"/>
        <v>-22315.066717276728</v>
      </c>
      <c r="I35" s="140">
        <f t="shared" si="2"/>
        <v>-3193115.023765754</v>
      </c>
      <c r="M35" s="158"/>
    </row>
    <row r="36" spans="1:13">
      <c r="A36" s="157">
        <v>45383</v>
      </c>
      <c r="B36" s="144"/>
      <c r="C36" s="144"/>
      <c r="D36" s="138">
        <f t="shared" si="7"/>
        <v>-3193115.023765754</v>
      </c>
      <c r="E36" s="138"/>
      <c r="F36" s="143">
        <v>144632.95665766942</v>
      </c>
      <c r="G36" s="141">
        <f>$M$20</f>
        <v>8.5000000000000006E-2</v>
      </c>
      <c r="H36" s="140">
        <f t="shared" si="1"/>
        <v>-22105.656363511513</v>
      </c>
      <c r="I36" s="140">
        <f t="shared" si="2"/>
        <v>-3070587.7234715959</v>
      </c>
      <c r="M36" s="158"/>
    </row>
    <row r="37" spans="1:13">
      <c r="A37" s="157">
        <v>45413</v>
      </c>
      <c r="B37" s="144"/>
      <c r="C37" s="144"/>
      <c r="D37" s="140">
        <f t="shared" si="7"/>
        <v>-3070587.7234715959</v>
      </c>
      <c r="E37" s="140"/>
      <c r="F37" s="148">
        <f t="shared" ref="F37:F46" si="15">F36</f>
        <v>144632.95665766942</v>
      </c>
      <c r="G37" s="141">
        <f>$G$36</f>
        <v>8.5000000000000006E-2</v>
      </c>
      <c r="H37" s="140">
        <f t="shared" si="1"/>
        <v>-21237.754653094558</v>
      </c>
      <c r="I37" s="140">
        <f t="shared" si="2"/>
        <v>-2947192.5214670207</v>
      </c>
      <c r="M37" s="158"/>
    </row>
    <row r="38" spans="1:13">
      <c r="A38" s="157">
        <v>45444</v>
      </c>
      <c r="B38" s="144"/>
      <c r="C38" s="144"/>
      <c r="D38" s="140">
        <f t="shared" si="7"/>
        <v>-2947192.5214670207</v>
      </c>
      <c r="E38" s="140"/>
      <c r="F38" s="148">
        <f t="shared" si="15"/>
        <v>144632.95665766942</v>
      </c>
      <c r="G38" s="141">
        <f t="shared" ref="G38:G59" si="16">$G$36</f>
        <v>8.5000000000000006E-2</v>
      </c>
      <c r="H38" s="140">
        <f t="shared" si="1"/>
        <v>-20363.705305562155</v>
      </c>
      <c r="I38" s="140">
        <f t="shared" si="2"/>
        <v>-2822923.2701149136</v>
      </c>
      <c r="M38" s="158"/>
    </row>
    <row r="39" spans="1:13">
      <c r="A39" s="157">
        <v>45474</v>
      </c>
      <c r="B39" s="144"/>
      <c r="C39" s="144"/>
      <c r="D39" s="140">
        <f t="shared" si="7"/>
        <v>-2822923.2701149136</v>
      </c>
      <c r="E39" s="140"/>
      <c r="F39" s="148">
        <f t="shared" si="15"/>
        <v>144632.95665766942</v>
      </c>
      <c r="G39" s="141">
        <f t="shared" si="16"/>
        <v>8.5000000000000006E-2</v>
      </c>
      <c r="H39" s="140">
        <f t="shared" si="1"/>
        <v>-19483.464775151395</v>
      </c>
      <c r="I39" s="140">
        <f t="shared" si="2"/>
        <v>-2697773.7782323956</v>
      </c>
      <c r="M39" s="158"/>
    </row>
    <row r="40" spans="1:13">
      <c r="A40" s="157">
        <v>45505</v>
      </c>
      <c r="B40" s="144"/>
      <c r="C40" s="144"/>
      <c r="D40" s="140">
        <f t="shared" si="7"/>
        <v>-2697773.7782323956</v>
      </c>
      <c r="E40" s="140"/>
      <c r="F40" s="148">
        <f t="shared" si="15"/>
        <v>144632.95665766942</v>
      </c>
      <c r="G40" s="141">
        <f t="shared" si="16"/>
        <v>8.5000000000000006E-2</v>
      </c>
      <c r="H40" s="140">
        <f t="shared" si="1"/>
        <v>-18596.989207650226</v>
      </c>
      <c r="I40" s="140">
        <f t="shared" si="2"/>
        <v>-2571737.8107823762</v>
      </c>
      <c r="M40" s="158"/>
    </row>
    <row r="41" spans="1:13">
      <c r="A41" s="157">
        <v>45536</v>
      </c>
      <c r="B41" s="144"/>
      <c r="C41" s="144"/>
      <c r="D41" s="140">
        <f t="shared" si="7"/>
        <v>-2571737.8107823762</v>
      </c>
      <c r="E41" s="140"/>
      <c r="F41" s="148">
        <f t="shared" si="15"/>
        <v>144632.95665766942</v>
      </c>
      <c r="G41" s="141">
        <f t="shared" si="16"/>
        <v>8.5000000000000006E-2</v>
      </c>
      <c r="H41" s="140">
        <f t="shared" si="1"/>
        <v>-17704.234438212585</v>
      </c>
      <c r="I41" s="140">
        <f t="shared" si="2"/>
        <v>-2444809.0885629193</v>
      </c>
      <c r="M41" s="158"/>
    </row>
    <row r="42" spans="1:13">
      <c r="A42" s="157">
        <v>45566</v>
      </c>
      <c r="B42" s="144"/>
      <c r="C42" s="144"/>
      <c r="D42" s="140">
        <f t="shared" si="7"/>
        <v>-2444809.0885629193</v>
      </c>
      <c r="E42" s="140"/>
      <c r="F42" s="148">
        <f t="shared" si="15"/>
        <v>144632.95665766942</v>
      </c>
      <c r="G42" s="141">
        <f t="shared" si="16"/>
        <v>8.5000000000000006E-2</v>
      </c>
      <c r="H42" s="140">
        <f t="shared" si="1"/>
        <v>-16805.155989158102</v>
      </c>
      <c r="I42" s="140">
        <f t="shared" si="2"/>
        <v>-2316981.2878944078</v>
      </c>
      <c r="M42" s="158"/>
    </row>
    <row r="43" spans="1:13">
      <c r="A43" s="157">
        <v>45597</v>
      </c>
      <c r="B43" s="144"/>
      <c r="C43" s="144"/>
      <c r="D43" s="140">
        <f t="shared" si="7"/>
        <v>-2316981.2878944078</v>
      </c>
      <c r="E43" s="140"/>
      <c r="F43" s="148">
        <f t="shared" si="15"/>
        <v>144632.95665766942</v>
      </c>
      <c r="G43" s="141">
        <f t="shared" si="16"/>
        <v>8.5000000000000006E-2</v>
      </c>
      <c r="H43" s="140">
        <f t="shared" si="1"/>
        <v>-15899.709067756143</v>
      </c>
      <c r="I43" s="140">
        <f t="shared" si="2"/>
        <v>-2188248.0403044946</v>
      </c>
      <c r="M43" s="158"/>
    </row>
    <row r="44" spans="1:13">
      <c r="A44" s="157">
        <v>45627</v>
      </c>
      <c r="B44" s="144"/>
      <c r="C44" s="144"/>
      <c r="D44" s="140">
        <f t="shared" si="7"/>
        <v>-2188248.0403044946</v>
      </c>
      <c r="E44" s="140"/>
      <c r="F44" s="148">
        <f t="shared" si="15"/>
        <v>144632.95665766942</v>
      </c>
      <c r="G44" s="141">
        <f t="shared" si="16"/>
        <v>8.5000000000000006E-2</v>
      </c>
      <c r="H44" s="140">
        <f t="shared" si="1"/>
        <v>-14987.848563994259</v>
      </c>
      <c r="I44" s="140">
        <f t="shared" si="2"/>
        <v>-2058602.9322108193</v>
      </c>
      <c r="M44" s="158"/>
    </row>
    <row r="45" spans="1:13">
      <c r="A45" s="157">
        <v>45658</v>
      </c>
      <c r="B45" s="144"/>
      <c r="C45" s="144"/>
      <c r="D45" s="140">
        <f t="shared" si="7"/>
        <v>-2058602.9322108193</v>
      </c>
      <c r="E45" s="140"/>
      <c r="F45" s="148">
        <f t="shared" si="15"/>
        <v>144632.95665766942</v>
      </c>
      <c r="G45" s="141">
        <f t="shared" si="16"/>
        <v>8.5000000000000006E-2</v>
      </c>
      <c r="H45" s="140">
        <f t="shared" si="1"/>
        <v>-14069.529048330725</v>
      </c>
      <c r="I45" s="140">
        <f t="shared" si="2"/>
        <v>-1928039.5046014804</v>
      </c>
      <c r="M45" s="158"/>
    </row>
    <row r="46" spans="1:13">
      <c r="A46" s="157">
        <v>45689</v>
      </c>
      <c r="B46" s="144"/>
      <c r="C46" s="144"/>
      <c r="D46" s="140">
        <f>I45</f>
        <v>-1928039.5046014804</v>
      </c>
      <c r="E46" s="140"/>
      <c r="F46" s="148">
        <f t="shared" si="15"/>
        <v>144632.95665766942</v>
      </c>
      <c r="G46" s="141">
        <f t="shared" si="16"/>
        <v>8.5000000000000006E-2</v>
      </c>
      <c r="H46" s="140">
        <f t="shared" si="1"/>
        <v>-13144.704769431242</v>
      </c>
      <c r="I46" s="140">
        <f t="shared" si="2"/>
        <v>-1796551.2527132421</v>
      </c>
      <c r="K46" s="159"/>
      <c r="M46" s="158"/>
    </row>
    <row r="47" spans="1:13" ht="13.5" thickBot="1">
      <c r="A47" s="157">
        <v>45717</v>
      </c>
      <c r="B47" s="144"/>
      <c r="C47" s="144"/>
      <c r="D47" s="140">
        <f t="shared" ref="D47:D59" si="17">I46</f>
        <v>-1796551.2527132421</v>
      </c>
      <c r="E47" s="140"/>
      <c r="F47" s="148">
        <f>F46</f>
        <v>144632.95665766942</v>
      </c>
      <c r="G47" s="141">
        <f t="shared" si="16"/>
        <v>8.5000000000000006E-2</v>
      </c>
      <c r="H47" s="140">
        <f t="shared" si="1"/>
        <v>-12213.329651889553</v>
      </c>
      <c r="I47" s="140">
        <f t="shared" si="2"/>
        <v>-1664131.6257074622</v>
      </c>
      <c r="K47" s="159"/>
      <c r="M47" s="158"/>
    </row>
    <row r="48" spans="1:13">
      <c r="A48" s="157">
        <v>45748</v>
      </c>
      <c r="B48" s="144"/>
      <c r="C48" s="144"/>
      <c r="D48" s="140">
        <f t="shared" si="17"/>
        <v>-1664131.6257074622</v>
      </c>
      <c r="E48" s="140"/>
      <c r="F48" s="145">
        <f>F47</f>
        <v>144632.95665766942</v>
      </c>
      <c r="G48" s="141">
        <f t="shared" si="16"/>
        <v>8.5000000000000006E-2</v>
      </c>
      <c r="H48" s="140">
        <f t="shared" si="1"/>
        <v>-11275.357293931944</v>
      </c>
      <c r="I48" s="140">
        <f t="shared" si="2"/>
        <v>-1530774.0263437247</v>
      </c>
      <c r="K48" s="159"/>
      <c r="M48" s="158"/>
    </row>
    <row r="49" spans="1:13">
      <c r="A49" s="157">
        <v>45778</v>
      </c>
      <c r="B49" s="144"/>
      <c r="C49" s="144"/>
      <c r="D49" s="140">
        <f t="shared" si="17"/>
        <v>-1530774.0263437247</v>
      </c>
      <c r="E49" s="140"/>
      <c r="F49" s="146">
        <f t="shared" ref="F49:F58" si="18">F48</f>
        <v>144632.95665766942</v>
      </c>
      <c r="G49" s="141">
        <f t="shared" si="16"/>
        <v>8.5000000000000006E-2</v>
      </c>
      <c r="H49" s="140">
        <f t="shared" si="1"/>
        <v>-10330.740965105471</v>
      </c>
      <c r="I49" s="140">
        <f t="shared" si="2"/>
        <v>-1396471.8106511605</v>
      </c>
      <c r="K49" s="159"/>
      <c r="M49" s="158"/>
    </row>
    <row r="50" spans="1:13">
      <c r="A50" s="157">
        <v>45809</v>
      </c>
      <c r="B50" s="144"/>
      <c r="C50" s="144"/>
      <c r="D50" s="140">
        <f t="shared" si="17"/>
        <v>-1396471.8106511605</v>
      </c>
      <c r="E50" s="140"/>
      <c r="F50" s="146">
        <f t="shared" si="18"/>
        <v>144632.95665766942</v>
      </c>
      <c r="G50" s="141">
        <f t="shared" si="16"/>
        <v>8.5000000000000006E-2</v>
      </c>
      <c r="H50" s="140">
        <f t="shared" si="1"/>
        <v>-9379.4336039498085</v>
      </c>
      <c r="I50" s="140">
        <f t="shared" si="2"/>
        <v>-1261218.2875974409</v>
      </c>
      <c r="K50" s="159"/>
      <c r="M50" s="158"/>
    </row>
    <row r="51" spans="1:13">
      <c r="A51" s="157">
        <v>45839</v>
      </c>
      <c r="B51" s="144"/>
      <c r="C51" s="144"/>
      <c r="D51" s="140">
        <f t="shared" si="17"/>
        <v>-1261218.2875974409</v>
      </c>
      <c r="E51" s="140"/>
      <c r="F51" s="146">
        <f t="shared" si="18"/>
        <v>144632.95665766942</v>
      </c>
      <c r="G51" s="141">
        <f t="shared" si="16"/>
        <v>8.5000000000000006E-2</v>
      </c>
      <c r="H51" s="140">
        <f t="shared" si="1"/>
        <v>-8421.387815652628</v>
      </c>
      <c r="I51" s="140">
        <f t="shared" si="2"/>
        <v>-1125006.718755424</v>
      </c>
      <c r="K51" s="159"/>
      <c r="M51" s="158"/>
    </row>
    <row r="52" spans="1:13">
      <c r="A52" s="157">
        <v>45870</v>
      </c>
      <c r="B52" s="144"/>
      <c r="C52" s="144"/>
      <c r="D52" s="140">
        <f t="shared" si="17"/>
        <v>-1125006.718755424</v>
      </c>
      <c r="E52" s="140"/>
      <c r="F52" s="146">
        <f t="shared" si="18"/>
        <v>144632.95665766942</v>
      </c>
      <c r="G52" s="141">
        <f t="shared" si="16"/>
        <v>8.5000000000000006E-2</v>
      </c>
      <c r="H52" s="140">
        <f t="shared" si="1"/>
        <v>-7456.5558696883418</v>
      </c>
      <c r="I52" s="140">
        <f t="shared" si="2"/>
        <v>-987830.31796744303</v>
      </c>
      <c r="K52" s="159"/>
      <c r="M52" s="158"/>
    </row>
    <row r="53" spans="1:13">
      <c r="A53" s="157">
        <v>45901</v>
      </c>
      <c r="B53" s="144"/>
      <c r="C53" s="144"/>
      <c r="D53" s="140">
        <f t="shared" si="17"/>
        <v>-987830.31796744303</v>
      </c>
      <c r="E53" s="140"/>
      <c r="F53" s="146">
        <f t="shared" si="18"/>
        <v>144632.95665766942</v>
      </c>
      <c r="G53" s="141">
        <f t="shared" si="16"/>
        <v>8.5000000000000006E-2</v>
      </c>
      <c r="H53" s="140">
        <f t="shared" si="1"/>
        <v>-6484.8896974401423</v>
      </c>
      <c r="I53" s="140">
        <f t="shared" si="2"/>
        <v>-849682.25100721372</v>
      </c>
      <c r="K53" s="159"/>
      <c r="M53" s="158"/>
    </row>
    <row r="54" spans="1:13">
      <c r="A54" s="157">
        <v>45931</v>
      </c>
      <c r="B54" s="144"/>
      <c r="C54" s="144"/>
      <c r="D54" s="140">
        <f t="shared" si="17"/>
        <v>-849682.25100721372</v>
      </c>
      <c r="E54" s="140"/>
      <c r="F54" s="146">
        <f t="shared" si="18"/>
        <v>144632.95665766942</v>
      </c>
      <c r="G54" s="141">
        <f t="shared" si="16"/>
        <v>8.5000000000000006E-2</v>
      </c>
      <c r="H54" s="140">
        <f t="shared" si="1"/>
        <v>-5506.3408898051848</v>
      </c>
      <c r="I54" s="140">
        <f t="shared" si="2"/>
        <v>-710555.63523934956</v>
      </c>
      <c r="K54" s="159"/>
      <c r="M54" s="158"/>
    </row>
    <row r="55" spans="1:13">
      <c r="A55" s="157">
        <v>45962</v>
      </c>
      <c r="B55" s="144"/>
      <c r="C55" s="144"/>
      <c r="D55" s="140">
        <f t="shared" si="17"/>
        <v>-710555.63523934956</v>
      </c>
      <c r="E55" s="140"/>
      <c r="F55" s="146">
        <f t="shared" si="18"/>
        <v>144632.95665766942</v>
      </c>
      <c r="G55" s="141">
        <f t="shared" si="16"/>
        <v>8.5000000000000006E-2</v>
      </c>
      <c r="H55" s="140">
        <f t="shared" si="1"/>
        <v>-4520.860694782813</v>
      </c>
      <c r="I55" s="140">
        <f t="shared" si="2"/>
        <v>-570443.53927646298</v>
      </c>
      <c r="K55" s="159"/>
      <c r="M55" s="158"/>
    </row>
    <row r="56" spans="1:13">
      <c r="A56" s="157">
        <v>45992</v>
      </c>
      <c r="B56" s="144"/>
      <c r="C56" s="144"/>
      <c r="D56" s="140">
        <f t="shared" si="17"/>
        <v>-570443.53927646298</v>
      </c>
      <c r="E56" s="140"/>
      <c r="F56" s="146">
        <f t="shared" si="18"/>
        <v>144632.95665766942</v>
      </c>
      <c r="G56" s="141">
        <f t="shared" si="16"/>
        <v>8.5000000000000006E-2</v>
      </c>
      <c r="H56" s="140">
        <f t="shared" si="1"/>
        <v>-3528.4000150457009</v>
      </c>
      <c r="I56" s="140">
        <f t="shared" si="2"/>
        <v>-429338.9826338393</v>
      </c>
      <c r="K56" s="159"/>
      <c r="M56" s="158"/>
    </row>
    <row r="57" spans="1:13">
      <c r="A57" s="157">
        <v>46023</v>
      </c>
      <c r="B57" s="144"/>
      <c r="C57" s="144"/>
      <c r="D57" s="140">
        <f t="shared" si="17"/>
        <v>-429338.9826338393</v>
      </c>
      <c r="E57" s="140"/>
      <c r="F57" s="146">
        <f t="shared" si="18"/>
        <v>144632.95665766942</v>
      </c>
      <c r="G57" s="141">
        <f t="shared" si="16"/>
        <v>8.5000000000000006E-2</v>
      </c>
      <c r="H57" s="140">
        <f t="shared" si="1"/>
        <v>-2528.9094054937827</v>
      </c>
      <c r="I57" s="140">
        <f t="shared" si="2"/>
        <v>-287234.93538166361</v>
      </c>
      <c r="K57" s="159"/>
      <c r="M57" s="158"/>
    </row>
    <row r="58" spans="1:13">
      <c r="A58" s="157">
        <v>46054</v>
      </c>
      <c r="B58" s="144"/>
      <c r="C58" s="144"/>
      <c r="D58" s="140">
        <f t="shared" si="17"/>
        <v>-287234.93538166361</v>
      </c>
      <c r="E58" s="140"/>
      <c r="F58" s="146">
        <f t="shared" si="18"/>
        <v>144632.95665766942</v>
      </c>
      <c r="G58" s="141">
        <f t="shared" si="16"/>
        <v>8.5000000000000006E-2</v>
      </c>
      <c r="H58" s="140">
        <f t="shared" si="1"/>
        <v>-1522.3390707908718</v>
      </c>
      <c r="I58" s="140">
        <f t="shared" si="2"/>
        <v>-144124.31779478508</v>
      </c>
      <c r="K58" s="159"/>
      <c r="M58" s="158"/>
    </row>
    <row r="59" spans="1:13" ht="13.5" thickBot="1">
      <c r="A59" s="157">
        <v>46082</v>
      </c>
      <c r="B59" s="144"/>
      <c r="C59" s="144"/>
      <c r="D59" s="140">
        <f t="shared" si="17"/>
        <v>-144124.31779478508</v>
      </c>
      <c r="E59" s="140"/>
      <c r="F59" s="147">
        <f>F58</f>
        <v>144632.95665766942</v>
      </c>
      <c r="G59" s="141">
        <f t="shared" si="16"/>
        <v>8.5000000000000006E-2</v>
      </c>
      <c r="H59" s="140">
        <f t="shared" si="1"/>
        <v>-508.63886288381514</v>
      </c>
      <c r="I59" s="140">
        <f t="shared" si="2"/>
        <v>5.2637005865108222E-10</v>
      </c>
      <c r="K59" s="159"/>
      <c r="M59" s="158"/>
    </row>
    <row r="60" spans="1:13" ht="13.5" thickBot="1">
      <c r="A60" s="157"/>
      <c r="B60" s="140"/>
      <c r="C60" s="140"/>
      <c r="D60" s="140"/>
      <c r="E60" s="140"/>
      <c r="F60" s="148"/>
      <c r="G60" s="141"/>
      <c r="H60" s="140"/>
      <c r="I60" s="140"/>
      <c r="K60" s="159"/>
      <c r="M60" s="158"/>
    </row>
    <row r="61" spans="1:13" ht="13.5" thickBot="1">
      <c r="A61" s="160"/>
      <c r="B61" s="140"/>
      <c r="C61" s="140"/>
      <c r="D61" s="149"/>
      <c r="E61" s="150" t="s">
        <v>145</v>
      </c>
      <c r="F61" s="161">
        <f>SUM(F48:F59)</f>
        <v>1735595.4798920334</v>
      </c>
      <c r="G61" s="140"/>
      <c r="H61" s="140"/>
      <c r="I61" s="140"/>
      <c r="M61" s="158"/>
    </row>
    <row r="62" spans="1:13" ht="13.5" thickBot="1">
      <c r="A62" s="160"/>
      <c r="B62" s="140"/>
      <c r="C62" s="140"/>
      <c r="D62" s="164"/>
      <c r="E62" s="165" t="s">
        <v>153</v>
      </c>
      <c r="F62" s="166">
        <f>SUM(F36:F59)</f>
        <v>3471190.9597840672</v>
      </c>
      <c r="G62" s="140"/>
      <c r="H62" s="140"/>
      <c r="I62" s="140"/>
      <c r="M62" s="158"/>
    </row>
    <row r="63" spans="1:13">
      <c r="A63" s="160"/>
      <c r="B63" s="140"/>
      <c r="C63" s="140"/>
      <c r="D63" s="140"/>
      <c r="E63" s="140"/>
      <c r="F63" s="140"/>
      <c r="G63" s="140"/>
      <c r="H63" s="140"/>
      <c r="I63" s="140"/>
      <c r="M63" s="158"/>
    </row>
    <row r="64" spans="1:13">
      <c r="A64" s="152" t="s">
        <v>146</v>
      </c>
      <c r="B64" s="140"/>
      <c r="C64" s="140"/>
      <c r="D64" s="140"/>
      <c r="E64" s="140"/>
      <c r="M64" s="158"/>
    </row>
    <row r="65" spans="1:13">
      <c r="A65" s="160" t="s">
        <v>154</v>
      </c>
      <c r="B65" s="140"/>
      <c r="C65" s="140"/>
      <c r="D65" s="140"/>
      <c r="E65" s="151"/>
      <c r="M65" s="158"/>
    </row>
    <row r="66" spans="1:13">
      <c r="M66" s="158"/>
    </row>
    <row r="67" spans="1:13">
      <c r="M67" s="158"/>
    </row>
    <row r="68" spans="1:13">
      <c r="M68" s="158"/>
    </row>
    <row r="69" spans="1:13">
      <c r="M69" s="158"/>
    </row>
    <row r="70" spans="1:13">
      <c r="M70" s="158"/>
    </row>
    <row r="73" spans="1:13">
      <c r="K73" s="162"/>
    </row>
  </sheetData>
  <mergeCells count="1">
    <mergeCell ref="B5:C5"/>
  </mergeCells>
  <pageMargins left="0.7" right="0.7" top="0.75" bottom="0.75" header="0.3" footer="0.3"/>
  <pageSetup scale="7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9AD5DE453A98479BAF9C6BE4DD7F43" ma:contentTypeVersion="19" ma:contentTypeDescription="" ma:contentTypeScope="" ma:versionID="9d671d6df42d13ce8fc499804baa08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2025-04-01T07:00:00+00:00</OpenedDate>
    <SignificantOrder xmlns="dc463f71-b30c-4ab2-9473-d307f9d35888">false</SignificantOrder>
    <Date1 xmlns="dc463f71-b30c-4ab2-9473-d307f9d35888">2025-04-01T07:00:00+00:00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250224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C0B9760-EDEF-43BE-8122-EAC38A5DDE1A}"/>
</file>

<file path=customXml/itemProps2.xml><?xml version="1.0" encoding="utf-8"?>
<ds:datastoreItem xmlns:ds="http://schemas.openxmlformats.org/officeDocument/2006/customXml" ds:itemID="{7BAD84A6-42C1-4522-9C04-F75976A3A666}"/>
</file>

<file path=customXml/itemProps3.xml><?xml version="1.0" encoding="utf-8"?>
<ds:datastoreItem xmlns:ds="http://schemas.openxmlformats.org/officeDocument/2006/customXml" ds:itemID="{2BE7ACF0-46F9-49D1-A88C-154A3A857B9F}"/>
</file>

<file path=customXml/itemProps4.xml><?xml version="1.0" encoding="utf-8"?>
<ds:datastoreItem xmlns:ds="http://schemas.openxmlformats.org/officeDocument/2006/customXml" ds:itemID="{52752364-9BE4-495C-83C9-3557787DC6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29</vt:i4>
      </vt:variant>
    </vt:vector>
  </HeadingPairs>
  <TitlesOfParts>
    <vt:vector size="39" baseType="lpstr">
      <vt:lpstr>Non-NPC Coal Costs 1.1.2026</vt:lpstr>
      <vt:lpstr>Non-NPC Coal Costs 4.1.2026</vt:lpstr>
      <vt:lpstr>Rev Req Adj- Coal Tracker 2026</vt:lpstr>
      <vt:lpstr>Interest Calc</vt:lpstr>
      <vt:lpstr>Variables</vt:lpstr>
      <vt:lpstr>Unadj. Results</vt:lpstr>
      <vt:lpstr>UE-230172 RY2 Ref.&gt;&gt;</vt:lpstr>
      <vt:lpstr>Non-NPC Coal Costs (RY2)</vt:lpstr>
      <vt:lpstr>Rev Req Adj- Coal Tracker RY2</vt:lpstr>
      <vt:lpstr>Deferred Fly Ash Amort.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'Deferred Fly Ash Amort.'!Print_Area</vt:lpstr>
      <vt:lpstr>'Non-NPC Coal Costs (RY2)'!Print_Area</vt:lpstr>
      <vt:lpstr>'Non-NPC Coal Costs 1.1.2026'!Print_Area</vt:lpstr>
      <vt:lpstr>'Non-NPC Coal Costs 4.1.2026'!Print_Area</vt:lpstr>
      <vt:lpstr>'Rev Req Adj- Coal Tracker 2026'!Print_Area</vt:lpstr>
      <vt:lpstr>'Rev Req Adj- Coal Tracker RY2'!Print_Area</vt:lpstr>
      <vt:lpstr>'Unadj. Results'!Print_Area</vt:lpstr>
      <vt:lpstr>'Rev Req Adj- Coal Tracker 2026'!Print_Titles</vt:lpstr>
      <vt:lpstr>'Rev Req Adj- Coal Tracker RY2'!Print_Titles</vt:lpstr>
      <vt:lpstr>Restated_Op_revenue</vt:lpstr>
      <vt:lpstr>Restated_rate_base</vt:lpstr>
      <vt:lpstr>Restated_ROE</vt:lpstr>
      <vt:lpstr>Unadj_Op_revenue</vt:lpstr>
      <vt:lpstr>Unadj_rate_base</vt:lpstr>
      <vt:lpstr>Unadj_ROE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2025-03-24T17:42:29Z</dcterms:created>
  <dcterms:modified xsi:type="dcterms:W3CDTF">2025-03-25T22:31:08Z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0x0101006E56B4D1795A2E4DB2F0B01679ED314A00119AD5DE453A98479BAF9C6BE4DD7F43</vt:lpwstr>
  </property>
</Properties>
</file>