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.myhrum\Desktop\"/>
    </mc:Choice>
  </mc:AlternateContent>
  <xr:revisionPtr revIDLastSave="0" documentId="13_ncr:1_{FA262C27-33D6-45DF-BFCD-67A1FD8B0CB2}" xr6:coauthVersionLast="44" xr6:coauthVersionMax="44" xr10:uidLastSave="{00000000-0000-0000-0000-000000000000}"/>
  <bookViews>
    <workbookView xWindow="-28920" yWindow="-120" windowWidth="29040" windowHeight="15840" xr2:uid="{9E51DBC4-D34E-4173-B247-DAD46AF3A93C}"/>
  </bookViews>
  <sheets>
    <sheet name="WA Rates" sheetId="10" r:id="rId1"/>
    <sheet name="Core Cost Incurred" sheetId="13" r:id="rId2"/>
    <sheet name="DEFERRALS" sheetId="14" r:id="rId3"/>
  </sheets>
  <externalReferences>
    <externalReference r:id="rId4"/>
    <externalReference r:id="rId5"/>
    <externalReference r:id="rId6"/>
    <externalReference r:id="rId7"/>
  </externalReferences>
  <definedNames>
    <definedName name="FERCINT13">'[4]FERC Interest Rates'!$A$10:$C$21</definedName>
    <definedName name="FERCINT14">'[4]FERC Interest Rates'!$A$22:$C$33</definedName>
    <definedName name="FERCINT15">'[4]FERC Interest Rates'!$A$34:$C$45</definedName>
    <definedName name="FERCINT16">'[4]FERC Interest Rates'!$A$46:$C$57</definedName>
    <definedName name="FERCINT17">'[4]FERC Interest Rates'!$A$58:$C$69</definedName>
    <definedName name="FERCINT18">'[4]FERC Interest Rates'!$A$70:$C$81</definedName>
    <definedName name="FERCINT19">'[4]FERC Interest Rates'!$A$82:$C$93</definedName>
    <definedName name="FERCINT20">'[4]FERC Interest Rates'!$A$94:$C$105</definedName>
    <definedName name="_xlnm.Print_Area" localSheetId="1">'Core Cost Incurred'!$B$1:$Z$51</definedName>
    <definedName name="_xlnm.Print_Area" localSheetId="2">DEFERRALS!$B$1:$G$22</definedName>
    <definedName name="_xlnm.Print_Area" localSheetId="0">'WA Rates'!$B$1:$N$51</definedName>
    <definedName name="_xlnm.Print_Titles" localSheetId="1">'Core Cost Incurred'!$B:$F</definedName>
    <definedName name="_xlnm.Print_Titles" localSheetId="0">'WA Rates'!$1:$8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4" l="1"/>
  <c r="D8" i="14"/>
  <c r="E8" i="14"/>
  <c r="G8" i="14"/>
  <c r="D9" i="14"/>
  <c r="E9" i="14"/>
  <c r="E12" i="14" s="1"/>
  <c r="F9" i="14"/>
  <c r="G9" i="14"/>
  <c r="G12" i="14" s="1"/>
  <c r="G10" i="14"/>
  <c r="G11" i="14"/>
  <c r="D12" i="14"/>
  <c r="F12" i="14"/>
  <c r="D18" i="14"/>
  <c r="G18" i="14" s="1"/>
  <c r="E18" i="14"/>
  <c r="F18" i="14"/>
  <c r="V75" i="13" l="1"/>
  <c r="S75" i="13"/>
  <c r="T65" i="13"/>
  <c r="S65" i="13"/>
  <c r="Q65" i="13"/>
  <c r="P65" i="13"/>
  <c r="Q64" i="13"/>
  <c r="P64" i="13"/>
  <c r="T63" i="13"/>
  <c r="T66" i="13" s="1"/>
  <c r="S63" i="13"/>
  <c r="Q63" i="13"/>
  <c r="Q66" i="13" s="1"/>
  <c r="P63" i="13"/>
  <c r="M50" i="13"/>
  <c r="AE45" i="13"/>
  <c r="AC43" i="13"/>
  <c r="AB43" i="13"/>
  <c r="Z43" i="13"/>
  <c r="W43" i="13"/>
  <c r="T43" i="13"/>
  <c r="AC42" i="13"/>
  <c r="AC44" i="13" s="1"/>
  <c r="AB42" i="13"/>
  <c r="AB44" i="13" s="1"/>
  <c r="Z42" i="13"/>
  <c r="Z44" i="13" s="1"/>
  <c r="W42" i="13"/>
  <c r="W44" i="13" s="1"/>
  <c r="Q47" i="13" s="1"/>
  <c r="T42" i="13"/>
  <c r="T44" i="13" s="1"/>
  <c r="T46" i="13" s="1"/>
  <c r="Y40" i="13"/>
  <c r="W40" i="13"/>
  <c r="AC38" i="13"/>
  <c r="AC40" i="13" s="1"/>
  <c r="AB38" i="13"/>
  <c r="AB40" i="13" s="1"/>
  <c r="Z38" i="13"/>
  <c r="Z40" i="13" s="1"/>
  <c r="W38" i="13"/>
  <c r="T38" i="13"/>
  <c r="T40" i="13" s="1"/>
  <c r="Q38" i="13"/>
  <c r="N37" i="13"/>
  <c r="K37" i="13"/>
  <c r="H37" i="13"/>
  <c r="N36" i="13"/>
  <c r="H36" i="13" s="1"/>
  <c r="K36" i="13"/>
  <c r="N35" i="13"/>
  <c r="K35" i="13"/>
  <c r="H35" i="13" s="1"/>
  <c r="N34" i="13"/>
  <c r="K34" i="13"/>
  <c r="H34" i="13"/>
  <c r="N33" i="13"/>
  <c r="K33" i="13"/>
  <c r="H33" i="13" s="1"/>
  <c r="N32" i="13"/>
  <c r="K32" i="13"/>
  <c r="H32" i="13"/>
  <c r="N31" i="13"/>
  <c r="K31" i="13"/>
  <c r="H31" i="13" s="1"/>
  <c r="N30" i="13"/>
  <c r="K30" i="13"/>
  <c r="H30" i="13" s="1"/>
  <c r="N29" i="13"/>
  <c r="K29" i="13"/>
  <c r="H29" i="13"/>
  <c r="N28" i="13"/>
  <c r="H28" i="13" s="1"/>
  <c r="K28" i="13"/>
  <c r="N27" i="13"/>
  <c r="N38" i="13" s="1"/>
  <c r="K27" i="13"/>
  <c r="H27" i="13" s="1"/>
  <c r="N26" i="13"/>
  <c r="K26" i="13"/>
  <c r="H26" i="13"/>
  <c r="N25" i="13"/>
  <c r="K25" i="13"/>
  <c r="K38" i="13" s="1"/>
  <c r="N24" i="13"/>
  <c r="K24" i="13"/>
  <c r="H24" i="13"/>
  <c r="AC22" i="13"/>
  <c r="AB22" i="13"/>
  <c r="Z22" i="13"/>
  <c r="W22" i="13"/>
  <c r="T22" i="13"/>
  <c r="N21" i="13"/>
  <c r="H21" i="13" s="1"/>
  <c r="K21" i="13"/>
  <c r="N20" i="13"/>
  <c r="K20" i="13"/>
  <c r="H20" i="13" s="1"/>
  <c r="N19" i="13"/>
  <c r="K19" i="13"/>
  <c r="H19" i="13"/>
  <c r="N18" i="13"/>
  <c r="K18" i="13"/>
  <c r="H18" i="13" s="1"/>
  <c r="T17" i="13"/>
  <c r="Q17" i="13"/>
  <c r="Q22" i="13" s="1"/>
  <c r="N17" i="13"/>
  <c r="N22" i="13" s="1"/>
  <c r="K17" i="13"/>
  <c r="K22" i="13" s="1"/>
  <c r="H17" i="13"/>
  <c r="AC15" i="13"/>
  <c r="AB15" i="13"/>
  <c r="Z15" i="13"/>
  <c r="Y15" i="13"/>
  <c r="W15" i="13"/>
  <c r="V15" i="13"/>
  <c r="V40" i="13" s="1"/>
  <c r="T15" i="13"/>
  <c r="S15" i="13"/>
  <c r="S40" i="13" s="1"/>
  <c r="P15" i="13"/>
  <c r="P40" i="13" s="1"/>
  <c r="N14" i="13"/>
  <c r="M14" i="13"/>
  <c r="G14" i="13" s="1"/>
  <c r="K14" i="13"/>
  <c r="H14" i="13" s="1"/>
  <c r="J14" i="13"/>
  <c r="N13" i="13"/>
  <c r="H13" i="13" s="1"/>
  <c r="M13" i="13"/>
  <c r="K13" i="13"/>
  <c r="J13" i="13"/>
  <c r="G13" i="13" s="1"/>
  <c r="N12" i="13"/>
  <c r="M12" i="13"/>
  <c r="K12" i="13"/>
  <c r="H12" i="13" s="1"/>
  <c r="J12" i="13"/>
  <c r="G12" i="13" s="1"/>
  <c r="N11" i="13"/>
  <c r="M11" i="13"/>
  <c r="K11" i="13"/>
  <c r="J11" i="13"/>
  <c r="H11" i="13"/>
  <c r="G11" i="13"/>
  <c r="T10" i="13"/>
  <c r="N10" i="13" s="1"/>
  <c r="S10" i="13"/>
  <c r="M10" i="13" s="1"/>
  <c r="Q10" i="13"/>
  <c r="P10" i="13"/>
  <c r="K10" i="13"/>
  <c r="H10" i="13" s="1"/>
  <c r="J10" i="13"/>
  <c r="N9" i="13"/>
  <c r="K9" i="13"/>
  <c r="H9" i="13" s="1"/>
  <c r="Q8" i="13"/>
  <c r="Q42" i="13" s="1"/>
  <c r="N8" i="13"/>
  <c r="N42" i="13" s="1"/>
  <c r="N44" i="13" s="1"/>
  <c r="M8" i="13"/>
  <c r="J8" i="13"/>
  <c r="G8" i="13" s="1"/>
  <c r="N7" i="13"/>
  <c r="K7" i="13"/>
  <c r="H7" i="13"/>
  <c r="N6" i="13"/>
  <c r="N43" i="13" s="1"/>
  <c r="K6" i="13"/>
  <c r="K43" i="13" s="1"/>
  <c r="V3" i="13"/>
  <c r="V1" i="13"/>
  <c r="L45" i="10"/>
  <c r="K45" i="10"/>
  <c r="I45" i="10"/>
  <c r="H45" i="10"/>
  <c r="G45" i="10"/>
  <c r="L43" i="10"/>
  <c r="K43" i="10"/>
  <c r="I43" i="10"/>
  <c r="H43" i="10"/>
  <c r="L42" i="10"/>
  <c r="K42" i="10"/>
  <c r="I42" i="10"/>
  <c r="H42" i="10"/>
  <c r="K41" i="10"/>
  <c r="J41" i="10"/>
  <c r="M41" i="10" s="1"/>
  <c r="I41" i="10"/>
  <c r="L41" i="10" s="1"/>
  <c r="H41" i="10"/>
  <c r="J40" i="10"/>
  <c r="I40" i="10"/>
  <c r="H40" i="10"/>
  <c r="K40" i="10" s="1"/>
  <c r="G40" i="10"/>
  <c r="M40" i="10" s="1"/>
  <c r="J39" i="10"/>
  <c r="M39" i="10" s="1"/>
  <c r="I39" i="10"/>
  <c r="L39" i="10" s="1"/>
  <c r="H39" i="10"/>
  <c r="K39" i="10" s="1"/>
  <c r="N39" i="10" s="1"/>
  <c r="I38" i="10"/>
  <c r="H38" i="10"/>
  <c r="K38" i="10" s="1"/>
  <c r="G38" i="10"/>
  <c r="L38" i="10" s="1"/>
  <c r="I36" i="10"/>
  <c r="L36" i="10" s="1"/>
  <c r="H36" i="10"/>
  <c r="K36" i="10" s="1"/>
  <c r="I35" i="10"/>
  <c r="L35" i="10" s="1"/>
  <c r="H35" i="10"/>
  <c r="K35" i="10" s="1"/>
  <c r="L34" i="10"/>
  <c r="H34" i="10"/>
  <c r="K34" i="10" s="1"/>
  <c r="L32" i="10"/>
  <c r="K32" i="10"/>
  <c r="I32" i="10"/>
  <c r="H32" i="10"/>
  <c r="G32" i="10"/>
  <c r="L31" i="10"/>
  <c r="K31" i="10"/>
  <c r="I31" i="10"/>
  <c r="H31" i="10"/>
  <c r="L30" i="10"/>
  <c r="K30" i="10"/>
  <c r="I30" i="10"/>
  <c r="H30" i="10"/>
  <c r="G30" i="10"/>
  <c r="L28" i="10"/>
  <c r="K28" i="10"/>
  <c r="I28" i="10"/>
  <c r="H28" i="10"/>
  <c r="L27" i="10"/>
  <c r="K27" i="10"/>
  <c r="I27" i="10"/>
  <c r="H27" i="10"/>
  <c r="G27" i="10"/>
  <c r="L26" i="10"/>
  <c r="K26" i="10"/>
  <c r="I26" i="10"/>
  <c r="H26" i="10"/>
  <c r="G26" i="10"/>
  <c r="K24" i="10"/>
  <c r="H24" i="10"/>
  <c r="G24" i="10"/>
  <c r="L23" i="10"/>
  <c r="K23" i="10"/>
  <c r="H23" i="10"/>
  <c r="J22" i="10"/>
  <c r="H22" i="10"/>
  <c r="K22" i="10" s="1"/>
  <c r="G22" i="10"/>
  <c r="M22" i="10" s="1"/>
  <c r="J21" i="10"/>
  <c r="I21" i="10"/>
  <c r="I22" i="10" s="1"/>
  <c r="I24" i="10" s="1"/>
  <c r="L24" i="10" s="1"/>
  <c r="H21" i="10"/>
  <c r="K21" i="10" s="1"/>
  <c r="G21" i="10"/>
  <c r="M21" i="10" s="1"/>
  <c r="J20" i="10"/>
  <c r="M20" i="10" s="1"/>
  <c r="I20" i="10"/>
  <c r="L20" i="10" s="1"/>
  <c r="H20" i="10"/>
  <c r="K20" i="10" s="1"/>
  <c r="N20" i="10" s="1"/>
  <c r="U19" i="10"/>
  <c r="R19" i="10"/>
  <c r="K19" i="10"/>
  <c r="N19" i="10" s="1"/>
  <c r="J19" i="10"/>
  <c r="M19" i="10" s="1"/>
  <c r="I19" i="10"/>
  <c r="L19" i="10" s="1"/>
  <c r="H19" i="10"/>
  <c r="U18" i="10"/>
  <c r="K18" i="10"/>
  <c r="J18" i="10"/>
  <c r="H18" i="10"/>
  <c r="G18" i="10"/>
  <c r="M18" i="10" s="1"/>
  <c r="I16" i="10"/>
  <c r="H16" i="10"/>
  <c r="K16" i="10" s="1"/>
  <c r="N16" i="10" s="1"/>
  <c r="G16" i="10"/>
  <c r="L16" i="10" s="1"/>
  <c r="U15" i="10"/>
  <c r="R15" i="10"/>
  <c r="J15" i="10"/>
  <c r="I15" i="10"/>
  <c r="L15" i="10" s="1"/>
  <c r="H15" i="10"/>
  <c r="K15" i="10" s="1"/>
  <c r="N15" i="10" s="1"/>
  <c r="H14" i="10"/>
  <c r="K14" i="10" s="1"/>
  <c r="G14" i="10"/>
  <c r="I12" i="10"/>
  <c r="H12" i="10"/>
  <c r="G12" i="10"/>
  <c r="L12" i="10" s="1"/>
  <c r="N11" i="10"/>
  <c r="L11" i="10"/>
  <c r="K11" i="10"/>
  <c r="I11" i="10"/>
  <c r="H11" i="10"/>
  <c r="M10" i="10"/>
  <c r="L10" i="10"/>
  <c r="J10" i="10"/>
  <c r="J45" i="10" s="1"/>
  <c r="M45" i="10" s="1"/>
  <c r="G10" i="10"/>
  <c r="G47" i="10" s="1"/>
  <c r="G49" i="10" s="1"/>
  <c r="G72" i="10" s="1"/>
  <c r="U9" i="10"/>
  <c r="T9" i="10"/>
  <c r="R9" i="10"/>
  <c r="Q9" i="10"/>
  <c r="N9" i="10"/>
  <c r="M9" i="10"/>
  <c r="L9" i="10"/>
  <c r="K9" i="10"/>
  <c r="I8" i="10"/>
  <c r="J8" i="10" s="1"/>
  <c r="R7" i="10"/>
  <c r="F3" i="10"/>
  <c r="G10" i="13" l="1"/>
  <c r="AE44" i="13"/>
  <c r="AE46" i="13" s="1"/>
  <c r="T47" i="13"/>
  <c r="T48" i="13" s="1"/>
  <c r="H22" i="13"/>
  <c r="G15" i="13"/>
  <c r="G40" i="13" s="1"/>
  <c r="M15" i="13"/>
  <c r="M40" i="13" s="1"/>
  <c r="N40" i="13"/>
  <c r="K8" i="13"/>
  <c r="Q15" i="13"/>
  <c r="Q40" i="13" s="1"/>
  <c r="Q43" i="13"/>
  <c r="Q44" i="13" s="1"/>
  <c r="Q46" i="13" s="1"/>
  <c r="Q48" i="13" s="1"/>
  <c r="J15" i="13"/>
  <c r="J40" i="13" s="1"/>
  <c r="N15" i="13"/>
  <c r="H25" i="13"/>
  <c r="H38" i="13" s="1"/>
  <c r="H6" i="13"/>
  <c r="N41" i="10"/>
  <c r="N22" i="10"/>
  <c r="N36" i="10"/>
  <c r="N42" i="10"/>
  <c r="M14" i="10"/>
  <c r="N14" i="10" s="1"/>
  <c r="N45" i="10"/>
  <c r="N43" i="10"/>
  <c r="K10" i="10"/>
  <c r="N10" i="10" s="1"/>
  <c r="J23" i="10"/>
  <c r="M23" i="10" s="1"/>
  <c r="N23" i="10" s="1"/>
  <c r="J24" i="10"/>
  <c r="M24" i="10" s="1"/>
  <c r="N24" i="10" s="1"/>
  <c r="J26" i="10"/>
  <c r="M26" i="10" s="1"/>
  <c r="N26" i="10" s="1"/>
  <c r="J27" i="10"/>
  <c r="M27" i="10" s="1"/>
  <c r="N27" i="10" s="1"/>
  <c r="J42" i="10"/>
  <c r="M42" i="10" s="1"/>
  <c r="J14" i="10"/>
  <c r="J16" i="10"/>
  <c r="L18" i="10"/>
  <c r="N18" i="10" s="1"/>
  <c r="J35" i="10"/>
  <c r="M35" i="10" s="1"/>
  <c r="N35" i="10" s="1"/>
  <c r="O35" i="10" s="1"/>
  <c r="J36" i="10"/>
  <c r="M36" i="10" s="1"/>
  <c r="J38" i="10"/>
  <c r="M38" i="10" s="1"/>
  <c r="N38" i="10" s="1"/>
  <c r="L21" i="10"/>
  <c r="N21" i="10" s="1"/>
  <c r="L22" i="10"/>
  <c r="J34" i="10"/>
  <c r="M34" i="10" s="1"/>
  <c r="N34" i="10" s="1"/>
  <c r="L40" i="10"/>
  <c r="N40" i="10" s="1"/>
  <c r="J12" i="10"/>
  <c r="L14" i="10"/>
  <c r="L47" i="10" s="1"/>
  <c r="L49" i="10" s="1"/>
  <c r="J11" i="10"/>
  <c r="K12" i="10"/>
  <c r="N12" i="10" s="1"/>
  <c r="J31" i="10"/>
  <c r="M31" i="10" s="1"/>
  <c r="N31" i="10" s="1"/>
  <c r="J32" i="10"/>
  <c r="M32" i="10" s="1"/>
  <c r="N32" i="10" s="1"/>
  <c r="J28" i="10"/>
  <c r="M28" i="10" s="1"/>
  <c r="N28" i="10" s="1"/>
  <c r="J30" i="10"/>
  <c r="M30" i="10" s="1"/>
  <c r="N30" i="10" s="1"/>
  <c r="J43" i="10"/>
  <c r="M43" i="10" s="1"/>
  <c r="K42" i="13" l="1"/>
  <c r="K44" i="13" s="1"/>
  <c r="M46" i="13" s="1"/>
  <c r="M51" i="13" s="1"/>
  <c r="H8" i="13"/>
  <c r="H15" i="13" s="1"/>
  <c r="H40" i="13" s="1"/>
  <c r="K15" i="13"/>
  <c r="K40" i="13" s="1"/>
  <c r="N47" i="10"/>
  <c r="M47" i="10"/>
  <c r="M49" i="10" s="1"/>
  <c r="K47" i="10"/>
  <c r="K49" i="10" s="1"/>
  <c r="Q48" i="10" l="1"/>
  <c r="N4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3F80EAFB-FC98-4DA7-A4CF-1F242868240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C65189D1-918E-4092-882E-9BCCB7A05E47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3697246B-3785-4D03-9452-4B7B350BA74C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18EE1710-3A38-4CF1-842B-4C5EB810BE35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0" authorId="0" shapeId="0" xr:uid="{12F9700E-FF55-40A2-9B9A-4CBBFA4C344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C14F51FB-6560-4495-9863-100F052C7A1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J10" authorId="1" shapeId="0" xr:uid="{69D13B8D-D499-422E-80AB-789DB34007D3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1" authorId="0" shapeId="0" xr:uid="{6E7E199E-6171-4ADD-9C54-DC4979CDAC2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86D49046-189E-4A9B-8418-4936B110A6A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B27343DF-03E5-46F2-99DB-395C8219C7B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4" authorId="1" shapeId="0" xr:uid="{CCD74563-AF38-43AF-ACD4-1F3ACAEF1745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G15" authorId="0" shapeId="0" xr:uid="{5D0C5F87-E0CF-48E8-BAED-C7874944E39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DB1B095E-7C6C-4E7E-833E-B9D1797CFAE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F6ECF8CA-3F8B-42DE-83D4-F176CF0E17E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 xr:uid="{E4992932-F425-4E72-B021-288C8222C75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 xr:uid="{DCE6BAD2-ACB9-46D6-8647-4433F6C3E3B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G21" authorId="0" shapeId="0" xr:uid="{26BA711B-2318-4587-A03A-F4D38D7FCD0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2" authorId="0" shapeId="0" xr:uid="{EAF70A64-CDF7-417A-9297-32925BFC983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3" authorId="0" shapeId="0" xr:uid="{95ADB4A3-151B-48E6-AC80-DEAD1DB0087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4" authorId="0" shapeId="0" xr:uid="{500A18E4-19C3-408B-8063-21B48E05F50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6" authorId="0" shapeId="0" xr:uid="{876BE6AA-5DFA-4E41-9A66-7ECFBB36658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7" authorId="0" shapeId="0" xr:uid="{C9F42FFC-CAD8-4C67-AB58-EE8251A061A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30" authorId="0" shapeId="0" xr:uid="{B01486D3-C468-4D66-93DD-DFD49C58473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31" authorId="0" shapeId="0" xr:uid="{744121B8-1894-4E0D-AF2D-F7551AFCDA7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2" authorId="0" shapeId="0" xr:uid="{8483EE61-FAB6-42F4-9C86-B672BF8973D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4" authorId="0" shapeId="0" xr:uid="{55903008-C49B-4F5E-822C-1378030F051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4" authorId="0" shapeId="0" xr:uid="{D0105EA0-297E-4A90-984B-2785B0D2F35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5" authorId="0" shapeId="0" xr:uid="{2DADB93B-601B-45D6-87C7-D03B4D0586B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6" authorId="0" shapeId="0" xr:uid="{81E6E2E4-77A4-453E-BED3-D666856F6B5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8" authorId="0" shapeId="0" xr:uid="{22A973C4-C841-49A6-803B-88A9D3C2651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9" authorId="0" shapeId="0" xr:uid="{C3D0E10A-7F2F-4CBB-B590-58702D0BFB9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0" authorId="0" shapeId="0" xr:uid="{2EBBCFC8-6EAA-4FCA-899D-CCD7CD5B114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1" authorId="0" shapeId="0" xr:uid="{C48EE4A8-8347-4C77-B2F5-524A5BA6857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G42" authorId="0" shapeId="0" xr:uid="{EA43AC44-CE37-4246-97C3-0D784FCDDD7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G43" authorId="0" shapeId="0" xr:uid="{83FF40C8-46AF-482A-A943-4D55568E4E2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N47" authorId="2" shapeId="0" xr:uid="{54D11882-126D-4F6C-90B4-6963DEDB027A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9" authorId="3" shapeId="0" xr:uid="{EAF7B2E7-5AE5-440F-88F5-88F5D018C0BD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99CD8C6B-672D-4824-AC63-ADD55229E19A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71116B90-824A-46BA-89CB-4D2076B69492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2" shapeId="0" xr:uid="{FE7A0C71-88BE-4823-AAD8-72DD453FB838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2" shapeId="0" xr:uid="{CCD352C7-0DD7-42A4-8196-D73D2345B504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2" shapeId="0" xr:uid="{09F1967D-B8FA-4759-9FFD-98CC5123BD5E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2" shapeId="0" xr:uid="{084ECBE1-1BEA-477B-95C9-0AFBB9C4E091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AE44" authorId="3" shapeId="0" xr:uid="{E563CAE8-67EE-4710-A39E-99D3721D9B44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<sst xmlns="http://schemas.openxmlformats.org/spreadsheetml/2006/main" count="465" uniqueCount="209">
  <si>
    <t>Amount</t>
  </si>
  <si>
    <t>State</t>
  </si>
  <si>
    <t>Washington</t>
  </si>
  <si>
    <t>Commodity</t>
  </si>
  <si>
    <t>47WA.6011.28051</t>
  </si>
  <si>
    <t>47WA.2530.01253</t>
  </si>
  <si>
    <t>Demand</t>
  </si>
  <si>
    <t>47WA.2530.01254</t>
  </si>
  <si>
    <t>Oregon</t>
  </si>
  <si>
    <t>Amortization</t>
  </si>
  <si>
    <t>Total</t>
  </si>
  <si>
    <t>Gas Cost Recognized</t>
  </si>
  <si>
    <t>Total Gas Cost Recognized</t>
  </si>
  <si>
    <t>5</t>
  </si>
  <si>
    <t>Actual Gas Cost Incurred</t>
  </si>
  <si>
    <t>Deferred Gas Cost Journalized</t>
  </si>
  <si>
    <t>Gas Storage Mitigation</t>
  </si>
  <si>
    <t>Deferral Amount</t>
  </si>
  <si>
    <t xml:space="preserve"> Washington Deferrals</t>
  </si>
  <si>
    <t xml:space="preserve"> Month of</t>
  </si>
  <si>
    <t>4</t>
  </si>
  <si>
    <t>47WA.2530.01253 - Gas Loss</t>
  </si>
  <si>
    <t>( ____ )  = credit to gas cost</t>
  </si>
  <si>
    <t>JDE Gas Cost Account Code</t>
  </si>
  <si>
    <t>JDE Deferred Gas Account Code</t>
  </si>
  <si>
    <t xml:space="preserve"> Assignment of Core Gas Cost To</t>
  </si>
  <si>
    <t xml:space="preserve"> Class &amp; Rate Schedule</t>
  </si>
  <si>
    <t xml:space="preserve"> Blue - 1501A</t>
  </si>
  <si>
    <t xml:space="preserve"> Core Gas Cost</t>
  </si>
  <si>
    <t>Red Cells = Actual Billed Therms 1501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</si>
  <si>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</si>
  <si>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</si>
  <si>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</si>
  <si>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</si>
  <si>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</si>
  <si>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</si>
  <si>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</si>
  <si>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</si>
  <si>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</si>
  <si>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</si>
  <si>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</si>
  <si>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Recongnized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</si>
  <si>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</si>
  <si>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</si>
  <si>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</si>
  <si>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</si>
  <si>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</si>
  <si>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</si>
  <si>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</si>
  <si>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47WA.4002.4800</t>
  </si>
  <si>
    <t>Regular cycle</t>
  </si>
  <si>
    <t>47WA.6011.28040</t>
  </si>
  <si>
    <t>Firm Res - air con</t>
  </si>
  <si>
    <t>541</t>
  </si>
  <si>
    <t>CNGWA 541</t>
  </si>
  <si>
    <t>GC RECOGNIZED RS 15410</t>
  </si>
  <si>
    <t>Firm Residentials</t>
  </si>
  <si>
    <t>503</t>
  </si>
  <si>
    <t>CNGWA 503</t>
  </si>
  <si>
    <t>GC RECOGNIZED RS 15030</t>
  </si>
  <si>
    <t>47WA.4009.4800</t>
  </si>
  <si>
    <t>PM Unbilled - Res</t>
  </si>
  <si>
    <t>CM Unbilled - Res</t>
  </si>
  <si>
    <t>47WA.4002.4810</t>
  </si>
  <si>
    <t>Firm Commercial</t>
  </si>
  <si>
    <t>504</t>
  </si>
  <si>
    <t>CNGWA 504</t>
  </si>
  <si>
    <t>GC RECOGNIZED RS 25040</t>
  </si>
  <si>
    <t>47WA.4009.4810</t>
  </si>
  <si>
    <t>PM Unbilled - Com'l</t>
  </si>
  <si>
    <t>Reg. accrual</t>
  </si>
  <si>
    <t>CM Unbilled - Com'l</t>
  </si>
  <si>
    <t>Firm Com - Lg Vol</t>
  </si>
  <si>
    <t>511</t>
  </si>
  <si>
    <t>CNGWA 511</t>
  </si>
  <si>
    <t>GC RECOGNIZED RS 25110</t>
  </si>
  <si>
    <t>Firm Com - Compressed NG</t>
  </si>
  <si>
    <t>512</t>
  </si>
  <si>
    <t>CNGWA 512</t>
  </si>
  <si>
    <t>GC RECOGNIZED RS 25120</t>
  </si>
  <si>
    <t>Firm Com - air con</t>
  </si>
  <si>
    <t>GC RECOGNIZED RS 25410</t>
  </si>
  <si>
    <t xml:space="preserve">PM Unbilled </t>
  </si>
  <si>
    <t>CNGWA 04LV</t>
  </si>
  <si>
    <t xml:space="preserve">CM Unbilled </t>
  </si>
  <si>
    <t>47WA.4002.4809</t>
  </si>
  <si>
    <t>Firm Ind'l</t>
  </si>
  <si>
    <t>505</t>
  </si>
  <si>
    <t>CNGWA 505</t>
  </si>
  <si>
    <t>GC RECOGNIZED RS 35050</t>
  </si>
  <si>
    <t>Firm Industrial</t>
  </si>
  <si>
    <t>GC RECOGNIZED RS 35110</t>
  </si>
  <si>
    <t>Firm Ind'l - compressed NG</t>
  </si>
  <si>
    <t>GC RECOGNIZED RS 35120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</si>
  <si>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</si>
  <si>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</si>
  <si>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</si>
  <si>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</si>
  <si>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</si>
  <si>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</si>
  <si>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</si>
  <si>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>GC RECOGNIZED RS 55700</t>
  </si>
  <si>
    <t>GC RECOGNIZED RS 45700</t>
  </si>
  <si>
    <t>47WA.4009.4813</t>
  </si>
  <si>
    <t>Interr Industrial</t>
  </si>
  <si>
    <t>CM Unbilled</t>
  </si>
  <si>
    <t>47WA.4002.4813</t>
  </si>
  <si>
    <t>Interr Industrial - Ltd</t>
  </si>
  <si>
    <t>577</t>
  </si>
  <si>
    <t>CNGWA 577</t>
  </si>
  <si>
    <t>GC RECOGNIZED RS 55770</t>
  </si>
  <si>
    <t>Interr Institutional</t>
  </si>
  <si>
    <t>GC RECOGNIZED RS 65700</t>
  </si>
  <si>
    <t>Old Rates</t>
  </si>
  <si>
    <t xml:space="preserve">Total Gas Cost Recognized </t>
  </si>
  <si>
    <t>New Rates</t>
  </si>
  <si>
    <t>Pg 2</t>
  </si>
  <si>
    <t>S003000804009990670001</t>
  </si>
  <si>
    <t>GC RECOGNIZED CORE TOTAL</t>
  </si>
  <si>
    <t>Total WA</t>
  </si>
  <si>
    <t xml:space="preserve"> </t>
  </si>
  <si>
    <t>Pg 3</t>
  </si>
  <si>
    <t>CNGWA 11LV</t>
  </si>
  <si>
    <t>WASHINGTON - New Rates 2019</t>
  </si>
  <si>
    <t>Nov 1 2019</t>
  </si>
  <si>
    <t>04LV</t>
  </si>
  <si>
    <t>11LV</t>
  </si>
  <si>
    <t>05LV</t>
  </si>
  <si>
    <t>Unbilled</t>
  </si>
  <si>
    <t xml:space="preserve">CM 1501A (Unbilled) </t>
  </si>
  <si>
    <t>1501A</t>
  </si>
  <si>
    <t>511  04LV</t>
  </si>
  <si>
    <t>505  05LV</t>
  </si>
  <si>
    <t>4813  570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</si>
  <si>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</si>
  <si>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</si>
  <si>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</si>
  <si>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</si>
  <si>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</si>
  <si>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</si>
  <si>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</si>
  <si>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</si>
  <si>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</si>
  <si>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</si>
  <si>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</si>
  <si>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</si>
  <si>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</si>
  <si>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</si>
  <si>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</si>
  <si>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</si>
  <si>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</si>
  <si>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</si>
  <si>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</si>
  <si>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</si>
  <si>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Injected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</si>
  <si>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</si>
  <si>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</si>
  <si>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</si>
  <si>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</si>
  <si>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</si>
  <si>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</si>
  <si>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</si>
  <si>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</si>
  <si>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</si>
  <si>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</si>
  <si>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</si>
  <si>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</si>
  <si>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</si>
  <si>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</si>
  <si>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</si>
  <si>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</si>
  <si>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</si>
  <si>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</si>
  <si>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</si>
  <si>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</si>
  <si>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</si>
  <si>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</si>
  <si>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</si>
  <si>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</si>
  <si>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</si>
  <si>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</si>
  <si>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</si>
  <si>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Spreadsheet</t>
  </si>
  <si>
    <t xml:space="preserve">WA &amp; OR </t>
  </si>
  <si>
    <t>Previous Month Gas Supply Analysis</t>
  </si>
  <si>
    <t>JDE Export</t>
  </si>
  <si>
    <t>Total 6011</t>
  </si>
  <si>
    <t>True-up</t>
  </si>
  <si>
    <t xml:space="preserve">    </t>
  </si>
  <si>
    <t>Variance</t>
  </si>
  <si>
    <t>AU</t>
  </si>
  <si>
    <t>Ledger Type</t>
  </si>
  <si>
    <t>AA</t>
  </si>
  <si>
    <t>Year</t>
  </si>
  <si>
    <t>2020</t>
  </si>
  <si>
    <t>Format</t>
  </si>
  <si>
    <t>per</t>
  </si>
  <si>
    <t>Period</t>
  </si>
  <si>
    <t>10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</si>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</sst>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9" formatCode="_(&quot;$&quot;* #,##0.0_);_(&quot;$&quot;* \(#,##0.0\);_(&quot;$&quot;* &quot;-&quot;??_);_(@_)"/>
    <numFmt numFmtId="171" formatCode="_(* #,##0.0000_);_(* \(#,##0.0000\);_(* &quot;-&quot;??_);_(@_)"/>
  </numFmts>
  <fonts count="22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i/>
      <sz val="8"/>
      <name val="Arial"/>
      <family val="2"/>
    </font>
    <font>
      <sz val="10.5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3"/>
    <xf numFmtId="0" fontId="1" fillId="0" borderId="0" xfId="3" applyAlignment="1">
      <alignment horizontal="center"/>
    </xf>
    <xf numFmtId="0" fontId="1" fillId="0" borderId="1" xfId="3" applyBorder="1" applyAlignment="1">
      <alignment horizontal="center"/>
    </xf>
    <xf numFmtId="44" fontId="1" fillId="0" borderId="0" xfId="3" applyNumberFormat="1"/>
    <xf numFmtId="0" fontId="3" fillId="0" borderId="0" xfId="3" applyFont="1"/>
    <xf numFmtId="165" fontId="4" fillId="0" borderId="0" xfId="4" applyNumberFormat="1" applyFont="1"/>
    <xf numFmtId="0" fontId="10" fillId="0" borderId="0" xfId="3" applyFont="1" applyAlignment="1">
      <alignment horizontal="center"/>
    </xf>
    <xf numFmtId="0" fontId="10" fillId="0" borderId="9" xfId="3" applyFont="1" applyBorder="1" applyAlignment="1">
      <alignment horizontal="center"/>
    </xf>
    <xf numFmtId="0" fontId="2" fillId="0" borderId="0" xfId="3" applyFont="1" applyAlignment="1">
      <alignment horizontal="right"/>
    </xf>
    <xf numFmtId="44" fontId="2" fillId="0" borderId="0" xfId="3" applyNumberFormat="1" applyFont="1" applyAlignment="1">
      <alignment horizontal="right"/>
    </xf>
    <xf numFmtId="165" fontId="1" fillId="0" borderId="0" xfId="4" applyNumberFormat="1"/>
    <xf numFmtId="44" fontId="2" fillId="0" borderId="0" xfId="3" applyNumberFormat="1" applyFont="1"/>
    <xf numFmtId="44" fontId="2" fillId="0" borderId="4" xfId="3" applyNumberFormat="1" applyFont="1" applyBorder="1"/>
    <xf numFmtId="0" fontId="2" fillId="0" borderId="0" xfId="3" applyFont="1"/>
    <xf numFmtId="49" fontId="7" fillId="0" borderId="4" xfId="3" applyNumberFormat="1" applyFont="1" applyBorder="1" applyAlignment="1">
      <alignment horizontal="center"/>
    </xf>
    <xf numFmtId="49" fontId="7" fillId="0" borderId="0" xfId="3" applyNumberFormat="1" applyFont="1" applyAlignment="1">
      <alignment horizontal="center"/>
    </xf>
    <xf numFmtId="44" fontId="10" fillId="0" borderId="4" xfId="3" applyNumberFormat="1" applyFont="1" applyBorder="1" applyAlignment="1">
      <alignment horizontal="center"/>
    </xf>
    <xf numFmtId="44" fontId="2" fillId="0" borderId="10" xfId="3" applyNumberFormat="1" applyFont="1" applyBorder="1" applyAlignment="1">
      <alignment horizontal="left"/>
    </xf>
    <xf numFmtId="44" fontId="2" fillId="0" borderId="0" xfId="3" applyNumberFormat="1" applyFont="1" applyAlignment="1">
      <alignment horizontal="center"/>
    </xf>
    <xf numFmtId="0" fontId="2" fillId="0" borderId="4" xfId="3" applyFont="1" applyBorder="1"/>
    <xf numFmtId="0" fontId="2" fillId="0" borderId="10" xfId="3" applyFont="1" applyBorder="1"/>
    <xf numFmtId="44" fontId="6" fillId="0" borderId="2" xfId="3" applyNumberFormat="1" applyFont="1" applyBorder="1"/>
    <xf numFmtId="44" fontId="6" fillId="0" borderId="11" xfId="3" applyNumberFormat="1" applyFont="1" applyBorder="1"/>
    <xf numFmtId="0" fontId="3" fillId="0" borderId="2" xfId="3" applyFont="1" applyBorder="1"/>
    <xf numFmtId="0" fontId="2" fillId="0" borderId="2" xfId="3" applyFont="1" applyBorder="1"/>
    <xf numFmtId="44" fontId="2" fillId="0" borderId="4" xfId="5" applyFont="1" applyBorder="1"/>
    <xf numFmtId="44" fontId="2" fillId="0" borderId="0" xfId="5" applyFont="1"/>
    <xf numFmtId="0" fontId="2" fillId="0" borderId="1" xfId="3" applyFont="1" applyBorder="1"/>
    <xf numFmtId="44" fontId="1" fillId="0" borderId="0" xfId="3" applyNumberFormat="1" applyAlignment="1">
      <alignment horizontal="left"/>
    </xf>
    <xf numFmtId="0" fontId="2" fillId="0" borderId="10" xfId="5" applyNumberFormat="1" applyFont="1" applyBorder="1" applyAlignment="1">
      <alignment horizontal="left"/>
    </xf>
    <xf numFmtId="44" fontId="2" fillId="0" borderId="10" xfId="5" applyFont="1" applyBorder="1"/>
    <xf numFmtId="44" fontId="2" fillId="0" borderId="7" xfId="5" applyFont="1" applyBorder="1"/>
    <xf numFmtId="44" fontId="2" fillId="0" borderId="1" xfId="3" applyNumberFormat="1" applyFont="1" applyBorder="1"/>
    <xf numFmtId="44" fontId="2" fillId="0" borderId="5" xfId="5" applyFont="1" applyBorder="1"/>
    <xf numFmtId="44" fontId="2" fillId="0" borderId="1" xfId="5" applyFont="1" applyBorder="1"/>
    <xf numFmtId="44" fontId="2" fillId="0" borderId="8" xfId="3" applyNumberFormat="1" applyFont="1" applyBorder="1" applyAlignment="1">
      <alignment horizontal="center"/>
    </xf>
    <xf numFmtId="44" fontId="2" fillId="0" borderId="4" xfId="3" applyNumberFormat="1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6" fillId="0" borderId="1" xfId="3" applyFont="1" applyBorder="1"/>
    <xf numFmtId="0" fontId="7" fillId="0" borderId="0" xfId="3" applyFont="1" applyAlignment="1">
      <alignment horizontal="center"/>
    </xf>
    <xf numFmtId="0" fontId="7" fillId="0" borderId="4" xfId="3" applyFont="1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1" xfId="3" applyBorder="1" applyAlignment="1">
      <alignment horizontal="center"/>
    </xf>
    <xf numFmtId="164" fontId="5" fillId="0" borderId="0" xfId="3" applyNumberFormat="1" applyFont="1"/>
    <xf numFmtId="164" fontId="5" fillId="0" borderId="0" xfId="3" applyNumberFormat="1" applyFont="1" applyAlignment="1">
      <alignment horizontal="left"/>
    </xf>
    <xf numFmtId="0" fontId="5" fillId="0" borderId="0" xfId="3" applyFont="1"/>
    <xf numFmtId="0" fontId="3" fillId="0" borderId="0" xfId="3" applyFont="1" applyAlignment="1">
      <alignment horizontal="center" vertical="center"/>
    </xf>
    <xf numFmtId="0" fontId="5" fillId="0" borderId="0" xfId="3" applyFont="1" applyAlignment="1">
      <alignment horizontal="right"/>
    </xf>
    <xf numFmtId="0" fontId="2" fillId="0" borderId="0" xfId="0" applyFont="1" applyFill="1"/>
    <xf numFmtId="49" fontId="2" fillId="0" borderId="0" xfId="1" applyNumberFormat="1" applyFont="1" applyFill="1"/>
    <xf numFmtId="0" fontId="5" fillId="0" borderId="0" xfId="0" applyFont="1" applyFill="1"/>
    <xf numFmtId="49" fontId="2" fillId="0" borderId="0" xfId="0" applyNumberFormat="1" applyFont="1" applyFill="1"/>
    <xf numFmtId="39" fontId="5" fillId="0" borderId="0" xfId="0" applyNumberFormat="1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5" fillId="0" borderId="0" xfId="1" applyNumberFormat="1" applyFont="1" applyFill="1" applyAlignment="1">
      <alignment horizontal="center" vertical="center"/>
    </xf>
    <xf numFmtId="165" fontId="5" fillId="0" borderId="0" xfId="1" applyNumberFormat="1" applyFont="1" applyFill="1"/>
    <xf numFmtId="0" fontId="2" fillId="0" borderId="0" xfId="2" applyNumberFormat="1" applyFont="1" applyFill="1"/>
    <xf numFmtId="37" fontId="2" fillId="0" borderId="0" xfId="2" applyNumberFormat="1" applyFont="1" applyFill="1" applyAlignment="1">
      <alignment horizontal="left"/>
    </xf>
    <xf numFmtId="44" fontId="5" fillId="0" borderId="0" xfId="0" applyNumberFormat="1" applyFont="1" applyFill="1"/>
    <xf numFmtId="44" fontId="2" fillId="0" borderId="0" xfId="0" applyNumberFormat="1" applyFont="1" applyFill="1"/>
    <xf numFmtId="44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right"/>
    </xf>
    <xf numFmtId="166" fontId="14" fillId="0" borderId="0" xfId="2" applyNumberFormat="1" applyFont="1" applyFill="1"/>
    <xf numFmtId="165" fontId="2" fillId="0" borderId="0" xfId="1" applyNumberFormat="1" applyFont="1" applyFill="1"/>
    <xf numFmtId="49" fontId="2" fillId="0" borderId="0" xfId="0" applyNumberFormat="1" applyFont="1" applyFill="1"/>
    <xf numFmtId="165" fontId="5" fillId="0" borderId="0" xfId="1" applyNumberFormat="1" applyFont="1" applyFill="1" applyAlignment="1">
      <alignment horizontal="center"/>
    </xf>
    <xf numFmtId="166" fontId="5" fillId="0" borderId="0" xfId="2" applyNumberFormat="1" applyFont="1" applyFill="1" applyAlignment="1">
      <alignment horizontal="left"/>
    </xf>
    <xf numFmtId="49" fontId="0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39" fontId="0" fillId="0" borderId="0" xfId="0" applyNumberFormat="1" applyFont="1" applyFill="1"/>
    <xf numFmtId="39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17" fontId="0" fillId="0" borderId="0" xfId="0" applyNumberFormat="1" applyFont="1" applyFill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14" fontId="1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 indent="1"/>
    </xf>
    <xf numFmtId="44" fontId="0" fillId="0" borderId="0" xfId="0" applyNumberFormat="1" applyFont="1" applyFill="1"/>
    <xf numFmtId="44" fontId="0" fillId="0" borderId="0" xfId="0" applyNumberFormat="1" applyFont="1" applyFill="1" applyAlignment="1">
      <alignment horizontal="left"/>
    </xf>
    <xf numFmtId="49" fontId="0" fillId="0" borderId="0" xfId="0" applyNumberFormat="1" applyFont="1" applyFill="1" applyAlignment="1">
      <alignment horizontal="right"/>
    </xf>
    <xf numFmtId="44" fontId="5" fillId="0" borderId="0" xfId="2" applyFont="1" applyFill="1"/>
    <xf numFmtId="49" fontId="5" fillId="0" borderId="0" xfId="1" applyNumberFormat="1" applyFont="1" applyFill="1"/>
    <xf numFmtId="49" fontId="4" fillId="0" borderId="0" xfId="1" applyNumberFormat="1" applyFont="1" applyFill="1"/>
    <xf numFmtId="165" fontId="4" fillId="0" borderId="0" xfId="1" applyNumberFormat="1" applyFont="1" applyFill="1" applyAlignment="1">
      <alignment horizontal="left"/>
    </xf>
    <xf numFmtId="43" fontId="4" fillId="0" borderId="0" xfId="1" applyFont="1" applyFill="1"/>
    <xf numFmtId="165" fontId="4" fillId="0" borderId="0" xfId="1" applyNumberFormat="1" applyFont="1" applyFill="1"/>
    <xf numFmtId="165" fontId="15" fillId="0" borderId="0" xfId="1" applyNumberFormat="1" applyFont="1" applyFill="1" applyAlignment="1">
      <alignment horizontal="center"/>
    </xf>
    <xf numFmtId="49" fontId="4" fillId="0" borderId="1" xfId="1" applyNumberFormat="1" applyFont="1" applyFill="1" applyBorder="1"/>
    <xf numFmtId="165" fontId="2" fillId="0" borderId="1" xfId="1" applyNumberFormat="1" applyFont="1" applyFill="1" applyBorder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Alignment="1">
      <alignment vertical="center"/>
    </xf>
    <xf numFmtId="165" fontId="7" fillId="0" borderId="2" xfId="1" applyNumberFormat="1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165" fontId="7" fillId="0" borderId="1" xfId="1" applyNumberFormat="1" applyFont="1" applyFill="1" applyBorder="1" applyAlignment="1">
      <alignment horizontal="center"/>
    </xf>
    <xf numFmtId="43" fontId="7" fillId="0" borderId="1" xfId="1" applyFont="1" applyFill="1" applyBorder="1" applyAlignment="1">
      <alignment horizontal="center"/>
    </xf>
    <xf numFmtId="43" fontId="13" fillId="0" borderId="0" xfId="1" applyFont="1" applyFill="1" applyAlignment="1">
      <alignment horizontal="center"/>
    </xf>
    <xf numFmtId="165" fontId="14" fillId="0" borderId="0" xfId="1" applyNumberFormat="1" applyFont="1" applyFill="1"/>
    <xf numFmtId="165" fontId="14" fillId="0" borderId="0" xfId="1" applyNumberFormat="1" applyFont="1" applyFill="1" applyAlignment="1">
      <alignment horizontal="left"/>
    </xf>
    <xf numFmtId="43" fontId="14" fillId="0" borderId="0" xfId="1" applyFont="1" applyFill="1"/>
    <xf numFmtId="165" fontId="14" fillId="0" borderId="0" xfId="1" applyNumberFormat="1" applyFont="1" applyFill="1" applyAlignment="1">
      <alignment horizontal="left" vertical="top"/>
    </xf>
    <xf numFmtId="43" fontId="2" fillId="0" borderId="2" xfId="1" applyFont="1" applyFill="1" applyBorder="1"/>
    <xf numFmtId="44" fontId="2" fillId="0" borderId="2" xfId="2" applyFont="1" applyFill="1" applyBorder="1"/>
    <xf numFmtId="165" fontId="4" fillId="0" borderId="2" xfId="1" applyNumberFormat="1" applyFont="1" applyFill="1" applyBorder="1" applyAlignment="1">
      <alignment horizontal="left"/>
    </xf>
    <xf numFmtId="165" fontId="14" fillId="0" borderId="6" xfId="1" applyNumberFormat="1" applyFont="1" applyFill="1" applyBorder="1"/>
    <xf numFmtId="43" fontId="14" fillId="0" borderId="6" xfId="1" applyFont="1" applyFill="1" applyBorder="1"/>
    <xf numFmtId="165" fontId="14" fillId="0" borderId="0" xfId="1" applyNumberFormat="1" applyFont="1" applyFill="1" applyAlignment="1">
      <alignment horizontal="left" indent="3"/>
    </xf>
    <xf numFmtId="44" fontId="4" fillId="0" borderId="0" xfId="2" applyFont="1" applyFill="1"/>
    <xf numFmtId="165" fontId="14" fillId="0" borderId="1" xfId="1" applyNumberFormat="1" applyFont="1" applyFill="1" applyBorder="1" applyAlignment="1">
      <alignment horizontal="left" indent="3"/>
    </xf>
    <xf numFmtId="165" fontId="2" fillId="0" borderId="6" xfId="1" applyNumberFormat="1" applyFont="1" applyFill="1" applyBorder="1"/>
    <xf numFmtId="165" fontId="14" fillId="0" borderId="2" xfId="1" applyNumberFormat="1" applyFont="1" applyFill="1" applyBorder="1" applyAlignment="1">
      <alignment horizontal="left" indent="3"/>
    </xf>
    <xf numFmtId="165" fontId="14" fillId="0" borderId="6" xfId="1" applyNumberFormat="1" applyFont="1" applyFill="1" applyBorder="1" applyAlignment="1">
      <alignment horizontal="left" indent="3"/>
    </xf>
    <xf numFmtId="165" fontId="2" fillId="0" borderId="0" xfId="1" applyNumberFormat="1" applyFont="1" applyFill="1" applyAlignment="1">
      <alignment horizontal="left"/>
    </xf>
    <xf numFmtId="165" fontId="2" fillId="0" borderId="1" xfId="1" applyNumberFormat="1" applyFont="1" applyFill="1" applyBorder="1"/>
    <xf numFmtId="165" fontId="14" fillId="0" borderId="1" xfId="1" applyNumberFormat="1" applyFont="1" applyFill="1" applyBorder="1"/>
    <xf numFmtId="165" fontId="14" fillId="0" borderId="2" xfId="1" applyNumberFormat="1" applyFont="1" applyFill="1" applyBorder="1"/>
    <xf numFmtId="165" fontId="4" fillId="0" borderId="0" xfId="1" applyNumberFormat="1" applyFont="1" applyFill="1" applyAlignment="1">
      <alignment horizontal="left" indent="1"/>
    </xf>
    <xf numFmtId="43" fontId="14" fillId="0" borderId="2" xfId="1" applyFont="1" applyFill="1" applyBorder="1"/>
    <xf numFmtId="165" fontId="4" fillId="0" borderId="2" xfId="1" applyNumberFormat="1" applyFont="1" applyFill="1" applyBorder="1"/>
    <xf numFmtId="165" fontId="2" fillId="0" borderId="2" xfId="1" applyNumberFormat="1" applyFont="1" applyFill="1" applyBorder="1"/>
    <xf numFmtId="165" fontId="4" fillId="0" borderId="2" xfId="1" applyNumberFormat="1" applyFont="1" applyFill="1" applyBorder="1" applyAlignment="1">
      <alignment horizontal="right"/>
    </xf>
    <xf numFmtId="43" fontId="4" fillId="0" borderId="6" xfId="1" applyFont="1" applyFill="1" applyBorder="1"/>
    <xf numFmtId="44" fontId="2" fillId="0" borderId="0" xfId="2" applyFont="1" applyFill="1"/>
    <xf numFmtId="0" fontId="2" fillId="0" borderId="0" xfId="1" applyNumberFormat="1" applyFont="1" applyFill="1" applyAlignment="1">
      <alignment horizontal="left" indent="2"/>
    </xf>
    <xf numFmtId="43" fontId="2" fillId="0" borderId="0" xfId="1" applyFont="1" applyFill="1"/>
    <xf numFmtId="43" fontId="2" fillId="0" borderId="0" xfId="1" applyFont="1" applyFill="1" applyAlignment="1">
      <alignment horizontal="left"/>
    </xf>
    <xf numFmtId="43" fontId="2" fillId="0" borderId="1" xfId="1" applyFont="1" applyFill="1" applyBorder="1"/>
    <xf numFmtId="0" fontId="2" fillId="0" borderId="0" xfId="1" applyNumberFormat="1" applyFont="1" applyFill="1" applyAlignment="1">
      <alignment horizontal="left" indent="4"/>
    </xf>
    <xf numFmtId="49" fontId="2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center"/>
    </xf>
    <xf numFmtId="0" fontId="4" fillId="0" borderId="0" xfId="1" applyNumberFormat="1" applyFont="1" applyFill="1"/>
    <xf numFmtId="15" fontId="4" fillId="0" borderId="0" xfId="1" applyNumberFormat="1" applyFont="1" applyFill="1"/>
    <xf numFmtId="0" fontId="2" fillId="0" borderId="0" xfId="0" applyFont="1" applyFill="1" applyAlignment="1">
      <alignment horizontal="center"/>
    </xf>
    <xf numFmtId="165" fontId="14" fillId="0" borderId="0" xfId="1" applyNumberFormat="1" applyFont="1" applyFill="1" applyAlignment="1">
      <alignment horizontal="right"/>
    </xf>
    <xf numFmtId="0" fontId="4" fillId="0" borderId="0" xfId="0" applyFont="1" applyFill="1"/>
    <xf numFmtId="171" fontId="4" fillId="0" borderId="0" xfId="1" applyNumberFormat="1" applyFont="1" applyFill="1"/>
    <xf numFmtId="43" fontId="20" fillId="0" borderId="0" xfId="1" applyFont="1" applyFill="1"/>
    <xf numFmtId="164" fontId="5" fillId="0" borderId="0" xfId="1" applyNumberFormat="1" applyFont="1" applyFill="1" applyAlignment="1">
      <alignment horizontal="center"/>
    </xf>
    <xf numFmtId="165" fontId="1" fillId="0" borderId="0" xfId="1" applyNumberFormat="1" applyFont="1" applyFill="1"/>
    <xf numFmtId="165" fontId="1" fillId="0" borderId="1" xfId="1" applyNumberFormat="1" applyFont="1" applyFill="1" applyBorder="1"/>
    <xf numFmtId="49" fontId="1" fillId="0" borderId="0" xfId="1" applyNumberFormat="1" applyFont="1" applyFill="1" applyAlignment="1">
      <alignment horizontal="right"/>
    </xf>
    <xf numFmtId="0" fontId="1" fillId="0" borderId="0" xfId="1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center"/>
    </xf>
    <xf numFmtId="44" fontId="1" fillId="0" borderId="0" xfId="2" applyFont="1" applyFill="1"/>
    <xf numFmtId="165" fontId="1" fillId="0" borderId="0" xfId="1" applyNumberFormat="1" applyFont="1" applyFill="1" applyAlignment="1">
      <alignment horizontal="left" indent="3"/>
    </xf>
    <xf numFmtId="165" fontId="1" fillId="0" borderId="0" xfId="1" applyNumberFormat="1" applyFont="1" applyFill="1" applyAlignment="1">
      <alignment horizontal="left"/>
    </xf>
    <xf numFmtId="165" fontId="1" fillId="0" borderId="0" xfId="1" applyNumberFormat="1" applyFont="1" applyFill="1" applyAlignment="1">
      <alignment horizontal="left" indent="4"/>
    </xf>
    <xf numFmtId="44" fontId="1" fillId="0" borderId="1" xfId="2" applyFont="1" applyFill="1" applyBorder="1"/>
    <xf numFmtId="44" fontId="2" fillId="0" borderId="1" xfId="2" applyFont="1" applyFill="1" applyBorder="1"/>
    <xf numFmtId="49" fontId="1" fillId="0" borderId="0" xfId="1" applyNumberFormat="1" applyFont="1" applyFill="1" applyAlignment="1">
      <alignment horizontal="center"/>
    </xf>
    <xf numFmtId="165" fontId="1" fillId="0" borderId="6" xfId="1" applyNumberFormat="1" applyFont="1" applyFill="1" applyBorder="1"/>
    <xf numFmtId="44" fontId="1" fillId="0" borderId="6" xfId="2" applyFont="1" applyFill="1" applyBorder="1"/>
    <xf numFmtId="44" fontId="1" fillId="0" borderId="2" xfId="2" applyFont="1" applyFill="1" applyBorder="1"/>
    <xf numFmtId="43" fontId="1" fillId="0" borderId="6" xfId="1" applyFont="1" applyFill="1" applyBorder="1"/>
    <xf numFmtId="165" fontId="1" fillId="0" borderId="1" xfId="1" applyNumberFormat="1" applyFont="1" applyFill="1" applyBorder="1" applyAlignment="1">
      <alignment horizontal="left" indent="3"/>
    </xf>
    <xf numFmtId="165" fontId="1" fillId="0" borderId="2" xfId="1" applyNumberFormat="1" applyFont="1" applyFill="1" applyBorder="1"/>
    <xf numFmtId="165" fontId="1" fillId="0" borderId="6" xfId="1" applyNumberFormat="1" applyFont="1" applyFill="1" applyBorder="1" applyAlignment="1">
      <alignment horizontal="left" indent="3"/>
    </xf>
    <xf numFmtId="43" fontId="1" fillId="0" borderId="2" xfId="1" applyFont="1" applyFill="1" applyBorder="1"/>
    <xf numFmtId="43" fontId="1" fillId="0" borderId="0" xfId="1" applyFont="1" applyFill="1"/>
    <xf numFmtId="49" fontId="5" fillId="0" borderId="0" xfId="1" applyNumberFormat="1" applyFont="1" applyFill="1" applyAlignment="1">
      <alignment horizontal="left"/>
    </xf>
    <xf numFmtId="164" fontId="5" fillId="0" borderId="0" xfId="1" applyNumberFormat="1" applyFont="1" applyFill="1" applyAlignment="1">
      <alignment horizontal="left"/>
    </xf>
    <xf numFmtId="165" fontId="4" fillId="0" borderId="0" xfId="1" applyNumberFormat="1" applyFont="1" applyFill="1" applyAlignment="1">
      <alignment horizontal="center"/>
    </xf>
    <xf numFmtId="165" fontId="4" fillId="0" borderId="0" xfId="1" applyNumberFormat="1" applyFont="1" applyFill="1" applyAlignment="1">
      <alignment horizontal="center"/>
    </xf>
    <xf numFmtId="49" fontId="2" fillId="0" borderId="1" xfId="1" applyNumberFormat="1" applyFont="1" applyFill="1" applyBorder="1"/>
    <xf numFmtId="49" fontId="2" fillId="0" borderId="1" xfId="1" applyNumberFormat="1" applyFont="1" applyFill="1" applyBorder="1" applyAlignment="1">
      <alignment horizontal="left"/>
    </xf>
    <xf numFmtId="0" fontId="2" fillId="0" borderId="0" xfId="1" applyNumberFormat="1" applyFont="1" applyFill="1" applyAlignment="1">
      <alignment horizontal="center"/>
    </xf>
    <xf numFmtId="0" fontId="2" fillId="0" borderId="0" xfId="2" applyNumberFormat="1" applyFont="1" applyFill="1" applyAlignment="1">
      <alignment horizontal="center"/>
    </xf>
    <xf numFmtId="165" fontId="14" fillId="0" borderId="0" xfId="1" applyNumberFormat="1" applyFont="1" applyFill="1" applyAlignment="1">
      <alignment horizontal="left" indent="1"/>
    </xf>
    <xf numFmtId="165" fontId="14" fillId="0" borderId="0" xfId="1" applyNumberFormat="1" applyFont="1" applyFill="1" applyAlignment="1">
      <alignment horizontal="left" indent="4"/>
    </xf>
    <xf numFmtId="49" fontId="2" fillId="0" borderId="0" xfId="1" applyNumberFormat="1" applyFont="1" applyFill="1" applyAlignment="1">
      <alignment horizontal="center"/>
    </xf>
    <xf numFmtId="44" fontId="2" fillId="0" borderId="6" xfId="2" applyFont="1" applyFill="1" applyBorder="1"/>
    <xf numFmtId="44" fontId="4" fillId="0" borderId="2" xfId="2" applyFont="1" applyFill="1" applyBorder="1"/>
    <xf numFmtId="165" fontId="21" fillId="0" borderId="0" xfId="1" applyNumberFormat="1" applyFont="1" applyFill="1"/>
    <xf numFmtId="165" fontId="20" fillId="0" borderId="0" xfId="1" applyNumberFormat="1" applyFont="1" applyFill="1" applyAlignment="1">
      <alignment horizontal="left" wrapText="1"/>
    </xf>
    <xf numFmtId="43" fontId="2" fillId="0" borderId="2" xfId="1" applyFont="1" applyFill="1" applyBorder="1" applyAlignment="1">
      <alignment horizontal="left"/>
    </xf>
    <xf numFmtId="165" fontId="1" fillId="0" borderId="3" xfId="1" applyNumberFormat="1" applyFont="1" applyFill="1" applyBorder="1" applyAlignment="1">
      <alignment horizontal="center" vertical="top"/>
    </xf>
    <xf numFmtId="165" fontId="4" fillId="0" borderId="3" xfId="1" applyNumberFormat="1" applyFont="1" applyFill="1" applyBorder="1"/>
    <xf numFmtId="43" fontId="2" fillId="0" borderId="6" xfId="1" applyFont="1" applyFill="1" applyBorder="1" applyAlignment="1">
      <alignment vertical="center"/>
    </xf>
    <xf numFmtId="49" fontId="15" fillId="0" borderId="0" xfId="0" applyNumberFormat="1" applyFont="1" applyFill="1" applyAlignment="1">
      <alignment horizontal="center" vertical="center" wrapText="1"/>
    </xf>
    <xf numFmtId="49" fontId="15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49" fontId="15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vertical="center"/>
    </xf>
    <xf numFmtId="165" fontId="2" fillId="0" borderId="0" xfId="1" applyNumberFormat="1" applyFont="1" applyFill="1" applyAlignment="1">
      <alignment horizontal="left"/>
    </xf>
    <xf numFmtId="49" fontId="15" fillId="0" borderId="0" xfId="0" applyNumberFormat="1" applyFont="1" applyFill="1" applyAlignment="1">
      <alignment vertical="top"/>
    </xf>
    <xf numFmtId="164" fontId="15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/>
    </xf>
    <xf numFmtId="49" fontId="1" fillId="0" borderId="0" xfId="1" applyNumberFormat="1" applyFont="1" applyFill="1"/>
    <xf numFmtId="166" fontId="1" fillId="0" borderId="0" xfId="2" applyNumberFormat="1" applyFont="1" applyFill="1" applyAlignment="1">
      <alignment horizontal="center"/>
    </xf>
    <xf numFmtId="39" fontId="2" fillId="0" borderId="0" xfId="0" applyNumberFormat="1" applyFont="1" applyFill="1"/>
    <xf numFmtId="49" fontId="1" fillId="0" borderId="1" xfId="1" applyNumberFormat="1" applyFont="1" applyFill="1" applyBorder="1" applyAlignment="1">
      <alignment horizontal="center"/>
    </xf>
    <xf numFmtId="165" fontId="1" fillId="0" borderId="1" xfId="1" applyNumberFormat="1" applyFont="1" applyFill="1" applyBorder="1" applyAlignment="1">
      <alignment horizontal="center"/>
    </xf>
    <xf numFmtId="167" fontId="1" fillId="0" borderId="1" xfId="2" applyNumberFormat="1" applyFont="1" applyFill="1" applyBorder="1" applyAlignment="1">
      <alignment horizontal="center"/>
    </xf>
    <xf numFmtId="166" fontId="1" fillId="0" borderId="1" xfId="2" applyNumberFormat="1" applyFont="1" applyFill="1" applyBorder="1" applyAlignment="1">
      <alignment horizontal="center"/>
    </xf>
    <xf numFmtId="166" fontId="1" fillId="0" borderId="0" xfId="2" applyNumberFormat="1" applyFont="1" applyFill="1"/>
    <xf numFmtId="44" fontId="1" fillId="0" borderId="12" xfId="2" applyFont="1" applyFill="1" applyBorder="1"/>
    <xf numFmtId="165" fontId="5" fillId="0" borderId="6" xfId="1" applyNumberFormat="1" applyFont="1" applyFill="1" applyBorder="1"/>
    <xf numFmtId="44" fontId="0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left"/>
    </xf>
    <xf numFmtId="165" fontId="5" fillId="0" borderId="0" xfId="1" applyNumberFormat="1" applyFont="1" applyFill="1" applyAlignment="1">
      <alignment horizontal="center" vertical="center"/>
    </xf>
    <xf numFmtId="166" fontId="1" fillId="0" borderId="0" xfId="2" applyNumberFormat="1" applyFont="1" applyFill="1" applyAlignment="1">
      <alignment horizontal="left"/>
    </xf>
    <xf numFmtId="43" fontId="1" fillId="0" borderId="0" xfId="1" applyFont="1" applyFill="1" applyAlignment="1">
      <alignment horizontal="left"/>
    </xf>
    <xf numFmtId="169" fontId="1" fillId="0" borderId="0" xfId="2" applyNumberFormat="1" applyFont="1" applyFill="1"/>
  </cellXfs>
  <cellStyles count="6">
    <cellStyle name="Comma" xfId="1" builtinId="3"/>
    <cellStyle name="Comma 3" xfId="4" xr:uid="{4368BF0B-3001-40DC-A5FC-2CDA3B9BAF2E}"/>
    <cellStyle name="Currency" xfId="2" builtinId="4"/>
    <cellStyle name="Currency 3" xfId="5" xr:uid="{864D1DA5-45AE-4B90-9216-DD3148677ADA}"/>
    <cellStyle name="Normal" xfId="0" builtinId="0"/>
    <cellStyle name="Normal 3" xfId="3" xr:uid="{18BA9803-C5E4-4FFB-AD80-0FD75DF8C7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20\10-2020\PGA%20Allocations%2010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h.volk/Application%20Data/Microsoft/Excel/11-2010%20Core%20Billed%20The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Accounting\GA\GASCOST\Gas%20Cost%20CY2020\Gas%20Supply%20Analysis\9-2020%20Gas%20Supply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20\10-2020\WA\UG-190773%20CNGC%20Monthly%20PGA%20Rpt%20October%202020,%2011.23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OR Deferrals"/>
      <sheetName val="WA Deferrals"/>
      <sheetName val="WA Rates Old Rates"/>
      <sheetName val="OR Rates 2015"/>
      <sheetName val="OR Deferrals Incl true-up 2"/>
      <sheetName val="WA Rates - old Rates"/>
      <sheetName val="OR Rates Old Rates"/>
      <sheetName val="WA Rates - 2018"/>
      <sheetName val="WA Rates"/>
      <sheetName val="OR Rates 2018"/>
      <sheetName val="OR Rates"/>
      <sheetName val="Core Cost Incurred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>
        <row r="2">
          <cell r="B2">
            <v>44129</v>
          </cell>
        </row>
        <row r="42">
          <cell r="K42">
            <v>4332767.7499999991</v>
          </cell>
        </row>
        <row r="43">
          <cell r="K43">
            <v>3810381.7699999996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Accrual"/>
      <sheetName val="C Actual"/>
      <sheetName val="NWP JE"/>
      <sheetName val="Demand JE"/>
      <sheetName val="GTN JE"/>
      <sheetName val="Tenaska JE"/>
      <sheetName val="Invoices"/>
      <sheetName val="True-Up"/>
      <sheetName val="Im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8">
          <cell r="N68">
            <v>684.80477700028882</v>
          </cell>
        </row>
      </sheetData>
      <sheetData sheetId="7" refreshError="1"/>
      <sheetData sheetId="8">
        <row r="44">
          <cell r="R44">
            <v>884903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2530.01253"/>
      <sheetName val="DG 2530.01254"/>
      <sheetName val="DG 2530.01288"/>
      <sheetName val="DG 2530.01289"/>
      <sheetName val="RA 1860.20479"/>
      <sheetName val="RA 1823.47020430"/>
      <sheetName val="RA 1823.47020431"/>
      <sheetName val="RA 1823.47020444"/>
      <sheetName val="RA 1823.47020449"/>
      <sheetName val="RA 1862.20477"/>
      <sheetName val="RA 1823.47020478"/>
      <sheetName val="RA 1862.20480"/>
      <sheetName val="RA 1860.20481"/>
      <sheetName val="FERC Interest Rates"/>
      <sheetName val="Therm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5.5E-2</v>
          </cell>
          <cell r="C88">
            <v>31</v>
          </cell>
        </row>
        <row r="89">
          <cell r="A89">
            <v>43708</v>
          </cell>
          <cell r="B89">
            <v>5.5E-2</v>
          </cell>
          <cell r="C89">
            <v>31</v>
          </cell>
        </row>
        <row r="90">
          <cell r="A90">
            <v>43738</v>
          </cell>
          <cell r="B90">
            <v>5.5E-2</v>
          </cell>
          <cell r="C90">
            <v>30</v>
          </cell>
        </row>
        <row r="91">
          <cell r="A91">
            <v>43769</v>
          </cell>
          <cell r="B91">
            <v>5.4199999999999998E-2</v>
          </cell>
          <cell r="C91">
            <v>31</v>
          </cell>
        </row>
        <row r="92">
          <cell r="A92">
            <v>43799</v>
          </cell>
          <cell r="B92">
            <v>5.4199999999999998E-2</v>
          </cell>
          <cell r="C92">
            <v>30</v>
          </cell>
        </row>
        <row r="93">
          <cell r="A93">
            <v>43830</v>
          </cell>
          <cell r="B93">
            <v>5.4199999999999998E-2</v>
          </cell>
          <cell r="C93">
            <v>31</v>
          </cell>
        </row>
        <row r="94">
          <cell r="A94">
            <v>43861</v>
          </cell>
          <cell r="B94">
            <v>4.9599999999999998E-2</v>
          </cell>
          <cell r="C94">
            <v>31</v>
          </cell>
        </row>
        <row r="95">
          <cell r="A95">
            <v>43890</v>
          </cell>
          <cell r="B95">
            <v>4.9599999999999998E-2</v>
          </cell>
          <cell r="C95">
            <v>29</v>
          </cell>
        </row>
        <row r="96">
          <cell r="A96">
            <v>43921</v>
          </cell>
          <cell r="B96">
            <v>4.9599999999999998E-2</v>
          </cell>
          <cell r="C96">
            <v>31</v>
          </cell>
        </row>
        <row r="97">
          <cell r="A97">
            <v>43951</v>
          </cell>
          <cell r="B97">
            <v>4.7500000000000001E-2</v>
          </cell>
          <cell r="C97">
            <v>30</v>
          </cell>
        </row>
        <row r="98">
          <cell r="A98">
            <v>43982</v>
          </cell>
          <cell r="B98">
            <v>4.7500000000000001E-2</v>
          </cell>
          <cell r="C98">
            <v>31</v>
          </cell>
        </row>
        <row r="99">
          <cell r="A99">
            <v>44012</v>
          </cell>
          <cell r="B99">
            <v>4.7500000000000001E-2</v>
          </cell>
          <cell r="C99">
            <v>30</v>
          </cell>
        </row>
        <row r="100">
          <cell r="A100">
            <v>44043</v>
          </cell>
          <cell r="B100">
            <v>3.4299999999999997E-2</v>
          </cell>
          <cell r="C100">
            <v>31</v>
          </cell>
        </row>
        <row r="101">
          <cell r="A101">
            <v>44074</v>
          </cell>
          <cell r="B101">
            <v>3.4299999999999997E-2</v>
          </cell>
          <cell r="C101">
            <v>31</v>
          </cell>
        </row>
        <row r="102">
          <cell r="A102">
            <v>44104</v>
          </cell>
          <cell r="B102">
            <v>3.4299999999999997E-2</v>
          </cell>
          <cell r="C102">
            <v>30</v>
          </cell>
        </row>
        <row r="103">
          <cell r="A103">
            <v>44135</v>
          </cell>
          <cell r="B103">
            <v>3.2500000000000001E-2</v>
          </cell>
          <cell r="C103">
            <v>31</v>
          </cell>
        </row>
        <row r="104">
          <cell r="A104">
            <v>44165</v>
          </cell>
          <cell r="B104">
            <v>3.2500000000000001E-2</v>
          </cell>
          <cell r="C104">
            <v>30</v>
          </cell>
        </row>
        <row r="105">
          <cell r="A105">
            <v>44196</v>
          </cell>
          <cell r="B105">
            <v>3.2500000000000001E-2</v>
          </cell>
          <cell r="C105">
            <v>31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28B42-AD5E-48CD-B185-8E62DFFF1ED6}">
  <dimension ref="B1:AL111"/>
  <sheetViews>
    <sheetView showGridLines="0" tabSelected="1" zoomScaleNormal="100" workbookViewId="0">
      <selection activeCell="F6" sqref="F6"/>
    </sheetView>
  </sheetViews>
  <sheetFormatPr defaultRowHeight="15" x14ac:dyDescent="0.2"/>
  <cols>
    <col min="1" max="1" width="1.7109375" style="71" customWidth="1"/>
    <col min="2" max="2" width="21.7109375" style="71" customWidth="1"/>
    <col min="3" max="3" width="26.140625" style="191" customWidth="1"/>
    <col min="4" max="4" width="3.5703125" style="70" hidden="1" customWidth="1"/>
    <col min="5" max="5" width="4" style="70" bestFit="1" customWidth="1"/>
    <col min="6" max="6" width="13.7109375" style="70" customWidth="1"/>
    <col min="7" max="7" width="15" style="142" bestFit="1" customWidth="1"/>
    <col min="8" max="8" width="12.5703125" style="198" customWidth="1"/>
    <col min="9" max="9" width="15" style="198" bestFit="1" customWidth="1"/>
    <col min="10" max="10" width="14" style="198" bestFit="1" customWidth="1"/>
    <col min="11" max="12" width="16.140625" style="198" bestFit="1" customWidth="1"/>
    <col min="13" max="13" width="14.5703125" style="198" bestFit="1" customWidth="1"/>
    <col min="14" max="14" width="16.85546875" style="198" bestFit="1" customWidth="1"/>
    <col min="15" max="15" width="8.28515625" style="198" hidden="1" customWidth="1"/>
    <col min="16" max="16" width="1.7109375" style="71" customWidth="1"/>
    <col min="17" max="17" width="16.42578125" style="71" hidden="1" customWidth="1"/>
    <col min="18" max="18" width="14.7109375" style="71" hidden="1" customWidth="1"/>
    <col min="19" max="19" width="9.7109375" style="71" hidden="1" customWidth="1"/>
    <col min="20" max="20" width="13.85546875" style="71" hidden="1" customWidth="1"/>
    <col min="21" max="21" width="12.85546875" style="71" hidden="1" customWidth="1"/>
    <col min="22" max="22" width="5.5703125" style="71" customWidth="1"/>
    <col min="23" max="23" width="6.28515625" style="71" customWidth="1"/>
    <col min="24" max="24" width="5.28515625" style="72" bestFit="1" customWidth="1"/>
    <col min="25" max="25" width="14.28515625" style="52" bestFit="1" customWidth="1"/>
    <col min="26" max="29" width="9.7109375" style="71" customWidth="1"/>
    <col min="30" max="30" width="25.28515625" style="71" customWidth="1"/>
    <col min="31" max="31" width="19.28515625" style="71" bestFit="1" customWidth="1"/>
    <col min="32" max="32" width="11.42578125" style="71" bestFit="1" customWidth="1"/>
    <col min="33" max="33" width="17" style="71" bestFit="1" customWidth="1"/>
    <col min="34" max="34" width="14.7109375" style="71" customWidth="1"/>
    <col min="35" max="35" width="9.140625" style="71"/>
    <col min="36" max="36" width="17" style="71" bestFit="1" customWidth="1"/>
    <col min="37" max="37" width="13.85546875" style="71" bestFit="1" customWidth="1"/>
    <col min="38" max="38" width="31.7109375" style="71" customWidth="1"/>
    <col min="39" max="16384" width="9.140625" style="71"/>
  </cols>
  <sheetData>
    <row r="1" spans="2:38" ht="14.25" customHeight="1" x14ac:dyDescent="0.2">
      <c r="B1" s="50" t="s">
        <v>25</v>
      </c>
      <c r="C1" s="51"/>
      <c r="E1" s="182" t="s">
        <v>123</v>
      </c>
      <c r="F1" s="182"/>
      <c r="G1" s="182"/>
      <c r="H1" s="182"/>
      <c r="I1" s="182"/>
      <c r="J1" s="182"/>
      <c r="K1" s="182"/>
      <c r="L1" s="183"/>
      <c r="M1" s="183"/>
      <c r="N1" s="183"/>
      <c r="O1" s="183"/>
      <c r="P1" s="183"/>
      <c r="Q1" s="184"/>
      <c r="R1" s="184"/>
      <c r="S1" s="184"/>
      <c r="T1" s="184"/>
      <c r="U1" s="184"/>
      <c r="V1" s="184"/>
      <c r="W1" s="184"/>
      <c r="X1" s="185"/>
      <c r="Y1" s="186"/>
      <c r="Z1" s="184"/>
      <c r="AA1" s="184"/>
      <c r="AB1" s="184"/>
      <c r="AC1" s="184"/>
    </row>
    <row r="2" spans="2:38" ht="14.25" customHeight="1" x14ac:dyDescent="0.2">
      <c r="B2" s="50" t="s">
        <v>26</v>
      </c>
      <c r="C2" s="51"/>
      <c r="D2" s="184"/>
      <c r="E2" s="182"/>
      <c r="F2" s="182"/>
      <c r="G2" s="182"/>
      <c r="H2" s="182"/>
      <c r="I2" s="182"/>
      <c r="J2" s="182"/>
      <c r="K2" s="182"/>
      <c r="L2" s="187" t="s">
        <v>29</v>
      </c>
      <c r="M2" s="187"/>
      <c r="N2" s="187"/>
      <c r="O2" s="187"/>
      <c r="P2" s="187"/>
    </row>
    <row r="3" spans="2:38" ht="14.25" customHeight="1" x14ac:dyDescent="0.2">
      <c r="B3" s="53" t="s">
        <v>28</v>
      </c>
      <c r="C3" s="53"/>
      <c r="D3" s="184"/>
      <c r="E3" s="188"/>
      <c r="F3" s="189">
        <f>'Core Cost Incurred'!B2</f>
        <v>44129</v>
      </c>
      <c r="G3" s="189"/>
      <c r="H3" s="189"/>
      <c r="I3" s="189"/>
      <c r="J3" s="189"/>
      <c r="K3" s="189"/>
      <c r="L3" s="190" t="s">
        <v>27</v>
      </c>
      <c r="M3" s="190"/>
      <c r="N3" s="190"/>
      <c r="O3" s="190"/>
      <c r="P3" s="190"/>
    </row>
    <row r="4" spans="2:38" ht="14.25" customHeight="1" x14ac:dyDescent="0.2">
      <c r="B4" s="53" t="s">
        <v>30</v>
      </c>
      <c r="C4" s="53"/>
      <c r="D4" s="184"/>
      <c r="E4" s="188"/>
      <c r="F4" s="189"/>
      <c r="G4" s="189"/>
      <c r="H4" s="189"/>
      <c r="I4" s="189"/>
      <c r="J4" s="189"/>
      <c r="K4" s="189"/>
      <c r="L4" s="187" t="s">
        <v>31</v>
      </c>
      <c r="M4" s="187"/>
      <c r="N4" s="187"/>
      <c r="O4" s="187"/>
      <c r="P4" s="187"/>
    </row>
    <row r="5" spans="2:38" ht="14.25" customHeight="1" x14ac:dyDescent="0.2">
      <c r="D5" s="184"/>
      <c r="E5" s="188"/>
      <c r="F5" s="188"/>
      <c r="G5" s="188"/>
      <c r="H5" s="188"/>
      <c r="I5" s="188"/>
      <c r="J5" s="188"/>
      <c r="K5" s="188"/>
      <c r="L5" s="183"/>
      <c r="M5" s="183"/>
      <c r="N5" s="183"/>
      <c r="O5" s="183"/>
      <c r="P5" s="183"/>
      <c r="Q5" s="184"/>
      <c r="R5" s="184"/>
      <c r="S5" s="184"/>
      <c r="T5" s="184"/>
      <c r="U5" s="184"/>
      <c r="V5" s="184"/>
      <c r="W5" s="184"/>
      <c r="X5" s="185"/>
      <c r="Y5" s="186"/>
      <c r="Z5" s="184"/>
      <c r="AA5" s="184"/>
      <c r="AB5" s="184"/>
      <c r="AC5" s="184"/>
    </row>
    <row r="6" spans="2:38" x14ac:dyDescent="0.2">
      <c r="G6" s="146" t="s">
        <v>32</v>
      </c>
      <c r="H6" s="192" t="s">
        <v>3</v>
      </c>
      <c r="I6" s="192" t="s">
        <v>6</v>
      </c>
      <c r="J6" s="192" t="s">
        <v>33</v>
      </c>
      <c r="K6" s="192" t="s">
        <v>3</v>
      </c>
      <c r="L6" s="192" t="s">
        <v>6</v>
      </c>
      <c r="M6" s="192"/>
      <c r="N6" s="192" t="s">
        <v>10</v>
      </c>
      <c r="O6" s="192"/>
      <c r="Q6" s="73"/>
      <c r="R6" s="193">
        <v>200294.94</v>
      </c>
      <c r="S6" s="73"/>
      <c r="T6" s="73"/>
      <c r="U6" s="193">
        <v>140046.39000000001</v>
      </c>
      <c r="V6" s="73"/>
      <c r="W6" s="73"/>
      <c r="X6" s="74"/>
      <c r="Y6" s="54"/>
      <c r="Z6" s="73"/>
      <c r="AA6" s="73"/>
      <c r="AB6" s="73"/>
      <c r="AC6" s="73"/>
      <c r="AD6" s="75"/>
    </row>
    <row r="7" spans="2:38" x14ac:dyDescent="0.2">
      <c r="B7" s="76"/>
      <c r="F7" s="76" t="s">
        <v>34</v>
      </c>
      <c r="G7" s="146" t="s">
        <v>35</v>
      </c>
      <c r="H7" s="192" t="s">
        <v>36</v>
      </c>
      <c r="I7" s="192" t="s">
        <v>36</v>
      </c>
      <c r="J7" s="192" t="s">
        <v>9</v>
      </c>
      <c r="K7" s="192" t="s">
        <v>37</v>
      </c>
      <c r="L7" s="192" t="s">
        <v>37</v>
      </c>
      <c r="M7" s="192" t="s">
        <v>33</v>
      </c>
      <c r="N7" s="192" t="s">
        <v>33</v>
      </c>
      <c r="O7" s="192"/>
      <c r="Q7" s="193">
        <v>11214374</v>
      </c>
      <c r="R7" s="193">
        <f>2345597.06+78799.97+56688.77</f>
        <v>2481085.8000000003</v>
      </c>
      <c r="S7" s="73"/>
      <c r="T7" s="193">
        <v>2845776</v>
      </c>
      <c r="U7" s="193">
        <v>459339.89</v>
      </c>
      <c r="V7" s="73"/>
      <c r="W7" s="73"/>
      <c r="X7" s="74"/>
      <c r="Y7" s="54"/>
      <c r="Z7" s="73"/>
      <c r="AA7" s="73"/>
      <c r="AB7" s="73"/>
      <c r="AC7" s="73"/>
      <c r="AD7" s="77"/>
    </row>
    <row r="8" spans="2:38" s="55" customFormat="1" x14ac:dyDescent="0.2">
      <c r="B8" s="78"/>
      <c r="C8" s="194"/>
      <c r="D8" s="78" t="s">
        <v>38</v>
      </c>
      <c r="E8" s="78" t="s">
        <v>39</v>
      </c>
      <c r="F8" s="78" t="s">
        <v>39</v>
      </c>
      <c r="G8" s="195" t="s">
        <v>40</v>
      </c>
      <c r="H8" s="196" t="s">
        <v>124</v>
      </c>
      <c r="I8" s="196" t="str">
        <f>+H8</f>
        <v>Nov 1 2019</v>
      </c>
      <c r="J8" s="196" t="str">
        <f>I8</f>
        <v>Nov 1 2019</v>
      </c>
      <c r="K8" s="197" t="s">
        <v>41</v>
      </c>
      <c r="L8" s="197" t="s">
        <v>41</v>
      </c>
      <c r="M8" s="197" t="s">
        <v>9</v>
      </c>
      <c r="N8" s="197" t="s">
        <v>41</v>
      </c>
      <c r="O8" s="192"/>
      <c r="P8" s="71"/>
      <c r="V8" s="73"/>
      <c r="X8" s="56"/>
      <c r="Y8" s="57">
        <v>1501</v>
      </c>
      <c r="Z8" s="73"/>
      <c r="AA8" s="73"/>
      <c r="AB8" s="73"/>
      <c r="AC8" s="73"/>
      <c r="AD8" s="79"/>
      <c r="AE8" s="71" t="s">
        <v>42</v>
      </c>
      <c r="AF8" s="71" t="s">
        <v>43</v>
      </c>
      <c r="AG8" s="71" t="s">
        <v>44</v>
      </c>
      <c r="AH8" s="75" t="s">
        <v>0</v>
      </c>
      <c r="AI8" s="71" t="s">
        <v>45</v>
      </c>
      <c r="AJ8" s="71" t="s">
        <v>46</v>
      </c>
      <c r="AK8" s="71" t="s">
        <v>47</v>
      </c>
      <c r="AL8" s="71" t="s">
        <v>48</v>
      </c>
    </row>
    <row r="9" spans="2:38" hidden="1" x14ac:dyDescent="0.2">
      <c r="B9" s="80" t="s">
        <v>49</v>
      </c>
      <c r="C9" s="191" t="s">
        <v>52</v>
      </c>
      <c r="D9" s="76">
        <v>1</v>
      </c>
      <c r="E9" s="70" t="s">
        <v>53</v>
      </c>
      <c r="F9" s="70" t="s">
        <v>54</v>
      </c>
      <c r="G9" s="58">
        <v>0</v>
      </c>
      <c r="K9" s="147">
        <f>ROUND(H9*G9,2)</f>
        <v>0</v>
      </c>
      <c r="L9" s="147">
        <f>ROUND(G9*I9,2)</f>
        <v>0</v>
      </c>
      <c r="M9" s="199">
        <f>ROUND(G9*J9,2)</f>
        <v>0</v>
      </c>
      <c r="N9" s="147">
        <f>SUM(K9:M9)</f>
        <v>0</v>
      </c>
      <c r="O9" s="147"/>
      <c r="Q9" s="62">
        <f>+-1529533-194708</f>
        <v>-1724241</v>
      </c>
      <c r="R9" s="62">
        <f>+-304369.99-70364.48</f>
        <v>-374734.47</v>
      </c>
      <c r="S9" s="81"/>
      <c r="T9" s="81">
        <f>+-505447-64182</f>
        <v>-569629</v>
      </c>
      <c r="U9" s="81">
        <f>+-100581.61-23194.4</f>
        <v>-123776.01000000001</v>
      </c>
      <c r="V9" s="81"/>
      <c r="Y9" s="58"/>
      <c r="Z9" s="81"/>
      <c r="AA9" s="81"/>
      <c r="AB9" s="81"/>
      <c r="AC9" s="81"/>
      <c r="AD9" s="73"/>
      <c r="AE9" s="71" t="s">
        <v>51</v>
      </c>
      <c r="AH9" s="73">
        <v>0</v>
      </c>
      <c r="AL9" s="71" t="s">
        <v>55</v>
      </c>
    </row>
    <row r="10" spans="2:38" x14ac:dyDescent="0.2">
      <c r="B10" s="80" t="s">
        <v>49</v>
      </c>
      <c r="C10" s="191" t="s">
        <v>56</v>
      </c>
      <c r="D10" s="76">
        <v>1</v>
      </c>
      <c r="E10" s="70" t="s">
        <v>57</v>
      </c>
      <c r="F10" s="70" t="s">
        <v>58</v>
      </c>
      <c r="G10" s="58">
        <f>+Y10</f>
        <v>4232461</v>
      </c>
      <c r="H10" s="198">
        <v>0.24510999999999999</v>
      </c>
      <c r="I10" s="198">
        <v>0.17580000000000001</v>
      </c>
      <c r="J10" s="198">
        <f>0.05671+0.07276</f>
        <v>0.12947</v>
      </c>
      <c r="K10" s="147">
        <f>ROUND(H10*G10,2)</f>
        <v>1037418.52</v>
      </c>
      <c r="L10" s="147">
        <f>ROUND(G10*I10,2)</f>
        <v>744066.64</v>
      </c>
      <c r="M10" s="147">
        <f>ROUND(G10*J10,2)</f>
        <v>547976.73</v>
      </c>
      <c r="N10" s="147">
        <f>SUM(K10:M10)</f>
        <v>2329461.89</v>
      </c>
      <c r="O10" s="147"/>
      <c r="Q10" s="81"/>
      <c r="R10" s="81"/>
      <c r="S10" s="81"/>
      <c r="T10" s="81"/>
      <c r="U10" s="81"/>
      <c r="V10" s="81"/>
      <c r="W10" s="59">
        <v>4800</v>
      </c>
      <c r="X10" s="60">
        <v>503</v>
      </c>
      <c r="Y10" s="200">
        <v>4232461</v>
      </c>
      <c r="Z10" s="81"/>
      <c r="AA10" s="81"/>
      <c r="AB10" s="81"/>
      <c r="AC10" s="81"/>
      <c r="AD10" s="73"/>
      <c r="AE10" s="71" t="s">
        <v>51</v>
      </c>
      <c r="AH10" s="73">
        <v>0</v>
      </c>
      <c r="AL10" s="71" t="s">
        <v>59</v>
      </c>
    </row>
    <row r="11" spans="2:38" x14ac:dyDescent="0.2">
      <c r="B11" s="80" t="s">
        <v>60</v>
      </c>
      <c r="C11" s="191" t="s">
        <v>61</v>
      </c>
      <c r="D11" s="76">
        <v>1</v>
      </c>
      <c r="E11" s="70" t="s">
        <v>57</v>
      </c>
      <c r="F11" s="70" t="s">
        <v>58</v>
      </c>
      <c r="G11" s="58">
        <v>-1851788</v>
      </c>
      <c r="H11" s="198">
        <f>$H$10</f>
        <v>0.24510999999999999</v>
      </c>
      <c r="I11" s="198">
        <f>$I$10</f>
        <v>0.17580000000000001</v>
      </c>
      <c r="J11" s="198">
        <f>+$J$10</f>
        <v>0.12947</v>
      </c>
      <c r="K11" s="147">
        <f>ROUND(H11*G11,2)</f>
        <v>-453891.76</v>
      </c>
      <c r="L11" s="147">
        <f>ROUND(G11*I11,2)</f>
        <v>-325544.33</v>
      </c>
      <c r="M11" s="147"/>
      <c r="N11" s="147">
        <f>SUM(K11:M11)</f>
        <v>-779436.09000000008</v>
      </c>
      <c r="O11" s="147"/>
      <c r="Q11" s="81"/>
      <c r="R11" s="81"/>
      <c r="S11" s="81"/>
      <c r="T11" s="81"/>
      <c r="U11" s="81"/>
      <c r="V11" s="81"/>
      <c r="W11" s="59">
        <v>4809</v>
      </c>
      <c r="X11" s="60">
        <v>505</v>
      </c>
      <c r="Y11" s="58">
        <v>1000739</v>
      </c>
      <c r="Z11" s="81"/>
      <c r="AA11" s="81"/>
      <c r="AB11" s="81"/>
      <c r="AC11" s="81"/>
      <c r="AD11" s="73"/>
      <c r="AE11" s="71" t="s">
        <v>51</v>
      </c>
      <c r="AH11" s="73">
        <v>0</v>
      </c>
      <c r="AL11" s="71" t="s">
        <v>59</v>
      </c>
    </row>
    <row r="12" spans="2:38" x14ac:dyDescent="0.2">
      <c r="B12" s="80" t="s">
        <v>60</v>
      </c>
      <c r="C12" s="191" t="s">
        <v>62</v>
      </c>
      <c r="D12" s="76">
        <v>1</v>
      </c>
      <c r="E12" s="70" t="s">
        <v>57</v>
      </c>
      <c r="F12" s="70" t="s">
        <v>58</v>
      </c>
      <c r="G12" s="58">
        <f>+Y21</f>
        <v>5866478</v>
      </c>
      <c r="H12" s="198">
        <f>$H$10</f>
        <v>0.24510999999999999</v>
      </c>
      <c r="I12" s="198">
        <f>$I$10</f>
        <v>0.17580000000000001</v>
      </c>
      <c r="J12" s="198">
        <f>+$J$10</f>
        <v>0.12947</v>
      </c>
      <c r="K12" s="147">
        <f>ROUND(H12*G12,2)</f>
        <v>1437932.42</v>
      </c>
      <c r="L12" s="147">
        <f>ROUND(G12*I12,2)</f>
        <v>1031326.83</v>
      </c>
      <c r="M12" s="147"/>
      <c r="N12" s="147">
        <f>SUM(K12:M12)</f>
        <v>2469259.25</v>
      </c>
      <c r="O12" s="147"/>
      <c r="Q12" s="81"/>
      <c r="R12" s="81"/>
      <c r="S12" s="81"/>
      <c r="T12" s="81"/>
      <c r="U12" s="81"/>
      <c r="V12" s="81"/>
      <c r="W12" s="59">
        <v>4809</v>
      </c>
      <c r="X12" s="60">
        <v>511</v>
      </c>
      <c r="Y12" s="58">
        <v>374010</v>
      </c>
      <c r="Z12" s="81"/>
      <c r="AA12" s="81"/>
      <c r="AB12" s="81"/>
      <c r="AC12" s="81"/>
      <c r="AD12" s="73"/>
      <c r="AE12" s="71" t="s">
        <v>51</v>
      </c>
      <c r="AH12" s="73">
        <v>0</v>
      </c>
      <c r="AL12" s="71" t="s">
        <v>59</v>
      </c>
    </row>
    <row r="13" spans="2:38" ht="15" customHeight="1" x14ac:dyDescent="0.2">
      <c r="B13" s="80"/>
      <c r="D13" s="76"/>
      <c r="G13" s="58"/>
      <c r="K13" s="147"/>
      <c r="L13" s="147"/>
      <c r="M13" s="147"/>
      <c r="N13" s="147"/>
      <c r="O13" s="147"/>
      <c r="Q13" s="81"/>
      <c r="R13" s="81"/>
      <c r="S13" s="81"/>
      <c r="T13" s="81"/>
      <c r="U13" s="81"/>
      <c r="V13" s="81"/>
      <c r="W13" s="59">
        <v>4810</v>
      </c>
      <c r="X13" s="60" t="s">
        <v>125</v>
      </c>
      <c r="Y13" s="58">
        <v>643</v>
      </c>
      <c r="Z13" s="81"/>
      <c r="AA13" s="81"/>
      <c r="AB13" s="81"/>
      <c r="AC13" s="81"/>
      <c r="AD13" s="73"/>
      <c r="AH13" s="73"/>
    </row>
    <row r="14" spans="2:38" x14ac:dyDescent="0.2">
      <c r="B14" s="80" t="s">
        <v>63</v>
      </c>
      <c r="C14" s="191" t="s">
        <v>64</v>
      </c>
      <c r="D14" s="76">
        <v>2</v>
      </c>
      <c r="E14" s="70" t="s">
        <v>65</v>
      </c>
      <c r="F14" s="70" t="s">
        <v>66</v>
      </c>
      <c r="G14" s="58">
        <f>+Y15</f>
        <v>3183599</v>
      </c>
      <c r="H14" s="198">
        <f t="shared" ref="H14:H16" si="0">$H$10</f>
        <v>0.24510999999999999</v>
      </c>
      <c r="I14" s="198">
        <v>0.17316000000000001</v>
      </c>
      <c r="J14" s="198">
        <f t="shared" ref="J14:J16" si="1">+$J$10</f>
        <v>0.12947</v>
      </c>
      <c r="K14" s="147">
        <f>ROUND(H14*G14,2)</f>
        <v>780331.95</v>
      </c>
      <c r="L14" s="147">
        <f>ROUND(G14*I14,2)</f>
        <v>551272</v>
      </c>
      <c r="M14" s="147">
        <f>ROUND(G14*J14,2)</f>
        <v>412180.56</v>
      </c>
      <c r="N14" s="147">
        <f>SUM(K14:M14)</f>
        <v>1743784.51</v>
      </c>
      <c r="O14" s="147">
        <v>-0.02</v>
      </c>
      <c r="Q14" s="81" t="s">
        <v>50</v>
      </c>
      <c r="R14" s="81"/>
      <c r="S14" s="81"/>
      <c r="T14" s="81"/>
      <c r="U14" s="81"/>
      <c r="V14" s="81"/>
      <c r="W14" s="59">
        <v>4810</v>
      </c>
      <c r="X14" s="60" t="s">
        <v>126</v>
      </c>
      <c r="Y14" s="58">
        <v>613508</v>
      </c>
      <c r="Z14" s="81"/>
      <c r="AA14" s="81"/>
      <c r="AB14" s="81"/>
      <c r="AC14" s="81"/>
      <c r="AD14" s="73"/>
      <c r="AE14" s="71" t="s">
        <v>51</v>
      </c>
      <c r="AH14" s="73">
        <v>0</v>
      </c>
      <c r="AL14" s="71" t="s">
        <v>67</v>
      </c>
    </row>
    <row r="15" spans="2:38" x14ac:dyDescent="0.2">
      <c r="B15" s="80" t="s">
        <v>68</v>
      </c>
      <c r="C15" s="191" t="s">
        <v>69</v>
      </c>
      <c r="D15" s="76">
        <v>2</v>
      </c>
      <c r="E15" s="70" t="s">
        <v>65</v>
      </c>
      <c r="F15" s="70" t="s">
        <v>66</v>
      </c>
      <c r="G15" s="58">
        <v>-2130040</v>
      </c>
      <c r="H15" s="198">
        <f t="shared" si="0"/>
        <v>0.24510999999999999</v>
      </c>
      <c r="I15" s="198">
        <f>+$I$14</f>
        <v>0.17316000000000001</v>
      </c>
      <c r="J15" s="198">
        <f t="shared" si="1"/>
        <v>0.12947</v>
      </c>
      <c r="K15" s="147">
        <f>ROUND(H15*G15,2)</f>
        <v>-522094.1</v>
      </c>
      <c r="L15" s="147">
        <f>ROUND(G15*I15,2)</f>
        <v>-368837.73</v>
      </c>
      <c r="M15" s="147"/>
      <c r="N15" s="147">
        <f>SUM(K15:M15)</f>
        <v>-890931.83</v>
      </c>
      <c r="O15" s="147"/>
      <c r="Q15" s="81" t="s">
        <v>70</v>
      </c>
      <c r="R15" s="81">
        <f>101807.82+3135667.8</f>
        <v>3237475.6199999996</v>
      </c>
      <c r="S15" s="81"/>
      <c r="T15" s="81"/>
      <c r="U15" s="81">
        <f>242253.38+412186.68</f>
        <v>654440.06000000006</v>
      </c>
      <c r="V15" s="81"/>
      <c r="W15" s="59">
        <v>4810</v>
      </c>
      <c r="X15" s="60">
        <v>504</v>
      </c>
      <c r="Y15" s="58">
        <v>3183599</v>
      </c>
      <c r="Z15" s="81"/>
      <c r="AA15" s="81"/>
      <c r="AB15" s="81"/>
      <c r="AC15" s="81"/>
      <c r="AD15" s="73"/>
      <c r="AE15" s="71" t="s">
        <v>51</v>
      </c>
      <c r="AH15" s="73">
        <v>0</v>
      </c>
      <c r="AL15" s="71" t="s">
        <v>67</v>
      </c>
    </row>
    <row r="16" spans="2:38" x14ac:dyDescent="0.2">
      <c r="B16" s="80" t="s">
        <v>68</v>
      </c>
      <c r="C16" s="191" t="s">
        <v>71</v>
      </c>
      <c r="D16" s="76">
        <v>2</v>
      </c>
      <c r="E16" s="70" t="s">
        <v>65</v>
      </c>
      <c r="F16" s="70" t="s">
        <v>66</v>
      </c>
      <c r="G16" s="58">
        <f>+Y22</f>
        <v>5961158</v>
      </c>
      <c r="H16" s="198">
        <f t="shared" si="0"/>
        <v>0.24510999999999999</v>
      </c>
      <c r="I16" s="198">
        <f>+$I$14</f>
        <v>0.17316000000000001</v>
      </c>
      <c r="J16" s="198">
        <f t="shared" si="1"/>
        <v>0.12947</v>
      </c>
      <c r="K16" s="147">
        <f>ROUND(H16*G16,2)</f>
        <v>1461139.44</v>
      </c>
      <c r="L16" s="147">
        <f>ROUND(G16*I16,2)</f>
        <v>1032234.12</v>
      </c>
      <c r="M16" s="147"/>
      <c r="N16" s="147">
        <f>SUM(K16:M16)</f>
        <v>2493373.56</v>
      </c>
      <c r="O16" s="147"/>
      <c r="Q16" s="81" t="s">
        <v>70</v>
      </c>
      <c r="R16" s="81">
        <v>55387.57</v>
      </c>
      <c r="S16" s="81"/>
      <c r="T16" s="81"/>
      <c r="U16" s="81">
        <v>7182.43</v>
      </c>
      <c r="V16" s="81"/>
      <c r="W16" s="59">
        <v>4810</v>
      </c>
      <c r="X16" s="60">
        <v>511</v>
      </c>
      <c r="Y16" s="58">
        <v>472509</v>
      </c>
      <c r="Z16" s="81"/>
      <c r="AA16" s="81"/>
      <c r="AB16" s="81"/>
      <c r="AC16" s="81"/>
      <c r="AD16" s="73"/>
      <c r="AE16" s="71" t="s">
        <v>51</v>
      </c>
      <c r="AH16" s="73">
        <v>0</v>
      </c>
      <c r="AL16" s="71" t="s">
        <v>67</v>
      </c>
    </row>
    <row r="17" spans="2:38" ht="15" customHeight="1" x14ac:dyDescent="0.2">
      <c r="B17" s="80"/>
      <c r="D17" s="76"/>
      <c r="G17" s="58"/>
      <c r="K17" s="147"/>
      <c r="L17" s="147"/>
      <c r="M17" s="147"/>
      <c r="N17" s="147"/>
      <c r="O17" s="147"/>
      <c r="Q17" s="81"/>
      <c r="R17" s="81"/>
      <c r="S17" s="81"/>
      <c r="T17" s="81"/>
      <c r="U17" s="81"/>
      <c r="V17" s="81"/>
      <c r="W17" s="59">
        <v>4811</v>
      </c>
      <c r="X17" s="60" t="s">
        <v>127</v>
      </c>
      <c r="Y17" s="58">
        <v>0</v>
      </c>
      <c r="Z17" s="81"/>
      <c r="AA17" s="81"/>
      <c r="AB17" s="81"/>
      <c r="AC17" s="81"/>
      <c r="AD17" s="73"/>
      <c r="AH17" s="73"/>
    </row>
    <row r="18" spans="2:38" x14ac:dyDescent="0.2">
      <c r="B18" s="80" t="s">
        <v>63</v>
      </c>
      <c r="C18" s="191" t="s">
        <v>72</v>
      </c>
      <c r="D18" s="76">
        <v>2</v>
      </c>
      <c r="E18" s="70" t="s">
        <v>73</v>
      </c>
      <c r="F18" s="70" t="s">
        <v>74</v>
      </c>
      <c r="G18" s="58">
        <f>+Y16</f>
        <v>472509</v>
      </c>
      <c r="H18" s="198">
        <f t="shared" ref="H18:H24" si="2">$H$10</f>
        <v>0.24510999999999999</v>
      </c>
      <c r="I18" s="198">
        <v>0.16012999999999999</v>
      </c>
      <c r="J18" s="198">
        <f t="shared" ref="J18:J24" si="3">+$J$10</f>
        <v>0.12947</v>
      </c>
      <c r="K18" s="147">
        <f t="shared" ref="K18:K24" si="4">ROUND(H18*G18,2)</f>
        <v>115816.68</v>
      </c>
      <c r="L18" s="147">
        <f t="shared" ref="L18:L24" si="5">ROUND(G18*I18,2)</f>
        <v>75662.87</v>
      </c>
      <c r="M18" s="147">
        <f t="shared" ref="M18:M24" si="6">ROUND(G18*J18,2)</f>
        <v>61175.74</v>
      </c>
      <c r="N18" s="147">
        <f t="shared" ref="N18:N24" si="7">SUM(K18:M18)</f>
        <v>252655.28999999998</v>
      </c>
      <c r="O18" s="147">
        <v>2.0699999999999998</v>
      </c>
      <c r="Q18" s="81" t="s">
        <v>50</v>
      </c>
      <c r="R18" s="81">
        <v>625208.07999999996</v>
      </c>
      <c r="S18" s="81"/>
      <c r="T18" s="81"/>
      <c r="U18" s="81">
        <f>44136.69+5300</f>
        <v>49436.69</v>
      </c>
      <c r="V18" s="81"/>
      <c r="W18" s="59">
        <v>4813</v>
      </c>
      <c r="X18" s="60">
        <v>570</v>
      </c>
      <c r="Y18" s="58">
        <v>94559</v>
      </c>
      <c r="Z18" s="81"/>
      <c r="AA18" s="81"/>
      <c r="AB18" s="81"/>
      <c r="AC18" s="81"/>
      <c r="AD18" s="73"/>
      <c r="AE18" s="71" t="s">
        <v>51</v>
      </c>
      <c r="AH18" s="73">
        <v>0</v>
      </c>
      <c r="AL18" s="71" t="s">
        <v>75</v>
      </c>
    </row>
    <row r="19" spans="2:38" x14ac:dyDescent="0.2">
      <c r="B19" s="80" t="s">
        <v>63</v>
      </c>
      <c r="C19" s="191" t="s">
        <v>76</v>
      </c>
      <c r="D19" s="76">
        <v>2</v>
      </c>
      <c r="E19" s="70" t="s">
        <v>77</v>
      </c>
      <c r="F19" s="70" t="s">
        <v>78</v>
      </c>
      <c r="G19" s="58"/>
      <c r="H19" s="198">
        <f t="shared" si="2"/>
        <v>0.24510999999999999</v>
      </c>
      <c r="I19" s="198">
        <f t="shared" ref="I19:I20" si="8">+$I$14</f>
        <v>0.17316000000000001</v>
      </c>
      <c r="J19" s="198">
        <f t="shared" si="3"/>
        <v>0.12947</v>
      </c>
      <c r="K19" s="147">
        <f t="shared" si="4"/>
        <v>0</v>
      </c>
      <c r="L19" s="147">
        <f t="shared" si="5"/>
        <v>0</v>
      </c>
      <c r="M19" s="147">
        <f t="shared" si="6"/>
        <v>0</v>
      </c>
      <c r="N19" s="147">
        <f>SUM(K19:M19)</f>
        <v>0</v>
      </c>
      <c r="O19" s="147">
        <v>0.01</v>
      </c>
      <c r="Q19" s="81" t="s">
        <v>50</v>
      </c>
      <c r="R19" s="81">
        <f>+-128.04-565547.01</f>
        <v>-565675.05000000005</v>
      </c>
      <c r="S19" s="81"/>
      <c r="T19" s="81"/>
      <c r="U19" s="81">
        <f>+-193.7-79036.58</f>
        <v>-79230.28</v>
      </c>
      <c r="V19" s="81"/>
      <c r="W19" s="59"/>
      <c r="X19" s="60"/>
      <c r="Y19" s="61"/>
      <c r="Z19" s="81"/>
      <c r="AA19" s="81"/>
      <c r="AB19" s="81"/>
      <c r="AC19" s="81"/>
      <c r="AD19" s="142"/>
      <c r="AE19" s="71" t="s">
        <v>51</v>
      </c>
      <c r="AH19" s="73">
        <v>0</v>
      </c>
      <c r="AL19" s="71" t="s">
        <v>79</v>
      </c>
    </row>
    <row r="20" spans="2:38" x14ac:dyDescent="0.2">
      <c r="B20" s="80" t="s">
        <v>63</v>
      </c>
      <c r="C20" s="191" t="s">
        <v>80</v>
      </c>
      <c r="D20" s="76">
        <v>2</v>
      </c>
      <c r="E20" s="70" t="s">
        <v>53</v>
      </c>
      <c r="F20" s="70" t="s">
        <v>54</v>
      </c>
      <c r="G20" s="58">
        <v>0</v>
      </c>
      <c r="H20" s="198">
        <f t="shared" si="2"/>
        <v>0.24510999999999999</v>
      </c>
      <c r="I20" s="198">
        <f t="shared" si="8"/>
        <v>0.17316000000000001</v>
      </c>
      <c r="J20" s="198">
        <f t="shared" si="3"/>
        <v>0.12947</v>
      </c>
      <c r="K20" s="147">
        <f t="shared" si="4"/>
        <v>0</v>
      </c>
      <c r="L20" s="147">
        <f t="shared" si="5"/>
        <v>0</v>
      </c>
      <c r="M20" s="147">
        <f t="shared" si="6"/>
        <v>0</v>
      </c>
      <c r="N20" s="147">
        <f t="shared" si="7"/>
        <v>0</v>
      </c>
      <c r="O20" s="147"/>
      <c r="Q20" s="81" t="s">
        <v>50</v>
      </c>
      <c r="R20" s="81"/>
      <c r="S20" s="81"/>
      <c r="T20" s="81"/>
      <c r="U20" s="81"/>
      <c r="V20" s="81"/>
      <c r="W20" s="59"/>
      <c r="X20" s="60"/>
      <c r="Y20" s="57" t="s">
        <v>128</v>
      </c>
      <c r="Z20" s="81"/>
      <c r="AA20" s="81"/>
      <c r="AB20" s="81"/>
      <c r="AC20" s="81"/>
      <c r="AD20" s="142"/>
      <c r="AE20" s="71" t="s">
        <v>51</v>
      </c>
      <c r="AH20" s="73">
        <v>0</v>
      </c>
      <c r="AL20" s="71" t="s">
        <v>81</v>
      </c>
    </row>
    <row r="21" spans="2:38" x14ac:dyDescent="0.2">
      <c r="B21" s="80" t="s">
        <v>63</v>
      </c>
      <c r="C21" s="191" t="s">
        <v>72</v>
      </c>
      <c r="D21" s="76">
        <v>2</v>
      </c>
      <c r="E21" s="70" t="s">
        <v>73</v>
      </c>
      <c r="F21" s="70" t="s">
        <v>83</v>
      </c>
      <c r="G21" s="58">
        <f>+Y13</f>
        <v>643</v>
      </c>
      <c r="H21" s="198">
        <f t="shared" si="2"/>
        <v>0.24510999999999999</v>
      </c>
      <c r="I21" s="198">
        <f>+$I$18</f>
        <v>0.16012999999999999</v>
      </c>
      <c r="J21" s="198">
        <f t="shared" si="3"/>
        <v>0.12947</v>
      </c>
      <c r="K21" s="147">
        <f t="shared" si="4"/>
        <v>157.61000000000001</v>
      </c>
      <c r="L21" s="147">
        <f t="shared" si="5"/>
        <v>102.96</v>
      </c>
      <c r="M21" s="147">
        <f t="shared" si="6"/>
        <v>83.25</v>
      </c>
      <c r="N21" s="147">
        <f t="shared" si="7"/>
        <v>343.82</v>
      </c>
      <c r="O21" s="147"/>
      <c r="Q21" s="81" t="s">
        <v>50</v>
      </c>
      <c r="R21" s="81"/>
      <c r="S21" s="81"/>
      <c r="T21" s="81"/>
      <c r="U21" s="81"/>
      <c r="V21" s="81"/>
      <c r="W21" s="59"/>
      <c r="X21" s="60"/>
      <c r="Y21" s="58">
        <v>5866478</v>
      </c>
      <c r="Z21" s="81"/>
      <c r="AA21" s="81"/>
      <c r="AB21" s="81"/>
      <c r="AC21" s="81"/>
      <c r="AD21" s="73"/>
      <c r="AE21" s="71" t="s">
        <v>51</v>
      </c>
      <c r="AH21" s="73">
        <v>0</v>
      </c>
      <c r="AL21" s="71" t="s">
        <v>75</v>
      </c>
    </row>
    <row r="22" spans="2:38" x14ac:dyDescent="0.2">
      <c r="B22" s="80" t="s">
        <v>63</v>
      </c>
      <c r="C22" s="191" t="s">
        <v>72</v>
      </c>
      <c r="D22" s="76">
        <v>2</v>
      </c>
      <c r="E22" s="70" t="s">
        <v>73</v>
      </c>
      <c r="F22" s="70" t="s">
        <v>122</v>
      </c>
      <c r="G22" s="58">
        <f>+Y14</f>
        <v>613508</v>
      </c>
      <c r="H22" s="198">
        <f t="shared" si="2"/>
        <v>0.24510999999999999</v>
      </c>
      <c r="I22" s="198">
        <f>+I21</f>
        <v>0.16012999999999999</v>
      </c>
      <c r="J22" s="198">
        <f t="shared" si="3"/>
        <v>0.12947</v>
      </c>
      <c r="K22" s="147">
        <f t="shared" si="4"/>
        <v>150376.95000000001</v>
      </c>
      <c r="L22" s="147">
        <f t="shared" si="5"/>
        <v>98241.04</v>
      </c>
      <c r="M22" s="147">
        <f t="shared" si="6"/>
        <v>79430.880000000005</v>
      </c>
      <c r="N22" s="147">
        <f t="shared" si="7"/>
        <v>328048.87</v>
      </c>
      <c r="O22" s="147"/>
      <c r="Q22" s="81"/>
      <c r="R22" s="81"/>
      <c r="S22" s="81"/>
      <c r="T22" s="81"/>
      <c r="U22" s="81"/>
      <c r="V22" s="81"/>
      <c r="W22" s="59"/>
      <c r="X22" s="60"/>
      <c r="Y22" s="58">
        <v>5961158</v>
      </c>
      <c r="Z22" s="81"/>
      <c r="AA22" s="81"/>
      <c r="AB22" s="81"/>
      <c r="AC22" s="81"/>
      <c r="AD22" s="73"/>
      <c r="AH22" s="73"/>
    </row>
    <row r="23" spans="2:38" x14ac:dyDescent="0.2">
      <c r="B23" s="80" t="s">
        <v>68</v>
      </c>
      <c r="C23" s="191" t="s">
        <v>82</v>
      </c>
      <c r="D23" s="76">
        <v>2</v>
      </c>
      <c r="E23" s="70" t="s">
        <v>73</v>
      </c>
      <c r="F23" s="70" t="s">
        <v>83</v>
      </c>
      <c r="G23" s="58">
        <v>-614151</v>
      </c>
      <c r="H23" s="198">
        <f t="shared" si="2"/>
        <v>0.24510999999999999</v>
      </c>
      <c r="I23" s="198">
        <v>0.16012999999999999</v>
      </c>
      <c r="J23" s="198">
        <f t="shared" si="3"/>
        <v>0.12947</v>
      </c>
      <c r="K23" s="147">
        <f t="shared" si="4"/>
        <v>-150534.54999999999</v>
      </c>
      <c r="L23" s="147">
        <f t="shared" si="5"/>
        <v>-98344</v>
      </c>
      <c r="M23" s="147">
        <f t="shared" si="6"/>
        <v>-79514.13</v>
      </c>
      <c r="N23" s="147">
        <f t="shared" si="7"/>
        <v>-328392.68</v>
      </c>
      <c r="O23" s="147"/>
      <c r="Q23" s="81"/>
      <c r="R23" s="81">
        <v>57899.56</v>
      </c>
      <c r="S23" s="81"/>
      <c r="T23" s="81"/>
      <c r="U23" s="81">
        <v>8091.98</v>
      </c>
      <c r="V23" s="81"/>
      <c r="W23" s="59"/>
      <c r="X23" s="60"/>
      <c r="Z23" s="81"/>
      <c r="AA23" s="81"/>
      <c r="AB23" s="81"/>
      <c r="AC23" s="81"/>
      <c r="AD23" s="142"/>
      <c r="AE23" s="71" t="s">
        <v>51</v>
      </c>
      <c r="AH23" s="73">
        <v>0</v>
      </c>
      <c r="AL23" s="71" t="s">
        <v>75</v>
      </c>
    </row>
    <row r="24" spans="2:38" x14ac:dyDescent="0.2">
      <c r="B24" s="80" t="s">
        <v>68</v>
      </c>
      <c r="C24" s="191" t="s">
        <v>129</v>
      </c>
      <c r="D24" s="76">
        <v>2</v>
      </c>
      <c r="E24" s="70" t="s">
        <v>73</v>
      </c>
      <c r="F24" s="70" t="s">
        <v>83</v>
      </c>
      <c r="G24" s="58">
        <f>+Y25</f>
        <v>37233</v>
      </c>
      <c r="H24" s="198">
        <f t="shared" si="2"/>
        <v>0.24510999999999999</v>
      </c>
      <c r="I24" s="198">
        <f>+I22</f>
        <v>0.16012999999999999</v>
      </c>
      <c r="J24" s="198">
        <f t="shared" si="3"/>
        <v>0.12947</v>
      </c>
      <c r="K24" s="147">
        <f t="shared" si="4"/>
        <v>9126.18</v>
      </c>
      <c r="L24" s="147">
        <f t="shared" si="5"/>
        <v>5962.12</v>
      </c>
      <c r="M24" s="147">
        <f t="shared" si="6"/>
        <v>4820.5600000000004</v>
      </c>
      <c r="N24" s="147">
        <f t="shared" si="7"/>
        <v>19908.86</v>
      </c>
      <c r="O24" s="147"/>
      <c r="Q24" s="81"/>
      <c r="R24" s="81">
        <v>61282.61</v>
      </c>
      <c r="S24" s="81"/>
      <c r="T24" s="81"/>
      <c r="U24" s="81">
        <v>6665.73</v>
      </c>
      <c r="V24" s="81"/>
      <c r="W24" s="62"/>
      <c r="X24" s="63"/>
      <c r="Y24" s="57" t="s">
        <v>130</v>
      </c>
      <c r="Z24" s="81"/>
      <c r="AA24" s="81"/>
      <c r="AB24" s="81"/>
      <c r="AC24" s="81"/>
      <c r="AD24" s="142"/>
      <c r="AE24" s="71" t="s">
        <v>51</v>
      </c>
      <c r="AH24" s="73">
        <v>0</v>
      </c>
      <c r="AL24" s="71" t="s">
        <v>75</v>
      </c>
    </row>
    <row r="25" spans="2:38" x14ac:dyDescent="0.2">
      <c r="B25" s="80"/>
      <c r="D25" s="76"/>
      <c r="G25" s="58"/>
      <c r="K25" s="147"/>
      <c r="L25" s="147"/>
      <c r="M25" s="147"/>
      <c r="N25" s="147"/>
      <c r="O25" s="147"/>
      <c r="Q25" s="81"/>
      <c r="R25" s="81"/>
      <c r="S25" s="81"/>
      <c r="T25" s="81"/>
      <c r="U25" s="81"/>
      <c r="V25" s="81"/>
      <c r="W25" s="64" t="s">
        <v>131</v>
      </c>
      <c r="X25" s="64"/>
      <c r="Y25" s="58">
        <v>37233</v>
      </c>
      <c r="Z25" s="81"/>
      <c r="AA25" s="81"/>
      <c r="AB25" s="81"/>
      <c r="AC25" s="81"/>
      <c r="AD25" s="142"/>
      <c r="AH25" s="73"/>
    </row>
    <row r="26" spans="2:38" x14ac:dyDescent="0.2">
      <c r="B26" s="80" t="s">
        <v>85</v>
      </c>
      <c r="C26" s="191" t="s">
        <v>86</v>
      </c>
      <c r="D26" s="76">
        <v>3</v>
      </c>
      <c r="E26" s="70" t="s">
        <v>87</v>
      </c>
      <c r="F26" s="70" t="s">
        <v>88</v>
      </c>
      <c r="G26" s="58">
        <f>+Y11</f>
        <v>1000739</v>
      </c>
      <c r="H26" s="198">
        <f t="shared" ref="H26:H28" si="9">$H$10</f>
        <v>0.24510999999999999</v>
      </c>
      <c r="I26" s="198">
        <f>$I$18</f>
        <v>0.16012999999999999</v>
      </c>
      <c r="J26" s="198">
        <f t="shared" ref="J26:J28" si="10">+$J$10</f>
        <v>0.12947</v>
      </c>
      <c r="K26" s="147">
        <f>ROUND(H26*G26,2)</f>
        <v>245291.14</v>
      </c>
      <c r="L26" s="147">
        <f>ROUND(G26*I26,2)</f>
        <v>160248.34</v>
      </c>
      <c r="M26" s="147">
        <f>ROUND(G26*J26,2)</f>
        <v>129565.68</v>
      </c>
      <c r="N26" s="147">
        <f>SUM(K26:M26)</f>
        <v>535105.15999999992</v>
      </c>
      <c r="O26" s="147">
        <v>-0.01</v>
      </c>
      <c r="Q26" s="81" t="s">
        <v>50</v>
      </c>
      <c r="R26" s="81">
        <v>49965.85</v>
      </c>
      <c r="S26" s="81"/>
      <c r="T26" s="81"/>
      <c r="U26" s="81">
        <v>5434.8</v>
      </c>
      <c r="V26" s="81"/>
      <c r="W26" s="64" t="s">
        <v>132</v>
      </c>
      <c r="X26" s="64"/>
      <c r="Y26" s="58">
        <v>0</v>
      </c>
      <c r="Z26" s="81"/>
      <c r="AA26" s="81"/>
      <c r="AB26" s="81"/>
      <c r="AC26" s="81"/>
      <c r="AD26" s="142"/>
      <c r="AE26" s="71" t="s">
        <v>51</v>
      </c>
      <c r="AH26" s="73">
        <v>0</v>
      </c>
      <c r="AL26" s="71" t="s">
        <v>89</v>
      </c>
    </row>
    <row r="27" spans="2:38" x14ac:dyDescent="0.2">
      <c r="B27" s="80" t="s">
        <v>85</v>
      </c>
      <c r="C27" s="191" t="s">
        <v>90</v>
      </c>
      <c r="D27" s="76">
        <v>3</v>
      </c>
      <c r="E27" s="70" t="s">
        <v>73</v>
      </c>
      <c r="F27" s="70" t="s">
        <v>74</v>
      </c>
      <c r="G27" s="58">
        <f>+'WA Rates'!Y12</f>
        <v>374010</v>
      </c>
      <c r="H27" s="198">
        <f t="shared" si="9"/>
        <v>0.24510999999999999</v>
      </c>
      <c r="I27" s="198">
        <f>$I$18</f>
        <v>0.16012999999999999</v>
      </c>
      <c r="J27" s="198">
        <f t="shared" si="10"/>
        <v>0.12947</v>
      </c>
      <c r="K27" s="147">
        <f>ROUND(H27*G27,2)</f>
        <v>91673.59</v>
      </c>
      <c r="L27" s="147">
        <f>ROUND(G27*I27,2)</f>
        <v>59890.22</v>
      </c>
      <c r="M27" s="147">
        <f>ROUND(G27*J27,2)</f>
        <v>48423.07</v>
      </c>
      <c r="N27" s="147">
        <f>SUM(K27:M27)</f>
        <v>199986.88</v>
      </c>
      <c r="O27" s="147"/>
      <c r="Q27" s="81" t="s">
        <v>50</v>
      </c>
      <c r="R27" s="81"/>
      <c r="S27" s="81"/>
      <c r="T27" s="81"/>
      <c r="U27" s="81"/>
      <c r="V27" s="81"/>
      <c r="W27" s="64" t="s">
        <v>133</v>
      </c>
      <c r="X27" s="64"/>
      <c r="Y27" s="58">
        <v>178840</v>
      </c>
      <c r="Z27" s="81"/>
      <c r="AA27" s="81"/>
      <c r="AB27" s="81"/>
      <c r="AC27" s="81"/>
      <c r="AD27" s="142"/>
      <c r="AE27" s="71" t="s">
        <v>51</v>
      </c>
      <c r="AH27" s="73">
        <v>0</v>
      </c>
      <c r="AL27" s="71" t="s">
        <v>91</v>
      </c>
    </row>
    <row r="28" spans="2:38" x14ac:dyDescent="0.2">
      <c r="B28" s="80" t="s">
        <v>85</v>
      </c>
      <c r="C28" s="191" t="s">
        <v>92</v>
      </c>
      <c r="D28" s="76">
        <v>3</v>
      </c>
      <c r="E28" s="70" t="s">
        <v>77</v>
      </c>
      <c r="F28" s="70" t="s">
        <v>78</v>
      </c>
      <c r="G28" s="58">
        <v>0</v>
      </c>
      <c r="H28" s="198">
        <f t="shared" si="9"/>
        <v>0.24510999999999999</v>
      </c>
      <c r="I28" s="198">
        <f>+$I$14</f>
        <v>0.17316000000000001</v>
      </c>
      <c r="J28" s="198">
        <f t="shared" si="10"/>
        <v>0.12947</v>
      </c>
      <c r="K28" s="147">
        <f>ROUND(H28*G28,2)</f>
        <v>0</v>
      </c>
      <c r="L28" s="147">
        <f>ROUND(G28*I28,2)</f>
        <v>0</v>
      </c>
      <c r="M28" s="147">
        <f>ROUND(G28*J28,2)</f>
        <v>0</v>
      </c>
      <c r="N28" s="147">
        <f>SUM(K28:M28)</f>
        <v>0</v>
      </c>
      <c r="O28" s="147"/>
      <c r="Q28" s="81"/>
      <c r="R28" s="81"/>
      <c r="S28" s="81"/>
      <c r="T28" s="81"/>
      <c r="U28" s="81"/>
      <c r="V28" s="81"/>
      <c r="W28" s="82"/>
      <c r="Z28" s="81"/>
      <c r="AA28" s="81"/>
      <c r="AB28" s="81"/>
      <c r="AC28" s="81"/>
      <c r="AD28" s="73"/>
      <c r="AE28" s="71" t="s">
        <v>51</v>
      </c>
      <c r="AH28" s="73">
        <v>0</v>
      </c>
      <c r="AL28" s="71" t="s">
        <v>93</v>
      </c>
    </row>
    <row r="29" spans="2:38" ht="12.2" customHeight="1" x14ac:dyDescent="0.2">
      <c r="B29" s="80"/>
      <c r="D29" s="76"/>
      <c r="G29" s="58"/>
      <c r="K29" s="147"/>
      <c r="L29" s="147"/>
      <c r="M29" s="147"/>
      <c r="N29" s="147"/>
      <c r="O29" s="147"/>
      <c r="Q29" s="81"/>
      <c r="R29" s="81">
        <v>17029.240000000002</v>
      </c>
      <c r="S29" s="81"/>
      <c r="T29" s="81"/>
      <c r="U29" s="81">
        <v>1729.72</v>
      </c>
      <c r="V29" s="81"/>
      <c r="W29" s="81"/>
      <c r="X29" s="82"/>
      <c r="Z29" s="81"/>
      <c r="AA29" s="81"/>
      <c r="AB29" s="81"/>
      <c r="AC29" s="81"/>
      <c r="AD29" s="73"/>
      <c r="AH29" s="73"/>
    </row>
    <row r="30" spans="2:38" x14ac:dyDescent="0.2">
      <c r="B30" s="80" t="s">
        <v>94</v>
      </c>
      <c r="C30" s="191" t="s">
        <v>95</v>
      </c>
      <c r="D30" s="76">
        <v>3</v>
      </c>
      <c r="E30" s="70" t="s">
        <v>87</v>
      </c>
      <c r="F30" s="70" t="s">
        <v>96</v>
      </c>
      <c r="G30" s="58">
        <f>+Y17</f>
        <v>0</v>
      </c>
      <c r="H30" s="198">
        <f t="shared" ref="H30:H32" si="11">$H$10</f>
        <v>0.24510999999999999</v>
      </c>
      <c r="I30" s="198">
        <f>$I$18</f>
        <v>0.16012999999999999</v>
      </c>
      <c r="J30" s="198">
        <f t="shared" ref="J30:J32" si="12">+$J$10</f>
        <v>0.12947</v>
      </c>
      <c r="K30" s="147">
        <f t="shared" ref="K30:K32" si="13">ROUND(H30*G30,2)</f>
        <v>0</v>
      </c>
      <c r="L30" s="147">
        <f t="shared" ref="L30:L32" si="14">ROUND(G30*I30,2)</f>
        <v>0</v>
      </c>
      <c r="M30" s="147">
        <f t="shared" ref="M30:M32" si="15">ROUND(G30*J30,2)</f>
        <v>0</v>
      </c>
      <c r="N30" s="147">
        <f t="shared" ref="N30:N32" si="16">SUM(K30:M30)</f>
        <v>0</v>
      </c>
      <c r="O30" s="147"/>
      <c r="Q30" s="81" t="s">
        <v>50</v>
      </c>
      <c r="R30" s="81"/>
      <c r="S30" s="81"/>
      <c r="T30" s="81"/>
      <c r="U30" s="81"/>
      <c r="V30" s="81"/>
      <c r="W30" s="81"/>
      <c r="X30" s="82"/>
      <c r="Z30" s="81"/>
      <c r="AA30" s="81"/>
      <c r="AB30" s="81"/>
      <c r="AC30" s="81"/>
      <c r="AD30" s="142"/>
      <c r="AE30" s="71" t="s">
        <v>51</v>
      </c>
      <c r="AH30" s="73">
        <v>0</v>
      </c>
      <c r="AL30" s="71" t="s">
        <v>89</v>
      </c>
    </row>
    <row r="31" spans="2:38" x14ac:dyDescent="0.2">
      <c r="B31" s="80" t="s">
        <v>97</v>
      </c>
      <c r="C31" s="191" t="s">
        <v>82</v>
      </c>
      <c r="D31" s="76">
        <v>3</v>
      </c>
      <c r="E31" s="70" t="s">
        <v>87</v>
      </c>
      <c r="F31" s="70" t="s">
        <v>96</v>
      </c>
      <c r="G31" s="58">
        <v>0</v>
      </c>
      <c r="H31" s="198">
        <f t="shared" si="11"/>
        <v>0.24510999999999999</v>
      </c>
      <c r="I31" s="198">
        <f>$I$18</f>
        <v>0.16012999999999999</v>
      </c>
      <c r="J31" s="198">
        <f t="shared" si="12"/>
        <v>0.12947</v>
      </c>
      <c r="K31" s="147">
        <f t="shared" si="13"/>
        <v>0</v>
      </c>
      <c r="L31" s="147">
        <f t="shared" si="14"/>
        <v>0</v>
      </c>
      <c r="M31" s="147">
        <f t="shared" si="15"/>
        <v>0</v>
      </c>
      <c r="N31" s="147">
        <f t="shared" si="16"/>
        <v>0</v>
      </c>
      <c r="O31" s="147"/>
      <c r="Q31" s="81"/>
      <c r="R31" s="81">
        <v>128505.68</v>
      </c>
      <c r="S31" s="81"/>
      <c r="T31" s="81"/>
      <c r="U31" s="81">
        <v>17959.87</v>
      </c>
      <c r="V31" s="81"/>
      <c r="W31" s="81"/>
      <c r="X31" s="82"/>
      <c r="Z31" s="81"/>
      <c r="AA31" s="81"/>
      <c r="AB31" s="81"/>
      <c r="AC31" s="81"/>
      <c r="AD31" s="142"/>
      <c r="AE31" s="71" t="s">
        <v>51</v>
      </c>
      <c r="AH31" s="73">
        <v>0</v>
      </c>
      <c r="AL31" s="71" t="s">
        <v>89</v>
      </c>
    </row>
    <row r="32" spans="2:38" x14ac:dyDescent="0.2">
      <c r="B32" s="80" t="s">
        <v>97</v>
      </c>
      <c r="C32" s="191" t="s">
        <v>129</v>
      </c>
      <c r="D32" s="76">
        <v>3</v>
      </c>
      <c r="E32" s="70" t="s">
        <v>87</v>
      </c>
      <c r="F32" s="70" t="s">
        <v>96</v>
      </c>
      <c r="G32" s="58">
        <f>+Y26</f>
        <v>0</v>
      </c>
      <c r="H32" s="198">
        <f t="shared" si="11"/>
        <v>0.24510999999999999</v>
      </c>
      <c r="I32" s="198">
        <f>$I$18</f>
        <v>0.16012999999999999</v>
      </c>
      <c r="J32" s="198">
        <f t="shared" si="12"/>
        <v>0.12947</v>
      </c>
      <c r="K32" s="147">
        <f t="shared" si="13"/>
        <v>0</v>
      </c>
      <c r="L32" s="147">
        <f t="shared" si="14"/>
        <v>0</v>
      </c>
      <c r="M32" s="147">
        <f t="shared" si="15"/>
        <v>0</v>
      </c>
      <c r="N32" s="147">
        <f t="shared" si="16"/>
        <v>0</v>
      </c>
      <c r="O32" s="147"/>
      <c r="Q32" s="81"/>
      <c r="R32" s="81">
        <v>97.86</v>
      </c>
      <c r="S32" s="81"/>
      <c r="T32" s="81"/>
      <c r="U32" s="81">
        <v>10.64</v>
      </c>
      <c r="V32" s="81"/>
      <c r="W32" s="81"/>
      <c r="X32" s="82"/>
      <c r="Y32" s="61"/>
      <c r="Z32" s="81"/>
      <c r="AA32" s="81"/>
      <c r="AB32" s="81"/>
      <c r="AC32" s="81"/>
      <c r="AD32" s="142"/>
      <c r="AE32" s="71" t="s">
        <v>51</v>
      </c>
      <c r="AH32" s="73">
        <v>0</v>
      </c>
      <c r="AL32" s="71" t="s">
        <v>89</v>
      </c>
    </row>
    <row r="33" spans="2:38" ht="12.2" customHeight="1" x14ac:dyDescent="0.2">
      <c r="B33" s="80"/>
      <c r="D33" s="76"/>
      <c r="G33" s="58"/>
      <c r="K33" s="147"/>
      <c r="L33" s="147"/>
      <c r="M33" s="147"/>
      <c r="N33" s="147"/>
      <c r="O33" s="147"/>
      <c r="Q33" s="81"/>
      <c r="R33" s="81"/>
      <c r="S33" s="81"/>
      <c r="T33" s="81"/>
      <c r="U33" s="81"/>
      <c r="V33" s="81"/>
      <c r="W33" s="81"/>
      <c r="X33" s="82"/>
      <c r="Y33" s="61"/>
      <c r="Z33" s="81"/>
      <c r="AA33" s="81"/>
      <c r="AB33" s="81"/>
      <c r="AC33" s="81"/>
      <c r="AD33" s="142"/>
      <c r="AH33" s="73"/>
    </row>
    <row r="34" spans="2:38" x14ac:dyDescent="0.2">
      <c r="B34" s="80" t="s">
        <v>94</v>
      </c>
      <c r="C34" s="191" t="s">
        <v>98</v>
      </c>
      <c r="D34" s="76" t="s">
        <v>20</v>
      </c>
      <c r="E34" s="70" t="s">
        <v>99</v>
      </c>
      <c r="F34" s="70" t="s">
        <v>100</v>
      </c>
      <c r="G34" s="58">
        <v>0</v>
      </c>
      <c r="H34" s="198">
        <f t="shared" ref="H34:H36" si="17">$H$10</f>
        <v>0.24510999999999999</v>
      </c>
      <c r="I34" s="198">
        <v>0.14713999999999999</v>
      </c>
      <c r="J34" s="198">
        <f t="shared" ref="J34:J36" si="18">+$J$10</f>
        <v>0.12947</v>
      </c>
      <c r="K34" s="147">
        <f>ROUND(H34*G34,2)</f>
        <v>0</v>
      </c>
      <c r="L34" s="147">
        <f>ROUND(G34*I34,2)</f>
        <v>0</v>
      </c>
      <c r="M34" s="147">
        <f>ROUND(G34*J34,2)</f>
        <v>0</v>
      </c>
      <c r="N34" s="147">
        <f>SUM(K34:M34)</f>
        <v>0</v>
      </c>
      <c r="Q34" s="81"/>
      <c r="R34" s="81"/>
      <c r="S34" s="81"/>
      <c r="T34" s="81"/>
      <c r="U34" s="81"/>
      <c r="V34" s="81"/>
      <c r="W34" s="81"/>
      <c r="X34" s="82"/>
      <c r="Y34" s="61"/>
      <c r="Z34" s="81"/>
      <c r="AA34" s="81"/>
      <c r="AB34" s="81"/>
      <c r="AC34" s="81"/>
      <c r="AD34" s="73"/>
      <c r="AE34" s="71" t="s">
        <v>51</v>
      </c>
      <c r="AH34" s="73">
        <v>0</v>
      </c>
      <c r="AL34" s="71" t="s">
        <v>101</v>
      </c>
    </row>
    <row r="35" spans="2:38" x14ac:dyDescent="0.2">
      <c r="B35" s="80" t="s">
        <v>97</v>
      </c>
      <c r="C35" s="191" t="s">
        <v>82</v>
      </c>
      <c r="D35" s="76">
        <v>4</v>
      </c>
      <c r="E35" s="70" t="s">
        <v>99</v>
      </c>
      <c r="F35" s="70" t="s">
        <v>100</v>
      </c>
      <c r="G35" s="58">
        <v>0</v>
      </c>
      <c r="H35" s="198">
        <f t="shared" si="17"/>
        <v>0.24510999999999999</v>
      </c>
      <c r="I35" s="198">
        <f>$I$34</f>
        <v>0.14713999999999999</v>
      </c>
      <c r="J35" s="198">
        <f t="shared" si="18"/>
        <v>0.12947</v>
      </c>
      <c r="K35" s="147">
        <f>ROUND(H35*G35,2)</f>
        <v>0</v>
      </c>
      <c r="L35" s="147">
        <f>ROUND(G35*I35,2)</f>
        <v>0</v>
      </c>
      <c r="M35" s="147">
        <f>ROUND(G35*J35,2)</f>
        <v>0</v>
      </c>
      <c r="N35" s="147">
        <f>SUM(K35:M35)</f>
        <v>0</v>
      </c>
      <c r="O35" s="147">
        <f>-N35-80.06</f>
        <v>-80.06</v>
      </c>
      <c r="Q35" s="81"/>
      <c r="R35" s="81">
        <v>18307.25</v>
      </c>
      <c r="S35" s="81"/>
      <c r="T35" s="81"/>
      <c r="U35" s="81">
        <v>1859.59</v>
      </c>
      <c r="V35" s="81"/>
      <c r="W35" s="81"/>
      <c r="X35" s="82"/>
      <c r="Y35" s="61"/>
      <c r="Z35" s="81"/>
      <c r="AA35" s="81"/>
      <c r="AB35" s="81"/>
      <c r="AC35" s="81"/>
      <c r="AD35" s="142"/>
      <c r="AE35" s="71" t="s">
        <v>51</v>
      </c>
      <c r="AH35" s="73">
        <v>0</v>
      </c>
      <c r="AL35" s="71" t="s">
        <v>102</v>
      </c>
    </row>
    <row r="36" spans="2:38" x14ac:dyDescent="0.2">
      <c r="B36" s="80" t="s">
        <v>97</v>
      </c>
      <c r="C36" s="191" t="s">
        <v>84</v>
      </c>
      <c r="D36" s="76">
        <v>4</v>
      </c>
      <c r="E36" s="70" t="s">
        <v>99</v>
      </c>
      <c r="F36" s="70" t="s">
        <v>100</v>
      </c>
      <c r="G36" s="58">
        <v>0</v>
      </c>
      <c r="H36" s="198">
        <f t="shared" si="17"/>
        <v>0.24510999999999999</v>
      </c>
      <c r="I36" s="198">
        <f>$I$34</f>
        <v>0.14713999999999999</v>
      </c>
      <c r="J36" s="198">
        <f t="shared" si="18"/>
        <v>0.12947</v>
      </c>
      <c r="K36" s="147">
        <f>ROUND(H36*G36,2)</f>
        <v>0</v>
      </c>
      <c r="L36" s="147">
        <f>ROUND(G36*I36,2)</f>
        <v>0</v>
      </c>
      <c r="M36" s="147">
        <f>ROUND(G36*J36,2)</f>
        <v>0</v>
      </c>
      <c r="N36" s="147">
        <f>SUM(K36:M36)</f>
        <v>0</v>
      </c>
      <c r="O36" s="147"/>
      <c r="Q36" s="81"/>
      <c r="R36" s="81"/>
      <c r="S36" s="81"/>
      <c r="T36" s="81"/>
      <c r="U36" s="81"/>
      <c r="V36" s="81"/>
      <c r="W36" s="81"/>
      <c r="X36" s="82"/>
      <c r="Y36" s="61"/>
      <c r="Z36" s="81"/>
      <c r="AA36" s="81"/>
      <c r="AB36" s="81"/>
      <c r="AC36" s="81"/>
      <c r="AD36" s="142"/>
      <c r="AE36" s="71" t="s">
        <v>51</v>
      </c>
      <c r="AH36" s="73">
        <v>0</v>
      </c>
      <c r="AL36" s="71" t="s">
        <v>102</v>
      </c>
    </row>
    <row r="37" spans="2:38" ht="12.2" customHeight="1" x14ac:dyDescent="0.2">
      <c r="B37" s="80"/>
      <c r="D37" s="76"/>
      <c r="G37" s="58"/>
      <c r="M37" s="147"/>
      <c r="Q37" s="81"/>
      <c r="R37" s="81"/>
      <c r="S37" s="81"/>
      <c r="T37" s="81"/>
      <c r="U37" s="81"/>
      <c r="V37" s="81"/>
      <c r="W37" s="81"/>
      <c r="X37" s="82"/>
      <c r="Y37" s="61"/>
      <c r="Z37" s="81"/>
      <c r="AA37" s="81"/>
      <c r="AB37" s="81"/>
      <c r="AC37" s="81"/>
      <c r="AD37" s="73"/>
      <c r="AH37" s="73"/>
    </row>
    <row r="38" spans="2:38" x14ac:dyDescent="0.2">
      <c r="B38" s="80" t="s">
        <v>103</v>
      </c>
      <c r="C38" s="191" t="s">
        <v>104</v>
      </c>
      <c r="D38" s="76" t="s">
        <v>13</v>
      </c>
      <c r="E38" s="70" t="s">
        <v>99</v>
      </c>
      <c r="F38" s="70" t="s">
        <v>100</v>
      </c>
      <c r="G38" s="58">
        <f>+Y18</f>
        <v>94559</v>
      </c>
      <c r="H38" s="198">
        <f t="shared" ref="H38:H43" si="19">$H$10</f>
        <v>0.24510999999999999</v>
      </c>
      <c r="I38" s="198">
        <f t="shared" ref="I38:I43" si="20">$I$34</f>
        <v>0.14713999999999999</v>
      </c>
      <c r="J38" s="198">
        <f t="shared" ref="J38:J45" si="21">+$J$10</f>
        <v>0.12947</v>
      </c>
      <c r="K38" s="147">
        <f t="shared" ref="K38:K43" si="22">ROUND(H38*G38,2)</f>
        <v>23177.360000000001</v>
      </c>
      <c r="L38" s="147">
        <f t="shared" ref="L38:L43" si="23">ROUND(G38*I38,2)</f>
        <v>13913.41</v>
      </c>
      <c r="M38" s="147">
        <f t="shared" ref="M38:M42" si="24">ROUND(G38*J38,2)</f>
        <v>12242.55</v>
      </c>
      <c r="N38" s="147">
        <f>SUM(K38:M38)</f>
        <v>49333.320000000007</v>
      </c>
      <c r="O38" s="147">
        <v>0.01</v>
      </c>
      <c r="Q38" s="81"/>
      <c r="R38" s="81"/>
      <c r="S38" s="81"/>
      <c r="T38" s="81"/>
      <c r="U38" s="81"/>
      <c r="V38" s="81"/>
      <c r="W38" s="81"/>
      <c r="X38" s="82"/>
      <c r="Y38" s="61"/>
      <c r="Z38" s="81"/>
      <c r="AA38" s="81"/>
      <c r="AB38" s="81"/>
      <c r="AC38" s="81"/>
      <c r="AD38" s="73"/>
      <c r="AE38" s="71" t="s">
        <v>51</v>
      </c>
      <c r="AH38" s="73">
        <v>0</v>
      </c>
      <c r="AL38" s="71" t="s">
        <v>102</v>
      </c>
    </row>
    <row r="39" spans="2:38" x14ac:dyDescent="0.2">
      <c r="B39" s="80" t="s">
        <v>103</v>
      </c>
      <c r="C39" s="191" t="s">
        <v>82</v>
      </c>
      <c r="D39" s="76">
        <v>5</v>
      </c>
      <c r="E39" s="70" t="s">
        <v>99</v>
      </c>
      <c r="F39" s="70" t="s">
        <v>100</v>
      </c>
      <c r="G39" s="58">
        <v>-94559</v>
      </c>
      <c r="H39" s="198">
        <f t="shared" si="19"/>
        <v>0.24510999999999999</v>
      </c>
      <c r="I39" s="198">
        <f t="shared" si="20"/>
        <v>0.14713999999999999</v>
      </c>
      <c r="J39" s="198">
        <f t="shared" si="21"/>
        <v>0.12947</v>
      </c>
      <c r="K39" s="147">
        <f t="shared" si="22"/>
        <v>-23177.360000000001</v>
      </c>
      <c r="L39" s="147">
        <f t="shared" si="23"/>
        <v>-13913.41</v>
      </c>
      <c r="M39" s="147">
        <f t="shared" si="24"/>
        <v>-12242.55</v>
      </c>
      <c r="N39" s="147">
        <f t="shared" ref="N39:N43" si="25">SUM(K39:M39)</f>
        <v>-49333.320000000007</v>
      </c>
      <c r="O39" s="147"/>
      <c r="Q39" s="81"/>
      <c r="R39" s="81"/>
      <c r="S39" s="81"/>
      <c r="T39" s="81"/>
      <c r="U39" s="81"/>
      <c r="V39" s="81"/>
      <c r="W39" s="81"/>
      <c r="X39" s="82"/>
      <c r="Y39" s="61"/>
      <c r="Z39" s="81"/>
      <c r="AA39" s="81"/>
      <c r="AB39" s="81"/>
      <c r="AC39" s="81"/>
      <c r="AD39" s="142"/>
      <c r="AE39" s="71" t="s">
        <v>51</v>
      </c>
      <c r="AH39" s="73">
        <v>0</v>
      </c>
      <c r="AL39" s="71" t="s">
        <v>101</v>
      </c>
    </row>
    <row r="40" spans="2:38" x14ac:dyDescent="0.2">
      <c r="B40" s="80" t="s">
        <v>103</v>
      </c>
      <c r="C40" s="191" t="s">
        <v>129</v>
      </c>
      <c r="D40" s="76">
        <v>5</v>
      </c>
      <c r="E40" s="70" t="s">
        <v>99</v>
      </c>
      <c r="F40" s="70" t="s">
        <v>100</v>
      </c>
      <c r="G40" s="58">
        <f>+Y27</f>
        <v>178840</v>
      </c>
      <c r="H40" s="198">
        <f t="shared" si="19"/>
        <v>0.24510999999999999</v>
      </c>
      <c r="I40" s="198">
        <f t="shared" si="20"/>
        <v>0.14713999999999999</v>
      </c>
      <c r="J40" s="198">
        <f t="shared" si="21"/>
        <v>0.12947</v>
      </c>
      <c r="K40" s="147">
        <f t="shared" si="22"/>
        <v>43835.47</v>
      </c>
      <c r="L40" s="147">
        <f t="shared" si="23"/>
        <v>26314.52</v>
      </c>
      <c r="M40" s="147">
        <f t="shared" si="24"/>
        <v>23154.41</v>
      </c>
      <c r="N40" s="147">
        <f t="shared" si="25"/>
        <v>93304.400000000009</v>
      </c>
      <c r="O40" s="147"/>
      <c r="Q40" s="81"/>
      <c r="R40" s="81"/>
      <c r="S40" s="81"/>
      <c r="T40" s="81"/>
      <c r="U40" s="81"/>
      <c r="V40" s="81"/>
      <c r="W40" s="81"/>
      <c r="X40" s="82"/>
      <c r="Y40" s="61"/>
      <c r="Z40" s="81"/>
      <c r="AA40" s="81"/>
      <c r="AB40" s="81"/>
      <c r="AC40" s="81"/>
      <c r="AD40" s="142"/>
      <c r="AE40" s="71" t="s">
        <v>51</v>
      </c>
      <c r="AH40" s="73">
        <v>0</v>
      </c>
      <c r="AL40" s="71" t="s">
        <v>101</v>
      </c>
    </row>
    <row r="41" spans="2:38" x14ac:dyDescent="0.2">
      <c r="B41" s="80" t="s">
        <v>106</v>
      </c>
      <c r="C41" s="191" t="s">
        <v>107</v>
      </c>
      <c r="D41" s="76">
        <v>5</v>
      </c>
      <c r="E41" s="70" t="s">
        <v>108</v>
      </c>
      <c r="F41" s="70" t="s">
        <v>109</v>
      </c>
      <c r="G41" s="58"/>
      <c r="H41" s="198">
        <f t="shared" si="19"/>
        <v>0.24510999999999999</v>
      </c>
      <c r="I41" s="198">
        <f t="shared" si="20"/>
        <v>0.14713999999999999</v>
      </c>
      <c r="J41" s="198">
        <f t="shared" si="21"/>
        <v>0.12947</v>
      </c>
      <c r="K41" s="147">
        <f t="shared" si="22"/>
        <v>0</v>
      </c>
      <c r="L41" s="147">
        <f t="shared" si="23"/>
        <v>0</v>
      </c>
      <c r="M41" s="147">
        <f t="shared" si="24"/>
        <v>0</v>
      </c>
      <c r="N41" s="147">
        <f t="shared" si="25"/>
        <v>0</v>
      </c>
      <c r="O41" s="147">
        <v>-0.01</v>
      </c>
      <c r="Q41" s="81"/>
      <c r="R41" s="81"/>
      <c r="S41" s="81"/>
      <c r="T41" s="81"/>
      <c r="U41" s="81"/>
      <c r="V41" s="81"/>
      <c r="W41" s="81"/>
      <c r="X41" s="82"/>
      <c r="Y41" s="61"/>
      <c r="Z41" s="81"/>
      <c r="AA41" s="81"/>
      <c r="AB41" s="81"/>
      <c r="AC41" s="81"/>
      <c r="AD41" s="73"/>
      <c r="AE41" s="71" t="s">
        <v>51</v>
      </c>
      <c r="AH41" s="73">
        <v>0</v>
      </c>
      <c r="AL41" s="71" t="s">
        <v>110</v>
      </c>
    </row>
    <row r="42" spans="2:38" x14ac:dyDescent="0.2">
      <c r="B42" s="80" t="s">
        <v>103</v>
      </c>
      <c r="C42" s="191" t="s">
        <v>82</v>
      </c>
      <c r="D42" s="76">
        <v>5</v>
      </c>
      <c r="E42" s="70" t="s">
        <v>108</v>
      </c>
      <c r="F42" s="70" t="s">
        <v>109</v>
      </c>
      <c r="G42" s="58">
        <v>0</v>
      </c>
      <c r="H42" s="198">
        <f t="shared" si="19"/>
        <v>0.24510999999999999</v>
      </c>
      <c r="I42" s="198">
        <f t="shared" si="20"/>
        <v>0.14713999999999999</v>
      </c>
      <c r="J42" s="198">
        <f t="shared" si="21"/>
        <v>0.12947</v>
      </c>
      <c r="K42" s="147">
        <f>ROUND(H42*G42,2)</f>
        <v>0</v>
      </c>
      <c r="L42" s="147">
        <f t="shared" si="23"/>
        <v>0</v>
      </c>
      <c r="M42" s="147">
        <f t="shared" si="24"/>
        <v>0</v>
      </c>
      <c r="N42" s="147">
        <f t="shared" si="25"/>
        <v>0</v>
      </c>
      <c r="O42" s="147">
        <v>-0.01</v>
      </c>
      <c r="Q42" s="81"/>
      <c r="R42" s="81"/>
      <c r="S42" s="81"/>
      <c r="T42" s="81"/>
      <c r="U42" s="81"/>
      <c r="V42" s="81"/>
      <c r="W42" s="81"/>
      <c r="X42" s="82"/>
      <c r="Y42" s="61"/>
      <c r="Z42" s="81"/>
      <c r="AA42" s="81"/>
      <c r="AB42" s="81"/>
      <c r="AC42" s="81"/>
      <c r="AD42" s="142"/>
      <c r="AE42" s="71" t="s">
        <v>51</v>
      </c>
      <c r="AH42" s="73">
        <v>0</v>
      </c>
      <c r="AL42" s="71" t="s">
        <v>101</v>
      </c>
    </row>
    <row r="43" spans="2:38" x14ac:dyDescent="0.2">
      <c r="B43" s="80" t="s">
        <v>103</v>
      </c>
      <c r="C43" s="191" t="s">
        <v>105</v>
      </c>
      <c r="D43" s="76">
        <v>5</v>
      </c>
      <c r="E43" s="70" t="s">
        <v>108</v>
      </c>
      <c r="F43" s="70" t="s">
        <v>109</v>
      </c>
      <c r="G43" s="58"/>
      <c r="H43" s="198">
        <f t="shared" si="19"/>
        <v>0.24510999999999999</v>
      </c>
      <c r="I43" s="198">
        <f t="shared" si="20"/>
        <v>0.14713999999999999</v>
      </c>
      <c r="J43" s="198">
        <f t="shared" si="21"/>
        <v>0.12947</v>
      </c>
      <c r="K43" s="147">
        <f t="shared" si="22"/>
        <v>0</v>
      </c>
      <c r="L43" s="147">
        <f t="shared" si="23"/>
        <v>0</v>
      </c>
      <c r="M43" s="147">
        <f>ROUND(G43*J43,2)</f>
        <v>0</v>
      </c>
      <c r="N43" s="147">
        <f t="shared" si="25"/>
        <v>0</v>
      </c>
      <c r="O43" s="147">
        <v>0.01</v>
      </c>
      <c r="Q43" s="81"/>
      <c r="R43" s="81"/>
      <c r="S43" s="81"/>
      <c r="T43" s="81"/>
      <c r="U43" s="81"/>
      <c r="V43" s="81"/>
      <c r="W43" s="81"/>
      <c r="X43" s="82"/>
      <c r="Y43" s="61"/>
      <c r="Z43" s="81"/>
      <c r="AA43" s="81"/>
      <c r="AB43" s="81"/>
      <c r="AC43" s="81"/>
      <c r="AD43" s="142"/>
      <c r="AE43" s="71" t="s">
        <v>51</v>
      </c>
      <c r="AH43" s="73">
        <v>0</v>
      </c>
      <c r="AL43" s="71" t="s">
        <v>101</v>
      </c>
    </row>
    <row r="44" spans="2:38" ht="12.2" customHeight="1" x14ac:dyDescent="0.2">
      <c r="B44" s="80"/>
      <c r="D44" s="76"/>
      <c r="G44" s="66"/>
      <c r="K44" s="147"/>
      <c r="L44" s="147"/>
      <c r="M44" s="147"/>
      <c r="N44" s="147"/>
      <c r="O44" s="147"/>
      <c r="Q44" s="81"/>
      <c r="R44" s="81"/>
      <c r="S44" s="81"/>
      <c r="T44" s="81"/>
      <c r="U44" s="81"/>
      <c r="V44" s="81"/>
      <c r="W44" s="81"/>
      <c r="X44" s="82"/>
      <c r="Y44" s="61"/>
      <c r="Z44" s="81"/>
      <c r="AA44" s="81"/>
      <c r="AB44" s="81"/>
      <c r="AC44" s="81"/>
      <c r="AD44" s="142"/>
      <c r="AH44" s="73"/>
    </row>
    <row r="45" spans="2:38" x14ac:dyDescent="0.2">
      <c r="B45" s="80" t="s">
        <v>106</v>
      </c>
      <c r="C45" s="191" t="s">
        <v>111</v>
      </c>
      <c r="D45" s="76">
        <v>6</v>
      </c>
      <c r="E45" s="70" t="s">
        <v>99</v>
      </c>
      <c r="G45" s="66">
        <f>'[2]Core Billed Therms '!$J$88</f>
        <v>0</v>
      </c>
      <c r="H45" s="198">
        <f>$H$10</f>
        <v>0.24510999999999999</v>
      </c>
      <c r="I45" s="198">
        <f>$I$34</f>
        <v>0.14713999999999999</v>
      </c>
      <c r="J45" s="198">
        <f t="shared" si="21"/>
        <v>0.12947</v>
      </c>
      <c r="K45" s="147">
        <f>ROUND(H45*G45,2)</f>
        <v>0</v>
      </c>
      <c r="L45" s="147">
        <f>ROUND(G45*I45,2)</f>
        <v>0</v>
      </c>
      <c r="M45" s="147">
        <f>ROUND(G45*J45,2)</f>
        <v>0</v>
      </c>
      <c r="N45" s="147">
        <f>SUM(K45:M45)</f>
        <v>0</v>
      </c>
      <c r="O45" s="147"/>
      <c r="Q45" s="81"/>
      <c r="R45" s="81"/>
      <c r="S45" s="81"/>
      <c r="T45" s="81"/>
      <c r="U45" s="81"/>
      <c r="V45" s="81"/>
      <c r="W45" s="81"/>
      <c r="X45" s="82"/>
      <c r="Y45" s="61"/>
      <c r="Z45" s="81"/>
      <c r="AA45" s="81"/>
      <c r="AB45" s="81"/>
      <c r="AC45" s="81"/>
      <c r="AD45" s="73"/>
      <c r="AE45" s="71" t="s">
        <v>51</v>
      </c>
      <c r="AH45" s="73">
        <v>0</v>
      </c>
      <c r="AL45" s="71" t="s">
        <v>112</v>
      </c>
    </row>
    <row r="46" spans="2:38" ht="12.2" customHeight="1" x14ac:dyDescent="0.2">
      <c r="B46" s="80"/>
      <c r="D46" s="76"/>
      <c r="G46" s="66"/>
      <c r="J46" s="65"/>
      <c r="K46" s="147"/>
      <c r="L46" s="147"/>
      <c r="M46" s="147"/>
      <c r="N46" s="147"/>
      <c r="O46" s="147"/>
      <c r="AD46" s="73"/>
      <c r="AH46" s="73"/>
    </row>
    <row r="47" spans="2:38" x14ac:dyDescent="0.2">
      <c r="B47" s="80"/>
      <c r="D47" s="83"/>
      <c r="F47" s="70" t="s">
        <v>115</v>
      </c>
      <c r="G47" s="66">
        <f>SUM(G9:G46)</f>
        <v>17325199</v>
      </c>
      <c r="H47" s="66" t="s">
        <v>114</v>
      </c>
      <c r="K47" s="201">
        <f>SUM(K9:K46)</f>
        <v>4246579.54</v>
      </c>
      <c r="L47" s="201">
        <f>SUM(L9:L46)</f>
        <v>2992595.6</v>
      </c>
      <c r="M47" s="147">
        <f>SUM(M9:M46)</f>
        <v>1227296.7500000002</v>
      </c>
      <c r="N47" s="147">
        <f>SUM(N9:N46)</f>
        <v>8466471.8900000006</v>
      </c>
      <c r="O47" s="147">
        <v>0.03</v>
      </c>
      <c r="Q47" s="147"/>
      <c r="R47" s="147"/>
      <c r="S47" s="147"/>
      <c r="T47" s="147"/>
      <c r="U47" s="147"/>
      <c r="V47" s="147"/>
      <c r="W47" s="147"/>
      <c r="X47" s="202"/>
      <c r="Y47" s="84"/>
      <c r="Z47" s="147"/>
      <c r="AA47" s="147"/>
      <c r="AB47" s="147"/>
      <c r="AC47" s="147"/>
      <c r="AD47" s="73"/>
      <c r="AH47" s="73"/>
    </row>
    <row r="48" spans="2:38" x14ac:dyDescent="0.2">
      <c r="C48" s="71"/>
      <c r="D48" s="83"/>
      <c r="F48" s="70" t="s">
        <v>113</v>
      </c>
      <c r="G48" s="66"/>
      <c r="K48" s="147" t="s">
        <v>116</v>
      </c>
      <c r="L48" s="147" t="s">
        <v>116</v>
      </c>
      <c r="M48" s="147"/>
      <c r="N48" s="147"/>
      <c r="O48" s="147"/>
      <c r="Q48" s="147">
        <f>-N47</f>
        <v>-8466471.8900000006</v>
      </c>
      <c r="R48" s="147"/>
      <c r="S48" s="147"/>
      <c r="T48" s="147"/>
      <c r="U48" s="147"/>
      <c r="V48" s="147"/>
      <c r="W48" s="147"/>
      <c r="X48" s="202"/>
      <c r="Y48" s="84"/>
      <c r="Z48" s="147"/>
      <c r="AA48" s="147"/>
      <c r="AB48" s="147"/>
      <c r="AC48" s="147"/>
      <c r="AD48" s="71" t="s">
        <v>117</v>
      </c>
      <c r="AE48" s="71" t="s">
        <v>51</v>
      </c>
      <c r="AH48" s="73">
        <v>0</v>
      </c>
      <c r="AL48" s="71" t="s">
        <v>118</v>
      </c>
    </row>
    <row r="49" spans="6:32" x14ac:dyDescent="0.2">
      <c r="F49" s="67" t="s">
        <v>119</v>
      </c>
      <c r="G49" s="66">
        <f>+G47+G48</f>
        <v>17325199</v>
      </c>
      <c r="H49" s="142"/>
      <c r="I49" s="142"/>
      <c r="K49" s="147">
        <f>SUM(K47:K48)</f>
        <v>4246579.54</v>
      </c>
      <c r="L49" s="147">
        <f>SUM(L47:L48)</f>
        <v>2992595.6</v>
      </c>
      <c r="M49" s="147">
        <f>SUM(M47:M48)</f>
        <v>1227296.7500000002</v>
      </c>
      <c r="N49" s="147">
        <f>SUM(N47:N48)</f>
        <v>8466471.8900000006</v>
      </c>
      <c r="O49" s="147"/>
      <c r="P49" s="147"/>
      <c r="Q49" s="147"/>
      <c r="R49" s="147"/>
      <c r="S49" s="147"/>
      <c r="T49" s="147"/>
      <c r="U49" s="147"/>
      <c r="V49" s="147"/>
      <c r="W49" s="147"/>
      <c r="X49" s="202"/>
      <c r="Y49" s="84"/>
      <c r="Z49" s="147"/>
      <c r="AA49" s="147"/>
      <c r="AB49" s="147"/>
      <c r="AC49" s="147"/>
      <c r="AF49" s="73"/>
    </row>
    <row r="50" spans="6:32" ht="21.75" customHeight="1" x14ac:dyDescent="0.2">
      <c r="G50" s="68"/>
      <c r="K50" s="147"/>
      <c r="L50" s="147"/>
      <c r="M50" s="147"/>
      <c r="N50" s="147"/>
      <c r="O50" s="147"/>
    </row>
    <row r="51" spans="6:32" ht="21.75" customHeight="1" x14ac:dyDescent="0.2">
      <c r="G51" s="203"/>
      <c r="H51" s="142"/>
      <c r="L51" s="202"/>
      <c r="M51" s="147"/>
      <c r="N51" s="147"/>
      <c r="O51" s="147"/>
    </row>
    <row r="52" spans="6:32" x14ac:dyDescent="0.2">
      <c r="H52" s="142"/>
      <c r="L52" s="204"/>
      <c r="N52" s="147"/>
      <c r="O52" s="147"/>
    </row>
    <row r="53" spans="6:32" x14ac:dyDescent="0.2">
      <c r="F53" s="70" t="s">
        <v>120</v>
      </c>
      <c r="L53" s="205"/>
      <c r="N53" s="206"/>
      <c r="O53" s="206"/>
    </row>
    <row r="54" spans="6:32" x14ac:dyDescent="0.2">
      <c r="L54" s="205"/>
      <c r="M54" s="147"/>
    </row>
    <row r="55" spans="6:32" x14ac:dyDescent="0.2">
      <c r="L55" s="205"/>
      <c r="M55" s="147"/>
      <c r="N55" s="147"/>
      <c r="O55" s="147"/>
    </row>
    <row r="56" spans="6:32" x14ac:dyDescent="0.2">
      <c r="L56" s="205"/>
      <c r="M56" s="147"/>
      <c r="N56" s="147"/>
      <c r="O56" s="147"/>
    </row>
    <row r="57" spans="6:32" x14ac:dyDescent="0.2">
      <c r="L57" s="205"/>
      <c r="M57" s="147"/>
      <c r="N57" s="147"/>
      <c r="O57" s="147"/>
    </row>
    <row r="58" spans="6:32" x14ac:dyDescent="0.2">
      <c r="L58" s="205"/>
      <c r="M58" s="147"/>
      <c r="N58" s="147"/>
      <c r="O58" s="147"/>
    </row>
    <row r="59" spans="6:32" x14ac:dyDescent="0.2">
      <c r="L59" s="205"/>
      <c r="N59" s="147"/>
      <c r="O59" s="147"/>
    </row>
    <row r="60" spans="6:32" x14ac:dyDescent="0.2">
      <c r="L60" s="204"/>
      <c r="N60" s="162"/>
      <c r="O60" s="162"/>
    </row>
    <row r="72" spans="2:38" s="198" customFormat="1" x14ac:dyDescent="0.2">
      <c r="B72" s="71"/>
      <c r="C72" s="191"/>
      <c r="D72" s="70"/>
      <c r="E72" s="70"/>
      <c r="F72" s="70"/>
      <c r="G72" s="142" t="e">
        <f>+G49+#REF!</f>
        <v>#REF!</v>
      </c>
      <c r="P72" s="71"/>
      <c r="Q72" s="71"/>
      <c r="R72" s="71"/>
      <c r="S72" s="71"/>
      <c r="T72" s="71"/>
      <c r="U72" s="71"/>
      <c r="V72" s="71"/>
      <c r="W72" s="71"/>
      <c r="X72" s="72"/>
      <c r="Y72" s="52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</row>
    <row r="107" spans="2:29" x14ac:dyDescent="0.2">
      <c r="B107" s="142"/>
      <c r="D107" s="83"/>
    </row>
    <row r="108" spans="2:29" x14ac:dyDescent="0.2">
      <c r="B108" s="142"/>
      <c r="D108" s="83"/>
      <c r="Q108" s="204"/>
      <c r="R108" s="204"/>
      <c r="S108" s="204"/>
      <c r="T108" s="204"/>
      <c r="U108" s="204"/>
      <c r="V108" s="204"/>
      <c r="W108" s="204"/>
      <c r="X108" s="204"/>
      <c r="Y108" s="69"/>
      <c r="Z108" s="204"/>
      <c r="AA108" s="204"/>
      <c r="AB108" s="204"/>
      <c r="AC108" s="204"/>
    </row>
    <row r="109" spans="2:29" x14ac:dyDescent="0.2">
      <c r="Q109" s="204"/>
      <c r="R109" s="204"/>
      <c r="S109" s="204"/>
      <c r="T109" s="204"/>
      <c r="U109" s="204"/>
      <c r="V109" s="204"/>
      <c r="W109" s="204"/>
      <c r="X109" s="204"/>
      <c r="Y109" s="69"/>
      <c r="Z109" s="204"/>
      <c r="AA109" s="204"/>
      <c r="AB109" s="204"/>
      <c r="AC109" s="204"/>
    </row>
    <row r="110" spans="2:29" x14ac:dyDescent="0.2">
      <c r="D110" s="83"/>
    </row>
    <row r="111" spans="2:29" x14ac:dyDescent="0.2">
      <c r="D111" s="83"/>
    </row>
  </sheetData>
  <mergeCells count="12">
    <mergeCell ref="L5:P5"/>
    <mergeCell ref="W25:X25"/>
    <mergeCell ref="W26:X26"/>
    <mergeCell ref="W27:X27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FE689-5F3D-47B3-A51C-09F4E677C114}">
  <dimension ref="B1:AG75"/>
  <sheetViews>
    <sheetView showGridLines="0" topLeftCell="A31" zoomScaleNormal="100" zoomScaleSheetLayoutView="100" workbookViewId="0">
      <selection activeCell="H12" sqref="H12"/>
    </sheetView>
  </sheetViews>
  <sheetFormatPr defaultColWidth="9.140625" defaultRowHeight="14.1" customHeight="1" x14ac:dyDescent="0.2"/>
  <cols>
    <col min="1" max="1" width="1.7109375" style="89" customWidth="1"/>
    <col min="2" max="2" width="3.42578125" style="86" customWidth="1"/>
    <col min="3" max="3" width="5.5703125" style="86" customWidth="1"/>
    <col min="4" max="4" width="6.42578125" style="86" customWidth="1"/>
    <col min="5" max="5" width="8.85546875" style="51" customWidth="1"/>
    <col min="6" max="6" width="29.42578125" style="89" customWidth="1"/>
    <col min="7" max="7" width="12.140625" style="89" bestFit="1" customWidth="1"/>
    <col min="8" max="8" width="15" style="88" customWidth="1"/>
    <col min="9" max="9" width="2.7109375" style="89" customWidth="1"/>
    <col min="10" max="10" width="13" style="89" customWidth="1"/>
    <col min="11" max="11" width="16.85546875" style="88" bestFit="1" customWidth="1"/>
    <col min="12" max="12" width="2.7109375" style="89" customWidth="1"/>
    <col min="13" max="13" width="15.85546875" style="89" customWidth="1"/>
    <col min="14" max="14" width="15.7109375" style="88" customWidth="1"/>
    <col min="15" max="15" width="3" style="89" customWidth="1"/>
    <col min="16" max="16" width="12.85546875" style="89" bestFit="1" customWidth="1"/>
    <col min="17" max="17" width="17.42578125" style="89" customWidth="1"/>
    <col min="18" max="18" width="3.7109375" style="89" customWidth="1"/>
    <col min="19" max="19" width="12.85546875" style="89" bestFit="1" customWidth="1"/>
    <col min="20" max="20" width="16.85546875" style="89" customWidth="1"/>
    <col min="21" max="21" width="3.5703125" style="89" customWidth="1"/>
    <col min="22" max="22" width="9.5703125" style="89" bestFit="1" customWidth="1"/>
    <col min="23" max="23" width="16" style="89" bestFit="1" customWidth="1"/>
    <col min="24" max="24" width="1.7109375" style="89" hidden="1" customWidth="1"/>
    <col min="25" max="25" width="10.85546875" style="89" bestFit="1" customWidth="1"/>
    <col min="26" max="26" width="14.7109375" style="89" bestFit="1" customWidth="1"/>
    <col min="27" max="27" width="1.7109375" style="89" hidden="1" customWidth="1"/>
    <col min="28" max="29" width="15.7109375" style="89" hidden="1" customWidth="1"/>
    <col min="30" max="30" width="2.140625" style="89" customWidth="1"/>
    <col min="31" max="31" width="13.85546875" style="89" customWidth="1"/>
    <col min="32" max="32" width="10.7109375" style="89" bestFit="1" customWidth="1"/>
    <col min="33" max="33" width="13.7109375" style="89" bestFit="1" customWidth="1"/>
    <col min="34" max="16384" width="9.140625" style="89"/>
  </cols>
  <sheetData>
    <row r="1" spans="2:33" s="89" customFormat="1" ht="17.45" customHeight="1" x14ac:dyDescent="0.2">
      <c r="B1" s="85" t="s">
        <v>134</v>
      </c>
      <c r="C1" s="86"/>
      <c r="D1" s="163"/>
      <c r="E1" s="163"/>
      <c r="F1" s="163"/>
      <c r="G1" s="87"/>
      <c r="H1" s="88"/>
      <c r="K1" s="140"/>
      <c r="N1" s="88"/>
      <c r="Q1" s="88"/>
      <c r="V1" s="141">
        <f>B2-31</f>
        <v>44098</v>
      </c>
      <c r="W1" s="141"/>
      <c r="X1" s="141"/>
      <c r="Y1" s="141"/>
      <c r="Z1" s="141"/>
    </row>
    <row r="2" spans="2:33" s="89" customFormat="1" ht="15" customHeight="1" x14ac:dyDescent="0.25">
      <c r="B2" s="164">
        <v>44129</v>
      </c>
      <c r="C2" s="164"/>
      <c r="D2" s="164"/>
      <c r="E2" s="164"/>
      <c r="H2" s="88"/>
      <c r="J2" s="90" t="s">
        <v>135</v>
      </c>
      <c r="K2" s="90"/>
      <c r="L2" s="90"/>
      <c r="M2" s="90"/>
      <c r="N2" s="90"/>
      <c r="P2" s="93" t="s">
        <v>136</v>
      </c>
      <c r="Q2" s="93"/>
      <c r="R2" s="93"/>
      <c r="S2" s="93"/>
      <c r="T2" s="93"/>
      <c r="V2" s="93" t="s">
        <v>137</v>
      </c>
      <c r="W2" s="93"/>
      <c r="X2" s="93"/>
      <c r="Y2" s="93"/>
      <c r="Z2" s="93"/>
    </row>
    <row r="3" spans="2:33" s="89" customFormat="1" ht="15" x14ac:dyDescent="0.2">
      <c r="B3" s="86"/>
      <c r="C3" s="86"/>
      <c r="D3" s="86"/>
      <c r="E3" s="51"/>
      <c r="H3" s="88"/>
      <c r="K3" s="140"/>
      <c r="N3" s="88"/>
      <c r="U3" s="142"/>
      <c r="V3" s="141">
        <f>B2</f>
        <v>44129</v>
      </c>
      <c r="W3" s="141"/>
      <c r="X3" s="141"/>
      <c r="Y3" s="141"/>
      <c r="Z3" s="141"/>
      <c r="AB3" s="165" t="s">
        <v>138</v>
      </c>
      <c r="AC3" s="165"/>
      <c r="AD3" s="166"/>
    </row>
    <row r="4" spans="2:33" s="89" customFormat="1" ht="16.5" customHeight="1" x14ac:dyDescent="0.2">
      <c r="B4" s="91"/>
      <c r="C4" s="91"/>
      <c r="D4" s="91"/>
      <c r="E4" s="167"/>
      <c r="F4" s="92"/>
      <c r="G4" s="93" t="s">
        <v>10</v>
      </c>
      <c r="H4" s="93"/>
      <c r="J4" s="94" t="s">
        <v>139</v>
      </c>
      <c r="K4" s="94"/>
      <c r="L4" s="95"/>
      <c r="M4" s="94" t="s">
        <v>140</v>
      </c>
      <c r="N4" s="94"/>
      <c r="O4" s="66"/>
      <c r="P4" s="94" t="s">
        <v>139</v>
      </c>
      <c r="Q4" s="94"/>
      <c r="R4" s="95"/>
      <c r="S4" s="94" t="s">
        <v>140</v>
      </c>
      <c r="T4" s="94"/>
      <c r="U4" s="66"/>
      <c r="V4" s="94" t="s">
        <v>139</v>
      </c>
      <c r="W4" s="94"/>
      <c r="X4" s="95"/>
      <c r="Y4" s="94" t="s">
        <v>140</v>
      </c>
      <c r="Z4" s="94"/>
      <c r="AB4" s="166" t="s">
        <v>2</v>
      </c>
      <c r="AC4" s="166" t="s">
        <v>8</v>
      </c>
      <c r="AD4" s="166"/>
    </row>
    <row r="5" spans="2:33" s="142" customFormat="1" ht="17.25" customHeight="1" x14ac:dyDescent="0.2">
      <c r="B5" s="168" t="s">
        <v>141</v>
      </c>
      <c r="C5" s="168"/>
      <c r="D5" s="168"/>
      <c r="E5" s="168"/>
      <c r="F5" s="143"/>
      <c r="G5" s="96" t="s">
        <v>35</v>
      </c>
      <c r="H5" s="97" t="s">
        <v>142</v>
      </c>
      <c r="I5" s="66"/>
      <c r="J5" s="98" t="s">
        <v>35</v>
      </c>
      <c r="K5" s="99" t="s">
        <v>142</v>
      </c>
      <c r="L5" s="98"/>
      <c r="M5" s="98" t="s">
        <v>35</v>
      </c>
      <c r="N5" s="99" t="s">
        <v>142</v>
      </c>
      <c r="O5" s="66"/>
      <c r="P5" s="96" t="s">
        <v>35</v>
      </c>
      <c r="Q5" s="97" t="s">
        <v>142</v>
      </c>
      <c r="R5" s="98"/>
      <c r="S5" s="98" t="s">
        <v>35</v>
      </c>
      <c r="T5" s="99" t="s">
        <v>142</v>
      </c>
      <c r="U5" s="66"/>
      <c r="V5" s="98" t="s">
        <v>143</v>
      </c>
      <c r="W5" s="99" t="s">
        <v>142</v>
      </c>
      <c r="X5" s="98"/>
      <c r="Y5" s="98" t="s">
        <v>143</v>
      </c>
      <c r="Z5" s="99" t="s">
        <v>142</v>
      </c>
      <c r="AB5" s="100" t="s">
        <v>142</v>
      </c>
      <c r="AC5" s="100" t="s">
        <v>142</v>
      </c>
      <c r="AD5" s="100"/>
    </row>
    <row r="6" spans="2:33" s="89" customFormat="1" ht="14.25" customHeight="1" x14ac:dyDescent="0.2">
      <c r="B6" s="144" t="s">
        <v>144</v>
      </c>
      <c r="C6" s="145">
        <v>6011</v>
      </c>
      <c r="D6" s="145">
        <v>28040</v>
      </c>
      <c r="E6" s="169">
        <v>671010</v>
      </c>
      <c r="F6" s="66" t="s">
        <v>145</v>
      </c>
      <c r="G6" s="146" t="s">
        <v>146</v>
      </c>
      <c r="H6" s="147">
        <f>K6+N6</f>
        <v>0</v>
      </c>
      <c r="J6" s="148"/>
      <c r="K6" s="147">
        <f>+Q6+W6</f>
        <v>0</v>
      </c>
      <c r="L6" s="149" t="s">
        <v>147</v>
      </c>
      <c r="M6" s="148"/>
      <c r="N6" s="147">
        <f>+T6+Z6</f>
        <v>0</v>
      </c>
      <c r="O6" s="101" t="s">
        <v>147</v>
      </c>
      <c r="P6" s="148"/>
      <c r="Q6" s="126"/>
      <c r="R6" s="142"/>
      <c r="S6" s="148"/>
      <c r="T6" s="126"/>
      <c r="V6" s="102"/>
      <c r="W6" s="126"/>
      <c r="Y6" s="87"/>
      <c r="Z6" s="126"/>
      <c r="AE6" s="170">
        <v>671010</v>
      </c>
    </row>
    <row r="7" spans="2:33" s="89" customFormat="1" ht="14.25" customHeight="1" x14ac:dyDescent="0.2">
      <c r="B7" s="144" t="s">
        <v>144</v>
      </c>
      <c r="C7" s="145">
        <v>6011</v>
      </c>
      <c r="D7" s="145">
        <v>28040</v>
      </c>
      <c r="E7" s="169">
        <v>671030</v>
      </c>
      <c r="F7" s="66" t="s">
        <v>148</v>
      </c>
      <c r="G7" s="146" t="s">
        <v>146</v>
      </c>
      <c r="H7" s="147">
        <f t="shared" ref="H7:H13" si="0">+K7+N7</f>
        <v>381112.56</v>
      </c>
      <c r="J7" s="148"/>
      <c r="K7" s="147">
        <f>+Q7+W7</f>
        <v>232280.1</v>
      </c>
      <c r="L7" s="149" t="s">
        <v>147</v>
      </c>
      <c r="M7" s="148"/>
      <c r="N7" s="147">
        <f>+T7+Z7</f>
        <v>148832.46</v>
      </c>
      <c r="O7" s="101" t="s">
        <v>147</v>
      </c>
      <c r="P7" s="148"/>
      <c r="Q7" s="126">
        <v>231117.64</v>
      </c>
      <c r="R7" s="142"/>
      <c r="S7" s="148"/>
      <c r="T7" s="126">
        <v>148808.26999999999</v>
      </c>
      <c r="V7" s="102"/>
      <c r="W7" s="126">
        <v>1162.46</v>
      </c>
      <c r="Y7" s="87"/>
      <c r="Z7" s="126">
        <v>24.19</v>
      </c>
      <c r="AE7" s="170">
        <v>671030</v>
      </c>
    </row>
    <row r="8" spans="2:33" s="89" customFormat="1" ht="14.25" customHeight="1" x14ac:dyDescent="0.2">
      <c r="B8" s="144" t="s">
        <v>144</v>
      </c>
      <c r="C8" s="145">
        <v>6011</v>
      </c>
      <c r="D8" s="145">
        <v>28040</v>
      </c>
      <c r="E8" s="169">
        <v>671050</v>
      </c>
      <c r="F8" s="66" t="s">
        <v>149</v>
      </c>
      <c r="G8" s="142">
        <f t="shared" ref="G8:G14" si="1">+J8+M8</f>
        <v>22020980</v>
      </c>
      <c r="H8" s="147">
        <f t="shared" si="0"/>
        <v>4874901.5199999996</v>
      </c>
      <c r="J8" s="142">
        <f>+P8+V8</f>
        <v>18074164</v>
      </c>
      <c r="K8" s="147">
        <f>+Q8+W8</f>
        <v>4136325.79</v>
      </c>
      <c r="L8" s="149" t="s">
        <v>150</v>
      </c>
      <c r="M8" s="142">
        <f>+S8+Y8</f>
        <v>3946816</v>
      </c>
      <c r="N8" s="147">
        <f>+T8+Z8</f>
        <v>738575.73</v>
      </c>
      <c r="O8" s="101" t="s">
        <v>150</v>
      </c>
      <c r="P8" s="66">
        <v>18038432</v>
      </c>
      <c r="Q8" s="126">
        <f>4116258.9+12000</f>
        <v>4128258.9</v>
      </c>
      <c r="R8" s="142"/>
      <c r="S8" s="66">
        <v>3982358</v>
      </c>
      <c r="T8" s="126">
        <v>746605.57</v>
      </c>
      <c r="V8" s="102">
        <v>35732</v>
      </c>
      <c r="W8" s="126">
        <v>8066.89</v>
      </c>
      <c r="Y8" s="171">
        <v>-35542</v>
      </c>
      <c r="Z8" s="126">
        <v>-8029.84</v>
      </c>
      <c r="AB8" s="111">
        <v>0</v>
      </c>
      <c r="AC8" s="111">
        <v>0</v>
      </c>
      <c r="AE8" s="169">
        <v>671050</v>
      </c>
    </row>
    <row r="9" spans="2:33" s="89" customFormat="1" ht="14.25" customHeight="1" x14ac:dyDescent="0.2">
      <c r="B9" s="144" t="s">
        <v>144</v>
      </c>
      <c r="C9" s="145">
        <v>6011</v>
      </c>
      <c r="D9" s="145">
        <v>28040</v>
      </c>
      <c r="E9" s="169">
        <v>671051</v>
      </c>
      <c r="F9" s="66" t="s">
        <v>151</v>
      </c>
      <c r="G9" s="146" t="s">
        <v>146</v>
      </c>
      <c r="H9" s="147">
        <f t="shared" si="0"/>
        <v>-113150</v>
      </c>
      <c r="J9" s="148"/>
      <c r="K9" s="147">
        <f t="shared" ref="J9:K14" si="2">+Q9+W9</f>
        <v>-84496.91</v>
      </c>
      <c r="L9" s="149" t="s">
        <v>150</v>
      </c>
      <c r="M9" s="150"/>
      <c r="N9" s="147">
        <f>+T9+Z9</f>
        <v>-28653.09</v>
      </c>
      <c r="O9" s="101" t="s">
        <v>150</v>
      </c>
      <c r="P9" s="148"/>
      <c r="Q9" s="126">
        <v>-84496.91</v>
      </c>
      <c r="R9" s="142"/>
      <c r="S9" s="148"/>
      <c r="T9" s="126">
        <v>-28653.09</v>
      </c>
      <c r="V9" s="172"/>
      <c r="W9" s="126"/>
      <c r="X9" s="87"/>
      <c r="Y9" s="87"/>
      <c r="Z9" s="126"/>
      <c r="AE9" s="169">
        <v>671051</v>
      </c>
    </row>
    <row r="10" spans="2:33" s="89" customFormat="1" ht="14.25" customHeight="1" x14ac:dyDescent="0.2">
      <c r="B10" s="144" t="s">
        <v>144</v>
      </c>
      <c r="C10" s="145">
        <v>6011</v>
      </c>
      <c r="D10" s="145">
        <v>28040</v>
      </c>
      <c r="E10" s="169">
        <v>671070</v>
      </c>
      <c r="F10" s="66" t="s">
        <v>152</v>
      </c>
      <c r="G10" s="142">
        <f t="shared" si="1"/>
        <v>-576020</v>
      </c>
      <c r="H10" s="147">
        <f>+K10+N10</f>
        <v>-112928.46</v>
      </c>
      <c r="J10" s="142">
        <f t="shared" si="2"/>
        <v>-418179</v>
      </c>
      <c r="K10" s="147">
        <f t="shared" si="2"/>
        <v>-81649.25</v>
      </c>
      <c r="L10" s="149" t="s">
        <v>150</v>
      </c>
      <c r="M10" s="142">
        <f>+S10+Y10</f>
        <v>-157841</v>
      </c>
      <c r="N10" s="147">
        <f>+T10+Z10</f>
        <v>-31279.210000000006</v>
      </c>
      <c r="O10" s="103" t="s">
        <v>150</v>
      </c>
      <c r="P10" s="66">
        <f>845459-1263638</f>
        <v>-418179</v>
      </c>
      <c r="Q10" s="126">
        <f>189374.36-271023.61</f>
        <v>-81649.25</v>
      </c>
      <c r="R10" s="142"/>
      <c r="S10" s="66">
        <f>270661-428502</f>
        <v>-157841</v>
      </c>
      <c r="T10" s="126">
        <f>60625.36-91904.57</f>
        <v>-31279.210000000006</v>
      </c>
      <c r="V10" s="172"/>
      <c r="W10" s="126"/>
      <c r="X10" s="87">
        <v>0</v>
      </c>
      <c r="Y10" s="87"/>
      <c r="Z10" s="126"/>
      <c r="AE10" s="169">
        <v>671070</v>
      </c>
    </row>
    <row r="11" spans="2:33" s="89" customFormat="1" ht="14.25" customHeight="1" x14ac:dyDescent="0.2">
      <c r="B11" s="144" t="s">
        <v>144</v>
      </c>
      <c r="C11" s="145">
        <v>6011</v>
      </c>
      <c r="D11" s="145">
        <v>28081</v>
      </c>
      <c r="E11" s="169">
        <v>671050</v>
      </c>
      <c r="F11" s="66" t="s">
        <v>153</v>
      </c>
      <c r="G11" s="142">
        <f t="shared" si="1"/>
        <v>2130992</v>
      </c>
      <c r="H11" s="147">
        <f t="shared" si="0"/>
        <v>402860.59</v>
      </c>
      <c r="J11" s="142">
        <f t="shared" si="2"/>
        <v>1877191</v>
      </c>
      <c r="K11" s="147">
        <f t="shared" si="2"/>
        <v>354879.89</v>
      </c>
      <c r="L11" s="149" t="s">
        <v>150</v>
      </c>
      <c r="M11" s="142">
        <f t="shared" ref="M11:N14" si="3">+S11+Y11</f>
        <v>253801</v>
      </c>
      <c r="N11" s="147">
        <f t="shared" si="3"/>
        <v>47980.7</v>
      </c>
      <c r="O11" s="101" t="s">
        <v>150</v>
      </c>
      <c r="P11" s="66">
        <v>1877191</v>
      </c>
      <c r="Q11" s="126">
        <v>354879.89</v>
      </c>
      <c r="R11" s="101">
        <v>-1</v>
      </c>
      <c r="S11" s="66">
        <v>253801</v>
      </c>
      <c r="T11" s="126">
        <v>47980.7</v>
      </c>
      <c r="U11" s="104">
        <v>-4</v>
      </c>
      <c r="V11" s="172"/>
      <c r="W11" s="126"/>
      <c r="X11" s="87"/>
      <c r="Y11" s="87"/>
      <c r="Z11" s="126"/>
      <c r="AE11" s="169">
        <v>671050</v>
      </c>
    </row>
    <row r="12" spans="2:33" s="89" customFormat="1" ht="14.25" customHeight="1" x14ac:dyDescent="0.2">
      <c r="B12" s="144" t="s">
        <v>144</v>
      </c>
      <c r="C12" s="145">
        <v>6011</v>
      </c>
      <c r="D12" s="145">
        <v>28082</v>
      </c>
      <c r="E12" s="169">
        <v>671050</v>
      </c>
      <c r="F12" s="66" t="s">
        <v>154</v>
      </c>
      <c r="G12" s="142">
        <f t="shared" si="1"/>
        <v>-49880</v>
      </c>
      <c r="H12" s="147">
        <f t="shared" si="0"/>
        <v>-44372.25</v>
      </c>
      <c r="J12" s="142">
        <f t="shared" si="2"/>
        <v>-49880</v>
      </c>
      <c r="K12" s="147">
        <f t="shared" si="2"/>
        <v>-44372.25</v>
      </c>
      <c r="L12" s="149" t="s">
        <v>150</v>
      </c>
      <c r="M12" s="142">
        <f t="shared" si="3"/>
        <v>0</v>
      </c>
      <c r="N12" s="147">
        <f t="shared" si="3"/>
        <v>0</v>
      </c>
      <c r="O12" s="101" t="s">
        <v>150</v>
      </c>
      <c r="P12" s="66">
        <v>-49880</v>
      </c>
      <c r="Q12" s="126">
        <v>-44372.25</v>
      </c>
      <c r="R12" s="101">
        <v>-2</v>
      </c>
      <c r="S12" s="128"/>
      <c r="T12" s="126"/>
      <c r="U12" s="104"/>
      <c r="V12" s="102"/>
      <c r="W12" s="126"/>
      <c r="X12" s="87"/>
      <c r="Y12" s="87"/>
      <c r="Z12" s="126"/>
      <c r="AE12" s="169">
        <v>671050</v>
      </c>
      <c r="AG12" s="66"/>
    </row>
    <row r="13" spans="2:33" s="89" customFormat="1" ht="14.25" customHeight="1" x14ac:dyDescent="0.2">
      <c r="B13" s="144" t="s">
        <v>144</v>
      </c>
      <c r="C13" s="145">
        <v>6011</v>
      </c>
      <c r="D13" s="145">
        <v>28120</v>
      </c>
      <c r="E13" s="169">
        <v>671070</v>
      </c>
      <c r="F13" s="66" t="s">
        <v>155</v>
      </c>
      <c r="G13" s="142">
        <f t="shared" si="1"/>
        <v>-24433</v>
      </c>
      <c r="H13" s="147">
        <f t="shared" si="0"/>
        <v>-5750.1</v>
      </c>
      <c r="J13" s="142">
        <f t="shared" si="2"/>
        <v>-20782</v>
      </c>
      <c r="K13" s="147">
        <f>+Q13+W13</f>
        <v>-5093.83</v>
      </c>
      <c r="L13" s="149" t="s">
        <v>150</v>
      </c>
      <c r="M13" s="142">
        <f t="shared" si="3"/>
        <v>-3651</v>
      </c>
      <c r="N13" s="147">
        <f t="shared" si="3"/>
        <v>-656.27</v>
      </c>
      <c r="O13" s="101" t="s">
        <v>150</v>
      </c>
      <c r="P13" s="66">
        <v>-20782</v>
      </c>
      <c r="Q13" s="126">
        <v>-5093.83</v>
      </c>
      <c r="R13" s="101">
        <v>-3</v>
      </c>
      <c r="S13" s="66">
        <v>-3651</v>
      </c>
      <c r="T13" s="126">
        <v>-656.27</v>
      </c>
      <c r="U13" s="104">
        <v>-5</v>
      </c>
      <c r="V13" s="172"/>
      <c r="W13" s="126"/>
      <c r="X13" s="87"/>
      <c r="Y13" s="87">
        <v>0</v>
      </c>
      <c r="Z13" s="126"/>
      <c r="AE13" s="169">
        <v>671070</v>
      </c>
    </row>
    <row r="14" spans="2:33" s="89" customFormat="1" ht="14.25" customHeight="1" x14ac:dyDescent="0.2">
      <c r="B14" s="144" t="s">
        <v>144</v>
      </c>
      <c r="C14" s="145">
        <v>6011</v>
      </c>
      <c r="D14" s="145">
        <v>28040</v>
      </c>
      <c r="E14" s="169">
        <v>671100</v>
      </c>
      <c r="F14" s="66" t="s">
        <v>156</v>
      </c>
      <c r="G14" s="142">
        <f t="shared" si="1"/>
        <v>0</v>
      </c>
      <c r="H14" s="147">
        <f>+K14+N14</f>
        <v>0</v>
      </c>
      <c r="J14" s="142">
        <f>+P14+V14</f>
        <v>0</v>
      </c>
      <c r="K14" s="147">
        <f t="shared" si="2"/>
        <v>0</v>
      </c>
      <c r="L14" s="149" t="s">
        <v>150</v>
      </c>
      <c r="M14" s="143">
        <f t="shared" si="3"/>
        <v>0</v>
      </c>
      <c r="N14" s="151">
        <f t="shared" si="3"/>
        <v>0</v>
      </c>
      <c r="O14" s="101" t="s">
        <v>150</v>
      </c>
      <c r="P14" s="143"/>
      <c r="Q14" s="147"/>
      <c r="R14" s="142"/>
      <c r="S14" s="143"/>
      <c r="T14" s="126"/>
      <c r="V14" s="172"/>
      <c r="W14" s="126"/>
      <c r="X14" s="87"/>
      <c r="Y14" s="87"/>
      <c r="Z14" s="152"/>
      <c r="AE14" s="169">
        <v>671100</v>
      </c>
    </row>
    <row r="15" spans="2:33" s="89" customFormat="1" ht="14.25" customHeight="1" x14ac:dyDescent="0.2">
      <c r="B15" s="144"/>
      <c r="C15" s="153"/>
      <c r="D15" s="153"/>
      <c r="E15" s="173"/>
      <c r="F15" s="105" t="s">
        <v>157</v>
      </c>
      <c r="G15" s="154">
        <f>SUM(G6:G14)</f>
        <v>23501639</v>
      </c>
      <c r="H15" s="155">
        <f>SUM(H6:H14)</f>
        <v>5382673.8599999994</v>
      </c>
      <c r="J15" s="154">
        <f>SUM(J6:J14)</f>
        <v>19462514</v>
      </c>
      <c r="K15" s="155">
        <f>SUM(K6:K14)</f>
        <v>4507873.5399999991</v>
      </c>
      <c r="L15" s="149"/>
      <c r="M15" s="142">
        <f>SUM(M6:M14)</f>
        <v>4039125</v>
      </c>
      <c r="N15" s="156">
        <f>SUM(N6:N14)</f>
        <v>874800.32</v>
      </c>
      <c r="O15" s="101"/>
      <c r="P15" s="142">
        <f>SUM(P6:P14)</f>
        <v>19426782</v>
      </c>
      <c r="Q15" s="106">
        <f>SUM(Q6:Q14)</f>
        <v>4498644.1899999995</v>
      </c>
      <c r="R15" s="142"/>
      <c r="S15" s="142">
        <f>SUM(S6:S14)</f>
        <v>4074667</v>
      </c>
      <c r="T15" s="106">
        <f>SUM(T6:T14)</f>
        <v>882805.97</v>
      </c>
      <c r="V15" s="107">
        <f>+SUM(V6:V14)</f>
        <v>35732</v>
      </c>
      <c r="W15" s="106">
        <f>SUM(W6:W14)</f>
        <v>9229.35</v>
      </c>
      <c r="X15" s="87"/>
      <c r="Y15" s="107">
        <f>SUM(Y6:Y14)</f>
        <v>-35542</v>
      </c>
      <c r="Z15" s="106">
        <f>SUM(Z6:Z14)</f>
        <v>-8005.6500000000005</v>
      </c>
      <c r="AB15" s="111">
        <f>SUM(AB6:AB14)</f>
        <v>0</v>
      </c>
      <c r="AC15" s="111">
        <f>SUM(AC6:AC14)</f>
        <v>0</v>
      </c>
      <c r="AD15" s="111"/>
      <c r="AE15" s="173"/>
    </row>
    <row r="16" spans="2:33" s="89" customFormat="1" ht="14.25" customHeight="1" x14ac:dyDescent="0.2">
      <c r="B16" s="144"/>
      <c r="C16" s="153"/>
      <c r="D16" s="153"/>
      <c r="E16" s="173"/>
      <c r="F16" s="66"/>
      <c r="G16" s="154"/>
      <c r="H16" s="157"/>
      <c r="J16" s="108"/>
      <c r="K16" s="109"/>
      <c r="L16" s="87"/>
      <c r="M16" s="108"/>
      <c r="N16" s="103"/>
      <c r="O16" s="101"/>
      <c r="P16" s="154"/>
      <c r="Q16" s="147"/>
      <c r="R16" s="142"/>
      <c r="S16" s="154"/>
      <c r="T16" s="147"/>
      <c r="V16" s="172"/>
      <c r="W16" s="147"/>
      <c r="X16" s="87"/>
      <c r="Y16" s="87"/>
      <c r="Z16" s="147"/>
      <c r="AE16" s="173"/>
    </row>
    <row r="17" spans="2:33" s="89" customFormat="1" ht="14.25" customHeight="1" x14ac:dyDescent="0.2">
      <c r="B17" s="144" t="s">
        <v>144</v>
      </c>
      <c r="C17" s="145">
        <v>6011</v>
      </c>
      <c r="D17" s="145">
        <v>28040</v>
      </c>
      <c r="E17" s="169">
        <v>672010</v>
      </c>
      <c r="F17" s="66" t="s">
        <v>158</v>
      </c>
      <c r="G17" s="146"/>
      <c r="H17" s="147">
        <f>K17+N17</f>
        <v>3854609.7499999995</v>
      </c>
      <c r="J17" s="110"/>
      <c r="K17" s="147">
        <f>+Q17+W17</f>
        <v>3117085.5799999996</v>
      </c>
      <c r="L17" s="149" t="s">
        <v>147</v>
      </c>
      <c r="M17" s="148"/>
      <c r="N17" s="147">
        <f>+T17+Z17</f>
        <v>737524.17</v>
      </c>
      <c r="O17" s="101" t="s">
        <v>147</v>
      </c>
      <c r="P17" s="148"/>
      <c r="Q17" s="126">
        <f>3045532.05+71555.42</f>
        <v>3117087.4699999997</v>
      </c>
      <c r="R17" s="142"/>
      <c r="T17" s="126">
        <f>527980.93+209541.41</f>
        <v>737522.34000000008</v>
      </c>
      <c r="V17" s="101"/>
      <c r="W17" s="126">
        <v>-1.89</v>
      </c>
      <c r="X17" s="87"/>
      <c r="Y17" s="102"/>
      <c r="Z17" s="126">
        <v>1.83</v>
      </c>
      <c r="AE17" s="170">
        <v>672010</v>
      </c>
    </row>
    <row r="18" spans="2:33" s="89" customFormat="1" ht="14.25" customHeight="1" x14ac:dyDescent="0.2">
      <c r="B18" s="144" t="s">
        <v>144</v>
      </c>
      <c r="C18" s="145">
        <v>6011</v>
      </c>
      <c r="D18" s="145">
        <v>28040</v>
      </c>
      <c r="E18" s="169">
        <v>672020</v>
      </c>
      <c r="F18" s="66" t="s">
        <v>159</v>
      </c>
      <c r="G18" s="146"/>
      <c r="H18" s="147">
        <f>K18+N18</f>
        <v>64530.100000000006</v>
      </c>
      <c r="J18" s="110"/>
      <c r="K18" s="147">
        <f>+Q18+W18</f>
        <v>57174.310000000005</v>
      </c>
      <c r="L18" s="149" t="s">
        <v>150</v>
      </c>
      <c r="M18" s="148"/>
      <c r="N18" s="147">
        <f>+T18+Z18</f>
        <v>7355.79</v>
      </c>
      <c r="O18" s="101" t="s">
        <v>150</v>
      </c>
      <c r="P18" s="148"/>
      <c r="Q18" s="126">
        <v>57593.8</v>
      </c>
      <c r="R18" s="142"/>
      <c r="T18" s="126">
        <v>7475.2</v>
      </c>
      <c r="V18" s="101"/>
      <c r="W18" s="126">
        <v>-419.49</v>
      </c>
      <c r="X18" s="87"/>
      <c r="Y18" s="102"/>
      <c r="Z18" s="126">
        <v>-119.41</v>
      </c>
      <c r="AE18" s="169">
        <v>672020</v>
      </c>
      <c r="AF18" s="111"/>
    </row>
    <row r="19" spans="2:33" s="89" customFormat="1" ht="14.25" customHeight="1" x14ac:dyDescent="0.2">
      <c r="B19" s="144" t="s">
        <v>144</v>
      </c>
      <c r="C19" s="145">
        <v>6011</v>
      </c>
      <c r="D19" s="145">
        <v>28040</v>
      </c>
      <c r="E19" s="169">
        <v>672030</v>
      </c>
      <c r="F19" s="66" t="s">
        <v>160</v>
      </c>
      <c r="G19" s="146"/>
      <c r="H19" s="147">
        <f>K19+N19</f>
        <v>0</v>
      </c>
      <c r="J19" s="110"/>
      <c r="K19" s="147">
        <f>+Q19+W19</f>
        <v>0</v>
      </c>
      <c r="L19" s="149" t="s">
        <v>147</v>
      </c>
      <c r="N19" s="147">
        <f>+T19+Z19</f>
        <v>0</v>
      </c>
      <c r="O19" s="101" t="s">
        <v>147</v>
      </c>
      <c r="P19" s="148"/>
      <c r="Q19" s="126"/>
      <c r="R19" s="142"/>
      <c r="S19" s="148"/>
      <c r="T19" s="126"/>
      <c r="V19" s="101"/>
      <c r="W19" s="126"/>
      <c r="X19" s="87"/>
      <c r="Y19" s="102"/>
      <c r="Z19" s="126"/>
      <c r="AE19" s="170">
        <v>672030</v>
      </c>
      <c r="AF19" s="111"/>
    </row>
    <row r="20" spans="2:33" s="89" customFormat="1" ht="14.25" customHeight="1" x14ac:dyDescent="0.2">
      <c r="B20" s="144" t="s">
        <v>144</v>
      </c>
      <c r="C20" s="145">
        <v>6011</v>
      </c>
      <c r="D20" s="145">
        <v>28040</v>
      </c>
      <c r="E20" s="169">
        <v>672040</v>
      </c>
      <c r="F20" s="66" t="s">
        <v>161</v>
      </c>
      <c r="G20" s="146"/>
      <c r="H20" s="147">
        <f>K20+N20</f>
        <v>0</v>
      </c>
      <c r="J20" s="110"/>
      <c r="K20" s="147">
        <f>+Q20+W20</f>
        <v>0</v>
      </c>
      <c r="L20" s="149" t="s">
        <v>147</v>
      </c>
      <c r="M20" s="148"/>
      <c r="N20" s="147">
        <f>+T20+Z20</f>
        <v>0</v>
      </c>
      <c r="O20" s="101" t="s">
        <v>147</v>
      </c>
      <c r="P20" s="148"/>
      <c r="Q20" s="126"/>
      <c r="R20" s="142"/>
      <c r="S20" s="148"/>
      <c r="T20" s="126"/>
      <c r="V20" s="101"/>
      <c r="W20" s="126"/>
      <c r="X20" s="87"/>
      <c r="Y20" s="102"/>
      <c r="Z20" s="126"/>
      <c r="AE20" s="170">
        <v>672040</v>
      </c>
      <c r="AF20" s="111"/>
      <c r="AG20" s="111"/>
    </row>
    <row r="21" spans="2:33" s="89" customFormat="1" ht="14.25" customHeight="1" x14ac:dyDescent="0.2">
      <c r="B21" s="144" t="s">
        <v>144</v>
      </c>
      <c r="C21" s="145">
        <v>6011</v>
      </c>
      <c r="D21" s="145">
        <v>28040</v>
      </c>
      <c r="E21" s="169">
        <v>672050</v>
      </c>
      <c r="F21" s="66" t="s">
        <v>162</v>
      </c>
      <c r="G21" s="146"/>
      <c r="H21" s="147">
        <f>K21+N21</f>
        <v>0</v>
      </c>
      <c r="J21" s="112"/>
      <c r="K21" s="147">
        <f>+Q21+W21</f>
        <v>0</v>
      </c>
      <c r="L21" s="149" t="s">
        <v>147</v>
      </c>
      <c r="M21" s="148"/>
      <c r="N21" s="151">
        <f>+T21+Z21</f>
        <v>0</v>
      </c>
      <c r="O21" s="101" t="s">
        <v>147</v>
      </c>
      <c r="P21" s="148"/>
      <c r="Q21" s="126"/>
      <c r="R21" s="146"/>
      <c r="S21" s="158"/>
      <c r="T21" s="152"/>
      <c r="V21" s="101"/>
      <c r="W21" s="126"/>
      <c r="X21" s="87"/>
      <c r="Y21" s="102"/>
      <c r="Z21" s="126"/>
      <c r="AE21" s="170">
        <v>672050</v>
      </c>
      <c r="AF21" s="111"/>
      <c r="AG21" s="111"/>
    </row>
    <row r="22" spans="2:33" s="89" customFormat="1" ht="14.25" customHeight="1" x14ac:dyDescent="0.2">
      <c r="B22" s="144"/>
      <c r="C22" s="153"/>
      <c r="D22" s="153"/>
      <c r="E22" s="173"/>
      <c r="F22" s="113" t="s">
        <v>163</v>
      </c>
      <c r="G22" s="159"/>
      <c r="H22" s="156">
        <f>SUM(H17:H21)</f>
        <v>3919139.8499999996</v>
      </c>
      <c r="J22" s="114"/>
      <c r="K22" s="156">
        <f>SUM(K17:K21)</f>
        <v>3174259.8899999997</v>
      </c>
      <c r="L22" s="149"/>
      <c r="M22" s="160"/>
      <c r="N22" s="156">
        <f>SUM(N17:N21)</f>
        <v>744879.96000000008</v>
      </c>
      <c r="O22" s="101"/>
      <c r="P22" s="154"/>
      <c r="Q22" s="106">
        <f>SUM(Q17:Q21)</f>
        <v>3174681.2699999996</v>
      </c>
      <c r="R22" s="149"/>
      <c r="S22" s="159"/>
      <c r="T22" s="106">
        <f>SUM(T17:T21)</f>
        <v>744997.54</v>
      </c>
      <c r="V22" s="101"/>
      <c r="W22" s="174">
        <f>SUM(W17:W21)</f>
        <v>-421.38</v>
      </c>
      <c r="X22" s="87"/>
      <c r="Y22" s="102"/>
      <c r="Z22" s="106">
        <f>SUM(Z17:Z21)</f>
        <v>-117.58</v>
      </c>
      <c r="AB22" s="111">
        <f>SUM(AB17:AB21)</f>
        <v>0</v>
      </c>
      <c r="AC22" s="111">
        <f>SUM(AC17:AC21)</f>
        <v>0</v>
      </c>
      <c r="AD22" s="111"/>
      <c r="AE22" s="173"/>
    </row>
    <row r="23" spans="2:33" s="89" customFormat="1" ht="14.25" customHeight="1" x14ac:dyDescent="0.2">
      <c r="B23" s="144"/>
      <c r="C23" s="153"/>
      <c r="D23" s="153"/>
      <c r="E23" s="173"/>
      <c r="F23" s="113"/>
      <c r="G23" s="142"/>
      <c r="H23" s="157"/>
      <c r="J23" s="110"/>
      <c r="K23" s="103"/>
      <c r="L23" s="87"/>
      <c r="M23" s="115"/>
      <c r="N23" s="103"/>
      <c r="O23" s="101"/>
      <c r="P23" s="154"/>
      <c r="Q23" s="147"/>
      <c r="R23" s="142"/>
      <c r="S23" s="142"/>
      <c r="T23" s="147"/>
      <c r="W23" s="155"/>
      <c r="X23" s="87"/>
      <c r="Y23" s="102"/>
      <c r="Z23" s="147"/>
      <c r="AE23" s="173"/>
    </row>
    <row r="24" spans="2:33" s="89" customFormat="1" ht="14.25" customHeight="1" x14ac:dyDescent="0.2">
      <c r="B24" s="144" t="s">
        <v>144</v>
      </c>
      <c r="C24" s="145">
        <v>6011</v>
      </c>
      <c r="D24" s="145">
        <v>28040</v>
      </c>
      <c r="E24" s="169">
        <v>673020</v>
      </c>
      <c r="F24" s="66" t="s">
        <v>164</v>
      </c>
      <c r="G24" s="146"/>
      <c r="H24" s="147">
        <f>K24+N24</f>
        <v>180099.59000000003</v>
      </c>
      <c r="J24" s="110"/>
      <c r="K24" s="147">
        <f t="shared" ref="K24:K37" si="4">+Q24+W24</f>
        <v>161200.89000000001</v>
      </c>
      <c r="L24" s="149" t="s">
        <v>147</v>
      </c>
      <c r="M24" s="148"/>
      <c r="N24" s="147">
        <f t="shared" ref="N24:N33" si="5">+T24+Z24</f>
        <v>18898.7</v>
      </c>
      <c r="O24" s="101" t="s">
        <v>147</v>
      </c>
      <c r="P24" s="148"/>
      <c r="Q24" s="126">
        <v>161200.89000000001</v>
      </c>
      <c r="R24" s="142"/>
      <c r="S24" s="148"/>
      <c r="T24" s="126">
        <v>18898.7</v>
      </c>
      <c r="V24" s="101"/>
      <c r="W24" s="126"/>
      <c r="X24" s="116"/>
      <c r="Y24" s="116"/>
      <c r="Z24" s="126"/>
      <c r="AE24" s="170">
        <v>673020</v>
      </c>
    </row>
    <row r="25" spans="2:33" s="89" customFormat="1" ht="14.25" customHeight="1" x14ac:dyDescent="0.2">
      <c r="B25" s="144" t="s">
        <v>144</v>
      </c>
      <c r="C25" s="145">
        <v>6011</v>
      </c>
      <c r="D25" s="145">
        <v>28040</v>
      </c>
      <c r="E25" s="169">
        <v>673030</v>
      </c>
      <c r="F25" s="66" t="s">
        <v>165</v>
      </c>
      <c r="G25" s="146"/>
      <c r="H25" s="147">
        <f t="shared" ref="H25:H37" si="6">K25+N25</f>
        <v>173055</v>
      </c>
      <c r="J25" s="110"/>
      <c r="K25" s="147">
        <f t="shared" si="4"/>
        <v>152444.15</v>
      </c>
      <c r="L25" s="149" t="s">
        <v>147</v>
      </c>
      <c r="M25" s="148"/>
      <c r="N25" s="147">
        <f t="shared" si="5"/>
        <v>20610.849999999999</v>
      </c>
      <c r="O25" s="101" t="s">
        <v>147</v>
      </c>
      <c r="P25" s="148"/>
      <c r="Q25" s="126">
        <v>152444.15</v>
      </c>
      <c r="R25" s="142"/>
      <c r="S25" s="148"/>
      <c r="T25" s="126">
        <v>20610.849999999999</v>
      </c>
      <c r="V25" s="101"/>
      <c r="W25" s="126"/>
      <c r="X25" s="116"/>
      <c r="Y25" s="116"/>
      <c r="Z25" s="126"/>
      <c r="AE25" s="170">
        <v>673030</v>
      </c>
    </row>
    <row r="26" spans="2:33" s="89" customFormat="1" ht="14.25" customHeight="1" x14ac:dyDescent="0.2">
      <c r="B26" s="144" t="s">
        <v>144</v>
      </c>
      <c r="C26" s="145">
        <v>6011</v>
      </c>
      <c r="D26" s="145">
        <v>28040</v>
      </c>
      <c r="E26" s="169">
        <v>673040</v>
      </c>
      <c r="F26" s="66" t="s">
        <v>166</v>
      </c>
      <c r="G26" s="146"/>
      <c r="H26" s="147">
        <f t="shared" si="6"/>
        <v>0</v>
      </c>
      <c r="J26" s="110"/>
      <c r="K26" s="147">
        <f t="shared" si="4"/>
        <v>0</v>
      </c>
      <c r="L26" s="149" t="s">
        <v>150</v>
      </c>
      <c r="M26" s="148"/>
      <c r="N26" s="147">
        <f>+T26+Z26</f>
        <v>0</v>
      </c>
      <c r="O26" s="101" t="s">
        <v>150</v>
      </c>
      <c r="P26" s="148"/>
      <c r="Q26" s="126"/>
      <c r="R26" s="142"/>
      <c r="S26" s="148"/>
      <c r="T26" s="126"/>
      <c r="V26" s="101"/>
      <c r="W26" s="126"/>
      <c r="X26" s="116"/>
      <c r="Y26" s="116"/>
      <c r="Z26" s="126"/>
      <c r="AE26" s="169">
        <v>673040</v>
      </c>
    </row>
    <row r="27" spans="2:33" s="89" customFormat="1" ht="14.25" customHeight="1" x14ac:dyDescent="0.2">
      <c r="B27" s="144" t="s">
        <v>144</v>
      </c>
      <c r="C27" s="145">
        <v>6011</v>
      </c>
      <c r="D27" s="145">
        <v>28040</v>
      </c>
      <c r="E27" s="169">
        <v>673050</v>
      </c>
      <c r="F27" s="66" t="s">
        <v>167</v>
      </c>
      <c r="G27" s="146"/>
      <c r="H27" s="147">
        <f t="shared" si="6"/>
        <v>0</v>
      </c>
      <c r="J27" s="110"/>
      <c r="K27" s="147">
        <f t="shared" si="4"/>
        <v>0</v>
      </c>
      <c r="L27" s="149" t="s">
        <v>150</v>
      </c>
      <c r="M27" s="148"/>
      <c r="N27" s="147">
        <f t="shared" si="5"/>
        <v>0</v>
      </c>
      <c r="O27" s="101" t="s">
        <v>147</v>
      </c>
      <c r="P27" s="148"/>
      <c r="Q27" s="126"/>
      <c r="R27" s="142"/>
      <c r="S27" s="148"/>
      <c r="T27" s="126"/>
      <c r="V27" s="101"/>
      <c r="W27" s="126"/>
      <c r="X27" s="116"/>
      <c r="Y27" s="116"/>
      <c r="Z27" s="126"/>
      <c r="AE27" s="169">
        <v>673050</v>
      </c>
    </row>
    <row r="28" spans="2:33" s="89" customFormat="1" ht="14.25" customHeight="1" x14ac:dyDescent="0.2">
      <c r="B28" s="144" t="s">
        <v>144</v>
      </c>
      <c r="C28" s="145">
        <v>6011</v>
      </c>
      <c r="D28" s="145">
        <v>28040</v>
      </c>
      <c r="E28" s="169">
        <v>673060</v>
      </c>
      <c r="F28" s="66" t="s">
        <v>168</v>
      </c>
      <c r="G28" s="146"/>
      <c r="H28" s="147">
        <f t="shared" si="6"/>
        <v>0</v>
      </c>
      <c r="J28" s="110"/>
      <c r="K28" s="147">
        <f t="shared" si="4"/>
        <v>0</v>
      </c>
      <c r="L28" s="149" t="s">
        <v>150</v>
      </c>
      <c r="M28" s="148"/>
      <c r="N28" s="147">
        <f t="shared" si="5"/>
        <v>0</v>
      </c>
      <c r="O28" s="101" t="s">
        <v>147</v>
      </c>
      <c r="P28" s="148"/>
      <c r="Q28" s="126"/>
      <c r="R28" s="142"/>
      <c r="S28" s="148"/>
      <c r="T28" s="126"/>
      <c r="V28" s="101"/>
      <c r="W28" s="126"/>
      <c r="X28" s="116"/>
      <c r="Y28" s="116"/>
      <c r="Z28" s="126"/>
      <c r="AE28" s="169">
        <v>673060</v>
      </c>
    </row>
    <row r="29" spans="2:33" s="89" customFormat="1" ht="14.25" customHeight="1" x14ac:dyDescent="0.2">
      <c r="B29" s="144" t="s">
        <v>144</v>
      </c>
      <c r="C29" s="145">
        <v>6011</v>
      </c>
      <c r="D29" s="145">
        <v>28040</v>
      </c>
      <c r="E29" s="169">
        <v>673070</v>
      </c>
      <c r="F29" s="66" t="s">
        <v>169</v>
      </c>
      <c r="G29" s="146"/>
      <c r="H29" s="147">
        <f t="shared" si="6"/>
        <v>0</v>
      </c>
      <c r="J29" s="110"/>
      <c r="K29" s="147">
        <f t="shared" si="4"/>
        <v>0</v>
      </c>
      <c r="L29" s="149" t="s">
        <v>150</v>
      </c>
      <c r="M29" s="148"/>
      <c r="N29" s="147">
        <f t="shared" si="5"/>
        <v>0</v>
      </c>
      <c r="O29" s="101" t="s">
        <v>147</v>
      </c>
      <c r="P29" s="148"/>
      <c r="Q29" s="126"/>
      <c r="R29" s="142"/>
      <c r="S29" s="148"/>
      <c r="T29" s="126"/>
      <c r="V29" s="101"/>
      <c r="W29" s="126"/>
      <c r="X29" s="116"/>
      <c r="Y29" s="116"/>
      <c r="Z29" s="126"/>
      <c r="AE29" s="170">
        <v>673070</v>
      </c>
    </row>
    <row r="30" spans="2:33" s="89" customFormat="1" ht="14.25" customHeight="1" x14ac:dyDescent="0.2">
      <c r="B30" s="144" t="s">
        <v>144</v>
      </c>
      <c r="C30" s="145">
        <v>6011</v>
      </c>
      <c r="D30" s="145">
        <v>28040</v>
      </c>
      <c r="E30" s="169">
        <v>673080</v>
      </c>
      <c r="F30" s="66" t="s">
        <v>170</v>
      </c>
      <c r="G30" s="146"/>
      <c r="H30" s="147">
        <f t="shared" si="6"/>
        <v>0</v>
      </c>
      <c r="J30" s="110"/>
      <c r="K30" s="147">
        <f t="shared" si="4"/>
        <v>0</v>
      </c>
      <c r="L30" s="149" t="s">
        <v>147</v>
      </c>
      <c r="M30" s="148"/>
      <c r="N30" s="147">
        <f t="shared" si="5"/>
        <v>0</v>
      </c>
      <c r="O30" s="101" t="s">
        <v>147</v>
      </c>
      <c r="P30" s="148"/>
      <c r="Q30" s="126"/>
      <c r="R30" s="142"/>
      <c r="S30" s="148"/>
      <c r="T30" s="126"/>
      <c r="V30" s="101"/>
      <c r="W30" s="126"/>
      <c r="X30" s="116"/>
      <c r="Y30" s="116"/>
      <c r="Z30" s="126"/>
      <c r="AE30" s="170">
        <v>673080</v>
      </c>
    </row>
    <row r="31" spans="2:33" s="89" customFormat="1" ht="14.25" customHeight="1" x14ac:dyDescent="0.2">
      <c r="B31" s="144" t="s">
        <v>144</v>
      </c>
      <c r="C31" s="145">
        <v>6011</v>
      </c>
      <c r="D31" s="145">
        <v>28040</v>
      </c>
      <c r="E31" s="169">
        <v>673090</v>
      </c>
      <c r="F31" s="66" t="s">
        <v>171</v>
      </c>
      <c r="G31" s="146"/>
      <c r="H31" s="147">
        <f t="shared" si="6"/>
        <v>0</v>
      </c>
      <c r="J31" s="110"/>
      <c r="K31" s="147">
        <f t="shared" si="4"/>
        <v>0</v>
      </c>
      <c r="L31" s="149" t="s">
        <v>150</v>
      </c>
      <c r="M31" s="148"/>
      <c r="N31" s="147">
        <f>+T31+Z31</f>
        <v>0</v>
      </c>
      <c r="O31" s="101" t="s">
        <v>150</v>
      </c>
      <c r="P31" s="148"/>
      <c r="Q31" s="126"/>
      <c r="R31" s="142"/>
      <c r="S31" s="148"/>
      <c r="T31" s="126"/>
      <c r="V31" s="101"/>
      <c r="W31" s="126"/>
      <c r="X31" s="116"/>
      <c r="Y31" s="116"/>
      <c r="Z31" s="126"/>
      <c r="AE31" s="169">
        <v>673090</v>
      </c>
    </row>
    <row r="32" spans="2:33" s="89" customFormat="1" ht="14.25" customHeight="1" x14ac:dyDescent="0.2">
      <c r="B32" s="144" t="s">
        <v>144</v>
      </c>
      <c r="C32" s="145">
        <v>6011</v>
      </c>
      <c r="D32" s="145">
        <v>28040</v>
      </c>
      <c r="E32" s="169">
        <v>673120</v>
      </c>
      <c r="F32" s="66" t="s">
        <v>172</v>
      </c>
      <c r="G32" s="146"/>
      <c r="H32" s="147">
        <f t="shared" si="6"/>
        <v>166365.41999999998</v>
      </c>
      <c r="J32" s="110"/>
      <c r="K32" s="147">
        <f t="shared" si="4"/>
        <v>147371.04999999999</v>
      </c>
      <c r="L32" s="149" t="s">
        <v>147</v>
      </c>
      <c r="M32" s="148"/>
      <c r="N32" s="147">
        <f t="shared" si="5"/>
        <v>18994.37</v>
      </c>
      <c r="O32" s="101" t="s">
        <v>147</v>
      </c>
      <c r="P32" s="148"/>
      <c r="Q32" s="126">
        <v>147371</v>
      </c>
      <c r="R32" s="142"/>
      <c r="S32" s="148"/>
      <c r="T32" s="126">
        <v>18994.36</v>
      </c>
      <c r="V32" s="101"/>
      <c r="W32" s="126">
        <v>0.05</v>
      </c>
      <c r="X32" s="116"/>
      <c r="Y32" s="116"/>
      <c r="Z32" s="126">
        <v>0.01</v>
      </c>
      <c r="AE32" s="170">
        <v>673120</v>
      </c>
    </row>
    <row r="33" spans="2:32" s="89" customFormat="1" ht="14.25" customHeight="1" x14ac:dyDescent="0.2">
      <c r="B33" s="144" t="s">
        <v>144</v>
      </c>
      <c r="C33" s="145">
        <v>6011</v>
      </c>
      <c r="D33" s="145">
        <v>28040</v>
      </c>
      <c r="E33" s="169">
        <v>673130</v>
      </c>
      <c r="F33" s="66" t="s">
        <v>173</v>
      </c>
      <c r="G33" s="146"/>
      <c r="H33" s="147">
        <f t="shared" si="6"/>
        <v>0</v>
      </c>
      <c r="J33" s="110"/>
      <c r="K33" s="147">
        <f t="shared" si="4"/>
        <v>0</v>
      </c>
      <c r="L33" s="149" t="s">
        <v>147</v>
      </c>
      <c r="M33" s="148"/>
      <c r="N33" s="147">
        <f t="shared" si="5"/>
        <v>0</v>
      </c>
      <c r="O33" s="101" t="s">
        <v>147</v>
      </c>
      <c r="P33" s="148"/>
      <c r="Q33" s="126"/>
      <c r="R33" s="142"/>
      <c r="S33" s="148"/>
      <c r="T33" s="126"/>
      <c r="V33" s="101"/>
      <c r="W33" s="126"/>
      <c r="X33" s="87"/>
      <c r="Y33" s="102"/>
      <c r="Z33" s="126"/>
      <c r="AE33" s="170">
        <v>673130</v>
      </c>
    </row>
    <row r="34" spans="2:32" s="89" customFormat="1" ht="14.25" customHeight="1" x14ac:dyDescent="0.2">
      <c r="B34" s="144" t="s">
        <v>144</v>
      </c>
      <c r="C34" s="145">
        <v>6011</v>
      </c>
      <c r="D34" s="145">
        <v>28040</v>
      </c>
      <c r="E34" s="169">
        <v>673140</v>
      </c>
      <c r="F34" s="66" t="s">
        <v>174</v>
      </c>
      <c r="G34" s="146"/>
      <c r="H34" s="147">
        <f t="shared" si="6"/>
        <v>0</v>
      </c>
      <c r="J34" s="110"/>
      <c r="K34" s="147">
        <f t="shared" si="4"/>
        <v>0</v>
      </c>
      <c r="L34" s="149" t="s">
        <v>150</v>
      </c>
      <c r="M34" s="148"/>
      <c r="N34" s="147">
        <f>+T34+Z34</f>
        <v>0</v>
      </c>
      <c r="O34" s="101" t="s">
        <v>150</v>
      </c>
      <c r="P34" s="148"/>
      <c r="Q34" s="126"/>
      <c r="R34" s="142"/>
      <c r="S34" s="148"/>
      <c r="T34" s="126"/>
      <c r="V34" s="101"/>
      <c r="W34" s="126"/>
      <c r="X34" s="87"/>
      <c r="Y34" s="102"/>
      <c r="Z34" s="126"/>
      <c r="AE34" s="169">
        <v>673140</v>
      </c>
    </row>
    <row r="35" spans="2:32" s="89" customFormat="1" ht="14.25" customHeight="1" x14ac:dyDescent="0.2">
      <c r="B35" s="144" t="s">
        <v>144</v>
      </c>
      <c r="C35" s="145">
        <v>6011</v>
      </c>
      <c r="D35" s="145">
        <v>28040</v>
      </c>
      <c r="E35" s="169">
        <v>673160</v>
      </c>
      <c r="F35" s="66" t="s">
        <v>175</v>
      </c>
      <c r="G35" s="146"/>
      <c r="H35" s="147">
        <f t="shared" si="6"/>
        <v>0</v>
      </c>
      <c r="J35" s="110"/>
      <c r="K35" s="147">
        <f t="shared" si="4"/>
        <v>0</v>
      </c>
      <c r="L35" s="149" t="s">
        <v>150</v>
      </c>
      <c r="M35" s="148"/>
      <c r="N35" s="147">
        <f>+T35+Z35</f>
        <v>0</v>
      </c>
      <c r="O35" s="101" t="s">
        <v>150</v>
      </c>
      <c r="P35" s="148"/>
      <c r="Q35" s="126"/>
      <c r="R35" s="142"/>
      <c r="S35" s="148"/>
      <c r="T35" s="126"/>
      <c r="V35" s="101"/>
      <c r="W35" s="126"/>
      <c r="X35" s="87"/>
      <c r="Y35" s="102"/>
      <c r="Z35" s="126"/>
      <c r="AE35" s="169">
        <v>673160</v>
      </c>
    </row>
    <row r="36" spans="2:32" s="89" customFormat="1" ht="14.25" customHeight="1" x14ac:dyDescent="0.2">
      <c r="B36" s="144" t="s">
        <v>144</v>
      </c>
      <c r="C36" s="145">
        <v>6011</v>
      </c>
      <c r="D36" s="145">
        <v>28040</v>
      </c>
      <c r="E36" s="169">
        <v>673180</v>
      </c>
      <c r="F36" s="66" t="s">
        <v>176</v>
      </c>
      <c r="G36" s="146"/>
      <c r="H36" s="147">
        <f t="shared" si="6"/>
        <v>0</v>
      </c>
      <c r="J36" s="110"/>
      <c r="K36" s="147">
        <f>+Q36+W36</f>
        <v>0</v>
      </c>
      <c r="L36" s="149" t="s">
        <v>147</v>
      </c>
      <c r="M36" s="148"/>
      <c r="N36" s="147">
        <f>+T36+Z36</f>
        <v>0</v>
      </c>
      <c r="O36" s="101" t="s">
        <v>147</v>
      </c>
      <c r="P36" s="148"/>
      <c r="Q36" s="126"/>
      <c r="R36" s="142"/>
      <c r="S36" s="148"/>
      <c r="T36" s="126"/>
      <c r="V36" s="101"/>
      <c r="W36" s="126"/>
      <c r="X36" s="116"/>
      <c r="Y36" s="116"/>
      <c r="Z36" s="126"/>
      <c r="AE36" s="170">
        <v>673180</v>
      </c>
    </row>
    <row r="37" spans="2:32" s="89" customFormat="1" ht="14.25" customHeight="1" x14ac:dyDescent="0.2">
      <c r="B37" s="144" t="s">
        <v>144</v>
      </c>
      <c r="C37" s="145">
        <v>6011</v>
      </c>
      <c r="D37" s="145">
        <v>28040</v>
      </c>
      <c r="E37" s="169">
        <v>673190</v>
      </c>
      <c r="F37" s="117" t="s">
        <v>177</v>
      </c>
      <c r="G37" s="146"/>
      <c r="H37" s="151">
        <f t="shared" si="6"/>
        <v>0</v>
      </c>
      <c r="J37" s="110"/>
      <c r="K37" s="147">
        <f t="shared" si="4"/>
        <v>0</v>
      </c>
      <c r="L37" s="149" t="s">
        <v>150</v>
      </c>
      <c r="M37" s="158"/>
      <c r="N37" s="147">
        <f>+T37+Z37</f>
        <v>0</v>
      </c>
      <c r="O37" s="101" t="s">
        <v>150</v>
      </c>
      <c r="P37" s="158"/>
      <c r="Q37" s="126"/>
      <c r="R37" s="142"/>
      <c r="S37" s="158"/>
      <c r="T37" s="152"/>
      <c r="V37" s="118"/>
      <c r="W37" s="126"/>
      <c r="X37" s="87"/>
      <c r="Y37" s="102"/>
      <c r="Z37" s="126"/>
      <c r="AE37" s="169">
        <v>673190</v>
      </c>
    </row>
    <row r="38" spans="2:32" s="89" customFormat="1" ht="14.25" x14ac:dyDescent="0.2">
      <c r="B38" s="86"/>
      <c r="C38" s="86"/>
      <c r="D38" s="86"/>
      <c r="E38" s="51"/>
      <c r="F38" s="66" t="s">
        <v>178</v>
      </c>
      <c r="G38" s="159"/>
      <c r="H38" s="147">
        <f>SUM(H24:H37)</f>
        <v>519520.01</v>
      </c>
      <c r="J38" s="119"/>
      <c r="K38" s="156">
        <f>SUM(K24:K37)</f>
        <v>461016.09</v>
      </c>
      <c r="L38" s="149"/>
      <c r="M38" s="142"/>
      <c r="N38" s="156">
        <f>SUM(N24:N37)</f>
        <v>58503.92</v>
      </c>
      <c r="P38" s="142"/>
      <c r="Q38" s="106">
        <f>SUM(Q24:Q37)</f>
        <v>461016.04000000004</v>
      </c>
      <c r="R38" s="149"/>
      <c r="S38" s="159"/>
      <c r="T38" s="106">
        <f>SUM(T24:T37)</f>
        <v>58503.91</v>
      </c>
      <c r="W38" s="106">
        <f>SUM(W24:W37)</f>
        <v>0.05</v>
      </c>
      <c r="Y38" s="120"/>
      <c r="Z38" s="106">
        <f>SUM(Z24:Z37)</f>
        <v>0.01</v>
      </c>
      <c r="AB38" s="111">
        <f>SUM(AB24:AB37)</f>
        <v>0</v>
      </c>
      <c r="AC38" s="111">
        <f>SUM(AC24:AC37)</f>
        <v>0</v>
      </c>
      <c r="AD38" s="111"/>
    </row>
    <row r="39" spans="2:32" s="89" customFormat="1" ht="14.1" customHeight="1" x14ac:dyDescent="0.2">
      <c r="B39" s="86"/>
      <c r="C39" s="86"/>
      <c r="D39" s="86"/>
      <c r="E39" s="51"/>
      <c r="F39" s="113"/>
      <c r="G39" s="142"/>
      <c r="H39" s="161"/>
      <c r="J39" s="119"/>
      <c r="K39" s="121"/>
      <c r="L39" s="102"/>
      <c r="M39" s="119"/>
      <c r="N39" s="121"/>
      <c r="P39" s="159"/>
      <c r="Q39" s="156"/>
      <c r="R39" s="142"/>
      <c r="S39" s="159"/>
      <c r="T39" s="156"/>
      <c r="V39" s="122"/>
      <c r="W39" s="161"/>
      <c r="Z39" s="162"/>
      <c r="AB39" s="88"/>
      <c r="AC39" s="88"/>
      <c r="AD39" s="88"/>
    </row>
    <row r="40" spans="2:32" s="89" customFormat="1" ht="15.75" customHeight="1" x14ac:dyDescent="0.2">
      <c r="B40" s="86"/>
      <c r="C40" s="86"/>
      <c r="D40" s="86"/>
      <c r="E40" s="51"/>
      <c r="F40" s="123" t="s">
        <v>179</v>
      </c>
      <c r="G40" s="159">
        <f>+G38+G22+G15</f>
        <v>23501639</v>
      </c>
      <c r="H40" s="147">
        <f>+H38+H22+H15</f>
        <v>9821333.7199999988</v>
      </c>
      <c r="J40" s="123">
        <f>+J38+J22+J15</f>
        <v>19462514</v>
      </c>
      <c r="K40" s="106">
        <f>+K38+K22+K15</f>
        <v>8143149.5199999986</v>
      </c>
      <c r="L40" s="116"/>
      <c r="M40" s="123">
        <f>+M38+M22+M15</f>
        <v>4039125</v>
      </c>
      <c r="N40" s="106">
        <f>+N38+N22+N15</f>
        <v>1678184.2000000002</v>
      </c>
      <c r="O40" s="66"/>
      <c r="P40" s="123">
        <f>+P38+P22+P15</f>
        <v>19426782</v>
      </c>
      <c r="Q40" s="106">
        <f>+Q38+Q22+Q15</f>
        <v>8134341.4999999991</v>
      </c>
      <c r="R40" s="66"/>
      <c r="S40" s="123">
        <f>+S38+S22+S15</f>
        <v>4074667</v>
      </c>
      <c r="T40" s="106">
        <f>+T38+T22+T15</f>
        <v>1686307.42</v>
      </c>
      <c r="V40" s="124" t="e">
        <f>+V38+#REF!+V15</f>
        <v>#REF!</v>
      </c>
      <c r="W40" s="106">
        <f>+W38+W22+W15</f>
        <v>8808.02</v>
      </c>
      <c r="Y40" s="89">
        <f>+Y38+Y22+Y15</f>
        <v>-35542</v>
      </c>
      <c r="Z40" s="106">
        <f>+Z38+Z22+Z15</f>
        <v>-8123.22</v>
      </c>
      <c r="AB40" s="111">
        <f>+AB38+AB22+AB15</f>
        <v>0</v>
      </c>
      <c r="AC40" s="111">
        <f>+AC38+AC22+AC15</f>
        <v>0</v>
      </c>
      <c r="AD40" s="111"/>
      <c r="AE40" s="111"/>
    </row>
    <row r="41" spans="2:32" s="89" customFormat="1" ht="14.1" customHeight="1" x14ac:dyDescent="0.2">
      <c r="B41" s="86"/>
      <c r="C41" s="86"/>
      <c r="D41" s="86"/>
      <c r="E41" s="51"/>
      <c r="H41" s="125"/>
      <c r="J41" s="101"/>
      <c r="K41" s="103"/>
      <c r="L41" s="102"/>
      <c r="M41" s="101"/>
      <c r="N41" s="103"/>
      <c r="P41" s="142"/>
      <c r="Q41" s="147"/>
      <c r="R41" s="142"/>
      <c r="S41" s="142"/>
      <c r="T41" s="147"/>
      <c r="W41" s="162"/>
      <c r="Z41" s="162"/>
    </row>
    <row r="42" spans="2:32" s="89" customFormat="1" ht="14.1" customHeight="1" x14ac:dyDescent="0.2">
      <c r="B42" s="86"/>
      <c r="C42" s="142" t="s">
        <v>180</v>
      </c>
      <c r="D42" s="86"/>
      <c r="E42" s="51"/>
      <c r="H42" s="88"/>
      <c r="J42" s="146" t="s">
        <v>116</v>
      </c>
      <c r="K42" s="126">
        <f>+K8+K9+K10+K11+K12+K13+K14+K18+K26+K27+K28+K31+K34+K35+K37</f>
        <v>4332767.7499999991</v>
      </c>
      <c r="L42" s="102" t="s">
        <v>150</v>
      </c>
      <c r="M42" s="101"/>
      <c r="N42" s="126">
        <f>+N8+N9+N10+N11+N12+N13+N14+N18+N26+N31+N34+N35+N37+N27+N28</f>
        <v>733323.65</v>
      </c>
      <c r="O42" s="101" t="s">
        <v>150</v>
      </c>
      <c r="P42" s="142"/>
      <c r="Q42" s="126">
        <f>+Q8+Q9+Q10+Q11+Q12+Q13+Q14+Q18+Q26+Q27+Q28+Q31+Q34+Q35+Q37</f>
        <v>4325120.3499999996</v>
      </c>
      <c r="R42" s="142"/>
      <c r="S42" s="146" t="s">
        <v>121</v>
      </c>
      <c r="T42" s="126">
        <f>+T8+T10+T9+T11+T12+T13+T14+T18+T26+T31+T34+T35+T37+T27+T28</f>
        <v>741472.89999999991</v>
      </c>
      <c r="W42" s="126">
        <f>+W8+W9+W10+W11+W12+W13+W14+W18+W26+W27+W28+W31+W34+W35+W37</f>
        <v>7647.4000000000005</v>
      </c>
      <c r="Z42" s="126">
        <f>Z9+Z10+Z11+Z12+Z13+Z14+Z18+Z26+Z31+Z34+Z35+Z37+Z8+Z27+Z28</f>
        <v>-8149.25</v>
      </c>
      <c r="AB42" s="111">
        <f>+AB8+AB9+AB10+AB11+AB12+AB13+AB14+AB18+AB26+AB27+AB28+AB29+AB31+AB34+AB35+AB37</f>
        <v>0</v>
      </c>
      <c r="AC42" s="111">
        <f>+AC6+AC8+AC9+AC10+AC11+AC12+AC13+AC14+AC18+AC26+AC31+AC34+AC35+AC37</f>
        <v>0</v>
      </c>
    </row>
    <row r="43" spans="2:32" s="89" customFormat="1" ht="14.1" customHeight="1" x14ac:dyDescent="0.2">
      <c r="B43" s="86"/>
      <c r="C43" s="142" t="s">
        <v>181</v>
      </c>
      <c r="D43" s="86"/>
      <c r="E43" s="51"/>
      <c r="H43" s="88"/>
      <c r="J43" s="146" t="s">
        <v>116</v>
      </c>
      <c r="K43" s="126">
        <f>+K6+K7+K17+K24+K25+K30+K32+K33+K36+K19+K20+K21+K29</f>
        <v>3810381.7699999996</v>
      </c>
      <c r="L43" s="102" t="s">
        <v>147</v>
      </c>
      <c r="M43" s="101"/>
      <c r="N43" s="126">
        <f>N6+N7+N17+N24+N25+N30+N32+N33+N36+N19+N20+N21+N29</f>
        <v>944860.54999999993</v>
      </c>
      <c r="O43" s="101" t="s">
        <v>147</v>
      </c>
      <c r="P43" s="142"/>
      <c r="Q43" s="126">
        <f>Q6+Q7+Q17+Q24+Q25+Q30+Q32+Q33+Q36+Q19+Q20+Q21+Q29</f>
        <v>3809221.15</v>
      </c>
      <c r="R43" s="142"/>
      <c r="S43" s="146" t="s">
        <v>121</v>
      </c>
      <c r="T43" s="126">
        <f>+T7+T6+T17+T24+T25+T30+T32+T33+T36+T19+T20+T21+T29</f>
        <v>944834.52</v>
      </c>
      <c r="W43" s="126">
        <f>W6+W7+W17+W24+W25+W30+W32+W33+W36+W19+W20+W21+W29</f>
        <v>1160.6199999999999</v>
      </c>
      <c r="Z43" s="126">
        <f>+Z7+Z17+Z24+Z25+Z30+Z32+Z33+Z36+Z19+Z20+Z21+Z29+Z6</f>
        <v>26.030000000000005</v>
      </c>
      <c r="AB43" s="111">
        <f>AB6+AB7+AB17+AB24+AB25+AB30+AB32+AB33+AB36</f>
        <v>0</v>
      </c>
      <c r="AC43" s="111">
        <f>+AC7+AC17+AC24+AC25+AC27+AC28+AC29+AC30+AC32+AC33+AC36</f>
        <v>0</v>
      </c>
    </row>
    <row r="44" spans="2:32" s="89" customFormat="1" ht="15" customHeight="1" x14ac:dyDescent="0.2">
      <c r="B44" s="86"/>
      <c r="C44" s="142" t="s">
        <v>10</v>
      </c>
      <c r="D44" s="86"/>
      <c r="E44" s="51"/>
      <c r="H44" s="88"/>
      <c r="J44" s="101"/>
      <c r="K44" s="106">
        <f>SUM(K42:K43)</f>
        <v>8143149.5199999986</v>
      </c>
      <c r="L44" s="101"/>
      <c r="M44" s="101"/>
      <c r="N44" s="106">
        <f>SUM(N42:N43)</f>
        <v>1678184.2</v>
      </c>
      <c r="P44" s="142"/>
      <c r="Q44" s="106">
        <f>SUM(Q42:Q43)</f>
        <v>8134341.5</v>
      </c>
      <c r="R44" s="142"/>
      <c r="S44" s="142"/>
      <c r="T44" s="106">
        <f>SUM(T42:T43)</f>
        <v>1686307.42</v>
      </c>
      <c r="W44" s="106">
        <f>SUM(W42:W43)</f>
        <v>8808.02</v>
      </c>
      <c r="Z44" s="106">
        <f>SUM(Z42:Z43)</f>
        <v>-8123.22</v>
      </c>
      <c r="AB44" s="175">
        <f>SUM(AB42:AB43)</f>
        <v>0</v>
      </c>
      <c r="AC44" s="175">
        <f>SUM(AC42:AC43)</f>
        <v>0</v>
      </c>
      <c r="AD44" s="111"/>
      <c r="AE44" s="126">
        <f>+Z44+W44</f>
        <v>684.80000000000018</v>
      </c>
    </row>
    <row r="45" spans="2:32" s="89" customFormat="1" ht="15" customHeight="1" x14ac:dyDescent="0.2">
      <c r="B45" s="86"/>
      <c r="C45" s="86"/>
      <c r="D45" s="86"/>
      <c r="E45" s="51"/>
      <c r="H45" s="88"/>
      <c r="K45" s="127" t="s">
        <v>182</v>
      </c>
      <c r="M45" s="146" t="s">
        <v>183</v>
      </c>
      <c r="N45" s="88"/>
      <c r="AE45" s="126">
        <f>+[3]Invoices!$N$68</f>
        <v>684.80477700028882</v>
      </c>
      <c r="AF45" s="66" t="s">
        <v>184</v>
      </c>
    </row>
    <row r="46" spans="2:32" s="89" customFormat="1" ht="14.25" x14ac:dyDescent="0.2">
      <c r="B46" s="86"/>
      <c r="C46" s="86"/>
      <c r="D46" s="86"/>
      <c r="E46" s="51"/>
      <c r="H46" s="88"/>
      <c r="K46" s="88"/>
      <c r="M46" s="105">
        <f>K44+N44</f>
        <v>9821333.7199999988</v>
      </c>
      <c r="N46" s="88"/>
      <c r="P46" s="176" t="s">
        <v>185</v>
      </c>
      <c r="Q46" s="129">
        <f>Q44-Q11-Q12-Q13</f>
        <v>7828927.6900000004</v>
      </c>
      <c r="S46" s="176" t="s">
        <v>185</v>
      </c>
      <c r="T46" s="129">
        <f>T44-T11-T12-T13</f>
        <v>1638982.99</v>
      </c>
      <c r="W46" s="111"/>
      <c r="AE46" s="157">
        <f>+AE44-AE45</f>
        <v>-4.7770002886409202E-3</v>
      </c>
    </row>
    <row r="47" spans="2:32" s="89" customFormat="1" ht="15" customHeight="1" x14ac:dyDescent="0.2">
      <c r="B47" s="86"/>
      <c r="C47" s="86"/>
      <c r="D47" s="86"/>
      <c r="E47" s="51"/>
      <c r="F47" s="177"/>
      <c r="H47" s="88"/>
      <c r="K47" s="127" t="s">
        <v>186</v>
      </c>
      <c r="M47" s="128">
        <v>14208964.609999999</v>
      </c>
      <c r="N47" s="88"/>
      <c r="P47" s="176" t="s">
        <v>187</v>
      </c>
      <c r="Q47" s="129">
        <f>W44</f>
        <v>8808.02</v>
      </c>
      <c r="R47" s="101"/>
      <c r="S47" s="176" t="s">
        <v>187</v>
      </c>
      <c r="T47" s="129">
        <f>Z44</f>
        <v>-8123.22</v>
      </c>
    </row>
    <row r="48" spans="2:32" s="89" customFormat="1" ht="15" customHeight="1" x14ac:dyDescent="0.2">
      <c r="B48" s="86"/>
      <c r="C48" s="86"/>
      <c r="D48" s="86"/>
      <c r="E48" s="51"/>
      <c r="F48" s="177"/>
      <c r="G48" s="89" t="s">
        <v>188</v>
      </c>
      <c r="H48" s="88"/>
      <c r="K48" s="127">
        <v>28051</v>
      </c>
      <c r="M48" s="128">
        <v>-613213.31999999995</v>
      </c>
      <c r="N48" s="88"/>
      <c r="Q48" s="178">
        <f>Q46+Q47</f>
        <v>7837735.71</v>
      </c>
      <c r="T48" s="178">
        <f>T46+T47</f>
        <v>1630859.77</v>
      </c>
      <c r="W48" s="129"/>
      <c r="Z48" s="88"/>
    </row>
    <row r="49" spans="2:26" s="89" customFormat="1" ht="15" customHeight="1" x14ac:dyDescent="0.2">
      <c r="B49" s="86"/>
      <c r="C49" s="86"/>
      <c r="D49" s="86"/>
      <c r="E49" s="51"/>
      <c r="F49" s="177"/>
      <c r="H49" s="88"/>
      <c r="K49" s="127">
        <v>28051</v>
      </c>
      <c r="M49" s="130">
        <v>-3774417.57</v>
      </c>
      <c r="N49" s="88"/>
      <c r="W49" s="129"/>
      <c r="Z49" s="88"/>
    </row>
    <row r="50" spans="2:26" s="89" customFormat="1" ht="15" customHeight="1" x14ac:dyDescent="0.2">
      <c r="B50" s="86"/>
      <c r="C50" s="86"/>
      <c r="D50" s="86"/>
      <c r="E50" s="51"/>
      <c r="F50" s="177"/>
      <c r="H50" s="88"/>
      <c r="K50" s="131"/>
      <c r="M50" s="105">
        <f>+M47+M48+M49</f>
        <v>9821333.7199999988</v>
      </c>
      <c r="W50" s="129"/>
      <c r="Z50" s="88"/>
    </row>
    <row r="51" spans="2:26" s="89" customFormat="1" ht="15" customHeight="1" x14ac:dyDescent="0.2">
      <c r="B51" s="86"/>
      <c r="C51" s="86"/>
      <c r="D51" s="86"/>
      <c r="E51" s="51"/>
      <c r="F51" s="177"/>
      <c r="H51" s="88"/>
      <c r="K51" s="131" t="s">
        <v>189</v>
      </c>
      <c r="M51" s="162">
        <f>+M46-M50</f>
        <v>0</v>
      </c>
      <c r="N51" s="88"/>
      <c r="W51" s="129"/>
      <c r="Z51" s="88"/>
    </row>
    <row r="52" spans="2:26" s="89" customFormat="1" ht="15" customHeight="1" x14ac:dyDescent="0.2">
      <c r="B52" s="86"/>
      <c r="C52" s="86"/>
      <c r="D52" s="86"/>
      <c r="E52" s="51"/>
      <c r="F52" s="177"/>
      <c r="H52" s="88"/>
      <c r="K52" s="88"/>
      <c r="N52" s="88"/>
      <c r="W52" s="129"/>
      <c r="Z52" s="88"/>
    </row>
    <row r="53" spans="2:26" s="89" customFormat="1" ht="15" customHeight="1" x14ac:dyDescent="0.2">
      <c r="B53" s="86"/>
      <c r="C53" s="86"/>
      <c r="D53" s="86"/>
      <c r="E53" s="51"/>
      <c r="F53" s="177"/>
      <c r="H53" s="88"/>
      <c r="K53" s="88"/>
      <c r="L53" s="132"/>
      <c r="M53" s="83" t="s">
        <v>1</v>
      </c>
      <c r="N53" s="133" t="s">
        <v>190</v>
      </c>
      <c r="Z53" s="88"/>
    </row>
    <row r="54" spans="2:26" s="89" customFormat="1" ht="14.1" customHeight="1" x14ac:dyDescent="0.2">
      <c r="B54" s="86"/>
      <c r="C54" s="86"/>
      <c r="D54" s="86"/>
      <c r="E54" s="51"/>
      <c r="H54" s="88"/>
      <c r="K54" s="88"/>
      <c r="L54" s="142"/>
      <c r="M54" s="83" t="s">
        <v>191</v>
      </c>
      <c r="N54" s="133" t="s">
        <v>192</v>
      </c>
      <c r="P54" s="66"/>
      <c r="Z54" s="88"/>
    </row>
    <row r="55" spans="2:26" s="89" customFormat="1" ht="14.1" customHeight="1" x14ac:dyDescent="0.2">
      <c r="C55" s="86"/>
      <c r="D55" s="86"/>
      <c r="E55" s="51"/>
      <c r="H55" s="88"/>
      <c r="K55" s="88"/>
      <c r="L55" s="142"/>
      <c r="M55" s="83" t="s">
        <v>193</v>
      </c>
      <c r="N55" s="133" t="s">
        <v>194</v>
      </c>
    </row>
    <row r="56" spans="2:26" s="89" customFormat="1" ht="14.1" customHeight="1" x14ac:dyDescent="0.2">
      <c r="B56" s="134"/>
      <c r="C56" s="86"/>
      <c r="D56" s="86"/>
      <c r="E56" s="51"/>
      <c r="H56" s="88"/>
      <c r="K56" s="88"/>
      <c r="L56" s="142"/>
      <c r="M56" s="83" t="s">
        <v>195</v>
      </c>
      <c r="N56" s="133" t="s">
        <v>196</v>
      </c>
      <c r="W56" s="135"/>
    </row>
    <row r="57" spans="2:26" s="89" customFormat="1" ht="14.1" customHeight="1" x14ac:dyDescent="0.2">
      <c r="B57" s="86"/>
      <c r="C57" s="86"/>
      <c r="D57" s="86"/>
      <c r="E57" s="51"/>
      <c r="H57" s="88"/>
      <c r="K57" s="88"/>
      <c r="L57" s="142"/>
      <c r="M57" s="83" t="s">
        <v>197</v>
      </c>
      <c r="N57" s="133" t="s">
        <v>198</v>
      </c>
    </row>
    <row r="58" spans="2:26" s="89" customFormat="1" ht="14.1" customHeight="1" x14ac:dyDescent="0.2">
      <c r="B58" s="86"/>
      <c r="C58" s="86"/>
      <c r="D58" s="86"/>
      <c r="E58" s="51"/>
      <c r="H58" s="88"/>
      <c r="K58" s="88"/>
      <c r="L58" s="142"/>
      <c r="M58" s="83" t="s">
        <v>199</v>
      </c>
      <c r="N58" s="133" t="s">
        <v>200</v>
      </c>
    </row>
    <row r="59" spans="2:26" s="89" customFormat="1" ht="14.1" customHeight="1" x14ac:dyDescent="0.2">
      <c r="B59" s="86"/>
      <c r="C59" s="86"/>
      <c r="D59" s="86"/>
      <c r="E59" s="51"/>
      <c r="H59" s="88"/>
      <c r="K59" s="88"/>
      <c r="L59" s="142"/>
      <c r="M59" s="83" t="s">
        <v>201</v>
      </c>
      <c r="N59" s="133" t="s">
        <v>202</v>
      </c>
    </row>
    <row r="60" spans="2:26" s="89" customFormat="1" ht="14.1" customHeight="1" x14ac:dyDescent="0.2">
      <c r="B60" s="86"/>
      <c r="C60" s="86"/>
      <c r="D60" s="86"/>
      <c r="E60" s="51"/>
      <c r="H60" s="88"/>
      <c r="K60" s="88"/>
      <c r="L60" s="142"/>
      <c r="M60" s="83" t="s">
        <v>203</v>
      </c>
      <c r="N60" s="133" t="s">
        <v>204</v>
      </c>
    </row>
    <row r="61" spans="2:26" s="89" customFormat="1" ht="14.1" customHeight="1" x14ac:dyDescent="0.2">
      <c r="B61" s="86"/>
      <c r="C61" s="86"/>
      <c r="D61" s="86"/>
      <c r="E61" s="51"/>
      <c r="H61" s="88"/>
      <c r="K61" s="88"/>
      <c r="M61" s="132"/>
      <c r="N61" s="133" t="s">
        <v>205</v>
      </c>
    </row>
    <row r="62" spans="2:26" s="89" customFormat="1" ht="14.1" customHeight="1" thickBot="1" x14ac:dyDescent="0.25">
      <c r="B62" s="86"/>
      <c r="C62" s="86"/>
      <c r="D62" s="86"/>
      <c r="E62" s="51"/>
      <c r="H62" s="88"/>
      <c r="K62" s="88"/>
      <c r="N62" s="88"/>
      <c r="P62" s="179" t="s">
        <v>143</v>
      </c>
      <c r="Q62" s="180"/>
      <c r="R62" s="179"/>
      <c r="S62" s="179" t="s">
        <v>143</v>
      </c>
      <c r="T62" s="180"/>
    </row>
    <row r="63" spans="2:26" s="89" customFormat="1" ht="14.1" customHeight="1" x14ac:dyDescent="0.2">
      <c r="C63" s="86"/>
      <c r="D63" s="86"/>
      <c r="E63" s="51"/>
      <c r="H63" s="88"/>
      <c r="J63" s="83" t="s">
        <v>206</v>
      </c>
      <c r="K63" s="133" t="s">
        <v>207</v>
      </c>
      <c r="L63" s="66"/>
      <c r="M63" s="136">
        <v>6011</v>
      </c>
      <c r="N63" s="133" t="s">
        <v>208</v>
      </c>
      <c r="P63" s="66" t="e">
        <f ca="1">_xll.GXL(1, N$53,"CURRENCY="&amp;N$58&amp;";"&amp;"WEEKLY=FALSE",N$55,N$56,N$57,N$59,J63,$M63,$N63)</f>
        <v>#NAME?</v>
      </c>
      <c r="Q63" s="128" t="e">
        <f ca="1">_xll.GXL(1, N$54,"CURRENCY="&amp;N$58&amp;";"&amp;"WEEKLY=FALSE",N$55,N$56,N$57,N$59,J63,$M63,$N63)</f>
        <v>#NAME?</v>
      </c>
      <c r="R63" s="101">
        <v>-1</v>
      </c>
      <c r="S63" s="66" t="e">
        <f ca="1">_xll.GXL(1, N$53,"CURRENCY="&amp;N$58&amp;";"&amp;"WEEKLY=FALSE",N$55,N$56,N$57,N$59,K63,$M63,$N63)</f>
        <v>#NAME?</v>
      </c>
      <c r="T63" s="128" t="e">
        <f ca="1">_xll.GXL(1, N$54,"CURRENCY="&amp;N$58&amp;";"&amp;"WEEKLY=FALSE",N$55,N$56,N$57,N$59,K63,$M63,$N63)</f>
        <v>#NAME?</v>
      </c>
      <c r="U63" s="137">
        <v>-4</v>
      </c>
    </row>
    <row r="64" spans="2:26" s="89" customFormat="1" ht="14.1" customHeight="1" x14ac:dyDescent="0.2">
      <c r="B64" s="86"/>
      <c r="C64" s="86"/>
      <c r="D64" s="86"/>
      <c r="E64" s="51"/>
      <c r="H64" s="88"/>
      <c r="J64" s="83" t="s">
        <v>206</v>
      </c>
      <c r="K64" s="133" t="s">
        <v>207</v>
      </c>
      <c r="L64" s="66"/>
      <c r="M64" s="136">
        <v>6011</v>
      </c>
      <c r="N64" s="136">
        <v>28082</v>
      </c>
      <c r="P64" s="66" t="e">
        <f ca="1">_xll.GXL(1, N$53,"CURRENCY="&amp;N$58&amp;";"&amp;"WEEKLY=FALSE",N$55,N$56,N$57,N$59,J64,$M64,$N64)</f>
        <v>#NAME?</v>
      </c>
      <c r="Q64" s="128" t="e">
        <f ca="1">_xll.GXL(1, N$54,"CURRENCY="&amp;N$58&amp;";"&amp;"WEEKLY=FALSE",N$55,N$56,N$57,N$59,N$60,$M64,$N64)</f>
        <v>#NAME?</v>
      </c>
      <c r="R64" s="101">
        <v>-2</v>
      </c>
      <c r="S64" s="128"/>
      <c r="T64" s="128"/>
      <c r="U64" s="137"/>
    </row>
    <row r="65" spans="2:22" s="89" customFormat="1" ht="14.25" x14ac:dyDescent="0.2">
      <c r="B65" s="86"/>
      <c r="C65" s="86"/>
      <c r="D65" s="86"/>
      <c r="E65" s="51"/>
      <c r="H65" s="88"/>
      <c r="J65" s="83" t="s">
        <v>206</v>
      </c>
      <c r="K65" s="133" t="s">
        <v>207</v>
      </c>
      <c r="L65" s="66"/>
      <c r="M65" s="136">
        <v>6011</v>
      </c>
      <c r="N65" s="136">
        <v>28120</v>
      </c>
      <c r="P65" s="66" t="e">
        <f ca="1">_xll.GXL(1, N$53,"CURRENCY="&amp;N$58&amp;";"&amp;"WEEKLY=FALSE",N$55,N$56,N$57,N$59,J65,$M65,$N65)</f>
        <v>#NAME?</v>
      </c>
      <c r="Q65" s="128" t="e">
        <f ca="1">_xll.GXL(1, N$54,"CURRENCY="&amp;N$58&amp;";"&amp;"WEEKLY=FALSE",N$55,N$56,N$57,N$59,J65,$M65,$N65)</f>
        <v>#NAME?</v>
      </c>
      <c r="R65" s="101">
        <v>-3</v>
      </c>
      <c r="S65" s="66" t="e">
        <f ca="1">_xll.GXL(1, N$53,"CURRENCY="&amp;N$58&amp;";"&amp;"WEEKLY=FALSE",N$55,N$56,N$57,N$59,K65,$M65,$N65)</f>
        <v>#NAME?</v>
      </c>
      <c r="T65" s="128" t="e">
        <f ca="1">_xll.GXL(1, N$54,"CURRENCY="&amp;N$58&amp;";"&amp;"WEEKLY=FALSE",N$55,N$56,N$57,N$59,K65,$M65,$N65)</f>
        <v>#NAME?</v>
      </c>
      <c r="U65" s="137">
        <v>-5</v>
      </c>
    </row>
    <row r="66" spans="2:22" s="89" customFormat="1" ht="14.1" customHeight="1" x14ac:dyDescent="0.2">
      <c r="B66" s="138"/>
      <c r="C66" s="86"/>
      <c r="D66" s="86"/>
      <c r="E66" s="51"/>
      <c r="H66" s="88"/>
      <c r="K66" s="88"/>
      <c r="N66" s="88"/>
      <c r="P66" s="66"/>
      <c r="Q66" s="181" t="e">
        <f ca="1">SUM(Q63:Q65)</f>
        <v>#NAME?</v>
      </c>
      <c r="R66" s="95"/>
      <c r="S66" s="95"/>
      <c r="T66" s="181" t="e">
        <f ca="1">SUM(T63:T65)</f>
        <v>#NAME?</v>
      </c>
      <c r="U66" s="66"/>
    </row>
    <row r="67" spans="2:22" s="89" customFormat="1" ht="14.1" customHeight="1" x14ac:dyDescent="0.2">
      <c r="B67" s="86"/>
      <c r="C67" s="86"/>
      <c r="D67" s="86"/>
      <c r="E67" s="51"/>
      <c r="H67" s="88"/>
      <c r="K67" s="88"/>
      <c r="N67" s="88"/>
      <c r="P67" s="66"/>
      <c r="Q67" s="128"/>
      <c r="R67" s="66"/>
      <c r="S67" s="66"/>
      <c r="T67" s="128"/>
      <c r="U67" s="66"/>
    </row>
    <row r="73" spans="2:22" s="89" customFormat="1" ht="14.1" customHeight="1" x14ac:dyDescent="0.2">
      <c r="B73" s="86"/>
      <c r="C73" s="86"/>
      <c r="D73" s="86"/>
      <c r="E73" s="51"/>
      <c r="H73" s="88"/>
      <c r="K73" s="88"/>
      <c r="N73" s="88"/>
      <c r="Q73" s="89">
        <v>9776852</v>
      </c>
      <c r="S73" s="89">
        <v>2278617.61</v>
      </c>
      <c r="T73" s="89">
        <v>2102518</v>
      </c>
      <c r="V73" s="89">
        <v>317389.78000000003</v>
      </c>
    </row>
    <row r="75" spans="2:22" s="89" customFormat="1" ht="14.1" customHeight="1" x14ac:dyDescent="0.2">
      <c r="B75" s="86"/>
      <c r="C75" s="86"/>
      <c r="D75" s="86"/>
      <c r="E75" s="51"/>
      <c r="H75" s="88"/>
      <c r="K75" s="88"/>
      <c r="N75" s="88"/>
      <c r="S75" s="139">
        <f>+S73/Q73</f>
        <v>0.23306250416800825</v>
      </c>
      <c r="V75" s="139">
        <f>+V73/T73</f>
        <v>0.15095698586171438</v>
      </c>
    </row>
  </sheetData>
  <mergeCells count="15">
    <mergeCell ref="B5:E5"/>
    <mergeCell ref="AB3:AC3"/>
    <mergeCell ref="G4:H4"/>
    <mergeCell ref="J4:K4"/>
    <mergeCell ref="M4:N4"/>
    <mergeCell ref="P4:Q4"/>
    <mergeCell ref="S4:T4"/>
    <mergeCell ref="V4:W4"/>
    <mergeCell ref="Y4:Z4"/>
    <mergeCell ref="V1:Z1"/>
    <mergeCell ref="B2:E2"/>
    <mergeCell ref="J2:N2"/>
    <mergeCell ref="P2:T2"/>
    <mergeCell ref="V2:Z2"/>
    <mergeCell ref="V3:Z3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05D7A-2E5E-411A-9757-FF1C21DDABE9}">
  <dimension ref="B1:H27"/>
  <sheetViews>
    <sheetView showGridLines="0" view="pageBreakPreview" zoomScaleNormal="115" zoomScaleSheetLayoutView="100" workbookViewId="0">
      <selection activeCell="J15" sqref="J15"/>
    </sheetView>
  </sheetViews>
  <sheetFormatPr defaultRowHeight="12.75" x14ac:dyDescent="0.2"/>
  <cols>
    <col min="1" max="1" width="1.7109375" style="1" customWidth="1"/>
    <col min="2" max="2" width="10" style="1" customWidth="1"/>
    <col min="3" max="3" width="24.7109375" style="1" customWidth="1"/>
    <col min="4" max="4" width="20.42578125" style="1" customWidth="1"/>
    <col min="5" max="5" width="19" style="1" customWidth="1"/>
    <col min="6" max="6" width="21.85546875" style="1" customWidth="1"/>
    <col min="7" max="7" width="17.7109375" style="1" bestFit="1" customWidth="1"/>
    <col min="8" max="8" width="3.7109375" style="1" customWidth="1"/>
    <col min="9" max="16384" width="9.140625" style="1"/>
  </cols>
  <sheetData>
    <row r="1" spans="2:8" ht="18" customHeight="1" x14ac:dyDescent="0.2">
      <c r="B1" s="47" t="s">
        <v>18</v>
      </c>
      <c r="C1" s="47"/>
      <c r="D1" s="47"/>
      <c r="E1" s="47"/>
      <c r="F1" s="47"/>
      <c r="G1" s="49"/>
      <c r="H1" s="48"/>
    </row>
    <row r="2" spans="2:8" ht="15" x14ac:dyDescent="0.2">
      <c r="B2" s="47" t="s">
        <v>19</v>
      </c>
      <c r="C2" s="46">
        <f>'[1]Core Cost Incurred'!B2</f>
        <v>44129</v>
      </c>
      <c r="D2" s="45"/>
      <c r="E2" s="45"/>
      <c r="F2" s="45"/>
      <c r="G2" s="45"/>
    </row>
    <row r="4" spans="2:8" ht="15" customHeight="1" thickBot="1" x14ac:dyDescent="0.25">
      <c r="B4" s="44"/>
      <c r="C4" s="44"/>
      <c r="D4" s="44"/>
      <c r="E4" s="44"/>
      <c r="F4" s="43"/>
      <c r="G4" s="3"/>
    </row>
    <row r="5" spans="2:8" ht="14.25" x14ac:dyDescent="0.2">
      <c r="B5" s="5"/>
      <c r="C5" s="5"/>
      <c r="D5" s="41" t="s">
        <v>3</v>
      </c>
      <c r="E5" s="41" t="s">
        <v>6</v>
      </c>
      <c r="F5" s="42" t="s">
        <v>9</v>
      </c>
      <c r="G5" s="41" t="s">
        <v>10</v>
      </c>
    </row>
    <row r="6" spans="2:8" ht="15" x14ac:dyDescent="0.25">
      <c r="B6" s="28" t="s">
        <v>11</v>
      </c>
      <c r="C6" s="40"/>
      <c r="D6" s="38">
        <v>692010</v>
      </c>
      <c r="E6" s="38">
        <v>691010</v>
      </c>
      <c r="F6" s="39">
        <v>693010</v>
      </c>
      <c r="G6" s="38"/>
    </row>
    <row r="7" spans="2:8" ht="15.75" customHeight="1" x14ac:dyDescent="0.2">
      <c r="B7" s="14" t="s">
        <v>12</v>
      </c>
      <c r="C7" s="14"/>
      <c r="D7" s="19">
        <v>4246579.54</v>
      </c>
      <c r="E7" s="19">
        <v>2992595.6</v>
      </c>
      <c r="F7" s="37">
        <v>1227296.7500000002</v>
      </c>
      <c r="G7" s="36">
        <v>8466471.8900000006</v>
      </c>
    </row>
    <row r="8" spans="2:8" ht="15.75" customHeight="1" x14ac:dyDescent="0.2">
      <c r="B8" s="14" t="s">
        <v>14</v>
      </c>
      <c r="C8" s="14"/>
      <c r="D8" s="35">
        <f>'[1]Core Cost Incurred'!K42</f>
        <v>4332767.7499999991</v>
      </c>
      <c r="E8" s="35">
        <f>'[1]Core Cost Incurred'!K43</f>
        <v>3810381.7699999996</v>
      </c>
      <c r="F8" s="34">
        <v>0</v>
      </c>
      <c r="G8" s="33">
        <f>SUM(D8:E8)</f>
        <v>8143149.5199999986</v>
      </c>
    </row>
    <row r="9" spans="2:8" ht="15.75" customHeight="1" x14ac:dyDescent="0.2">
      <c r="B9" s="14" t="s">
        <v>15</v>
      </c>
      <c r="C9" s="14"/>
      <c r="D9" s="27">
        <f>D7-D8</f>
        <v>-86188.209999999031</v>
      </c>
      <c r="E9" s="32">
        <f>E7-E8</f>
        <v>-817786.16999999946</v>
      </c>
      <c r="F9" s="32">
        <f>F7-F8</f>
        <v>1227296.7500000002</v>
      </c>
      <c r="G9" s="27">
        <f>G7-G8</f>
        <v>323322.37000000197</v>
      </c>
    </row>
    <row r="10" spans="2:8" ht="15.75" customHeight="1" x14ac:dyDescent="0.2">
      <c r="B10" s="14" t="s">
        <v>21</v>
      </c>
      <c r="C10" s="14"/>
      <c r="D10" s="27">
        <v>1924.02</v>
      </c>
      <c r="E10" s="31"/>
      <c r="F10" s="30"/>
      <c r="G10" s="29">
        <f>D10</f>
        <v>1924.02</v>
      </c>
    </row>
    <row r="11" spans="2:8" ht="15.75" customHeight="1" x14ac:dyDescent="0.2">
      <c r="B11" s="28" t="s">
        <v>16</v>
      </c>
      <c r="C11" s="28"/>
      <c r="D11" s="27"/>
      <c r="E11" s="27">
        <v>359068.95</v>
      </c>
      <c r="F11" s="26"/>
      <c r="G11" s="12">
        <f>E11</f>
        <v>359068.95</v>
      </c>
    </row>
    <row r="12" spans="2:8" ht="15.75" customHeight="1" x14ac:dyDescent="0.25">
      <c r="B12" s="25" t="s">
        <v>17</v>
      </c>
      <c r="C12" s="24"/>
      <c r="D12" s="22">
        <f>+D7-D8+D10</f>
        <v>-84264.189999999027</v>
      </c>
      <c r="E12" s="22">
        <f>+E9+E11</f>
        <v>-458717.21999999945</v>
      </c>
      <c r="F12" s="23">
        <f>+F7-F8</f>
        <v>1227296.7500000002</v>
      </c>
      <c r="G12" s="22">
        <f>G9+G11+G10</f>
        <v>684315.34000000195</v>
      </c>
    </row>
    <row r="13" spans="2:8" ht="14.25" customHeight="1" x14ac:dyDescent="0.2">
      <c r="D13" s="14"/>
      <c r="E13" s="14"/>
      <c r="F13" s="20"/>
      <c r="G13" s="14"/>
    </row>
    <row r="14" spans="2:8" ht="14.25" customHeight="1" x14ac:dyDescent="0.2">
      <c r="D14" s="14" t="s">
        <v>22</v>
      </c>
      <c r="E14" s="14"/>
      <c r="F14" s="20"/>
      <c r="G14" s="14"/>
    </row>
    <row r="15" spans="2:8" ht="14.25" customHeight="1" x14ac:dyDescent="0.2">
      <c r="D15" s="14"/>
      <c r="E15" s="21"/>
      <c r="F15" s="20"/>
      <c r="G15" s="14"/>
    </row>
    <row r="16" spans="2:8" ht="14.25" customHeight="1" x14ac:dyDescent="0.2">
      <c r="B16" s="11" t="s">
        <v>23</v>
      </c>
      <c r="C16" s="11"/>
      <c r="D16" s="19" t="s">
        <v>4</v>
      </c>
      <c r="E16" s="18" t="s">
        <v>4</v>
      </c>
      <c r="F16" s="17"/>
      <c r="G16" s="7"/>
    </row>
    <row r="17" spans="2:7" ht="14.25" customHeight="1" x14ac:dyDescent="0.2">
      <c r="D17" s="16"/>
      <c r="E17" s="16"/>
      <c r="F17" s="15"/>
      <c r="G17" s="14"/>
    </row>
    <row r="18" spans="2:7" ht="14.25" customHeight="1" x14ac:dyDescent="0.2">
      <c r="D18" s="12">
        <f>-D12</f>
        <v>84264.189999999027</v>
      </c>
      <c r="E18" s="12">
        <f>-E9-E11</f>
        <v>458717.21999999945</v>
      </c>
      <c r="F18" s="13">
        <f>-F12</f>
        <v>-1227296.7500000002</v>
      </c>
      <c r="G18" s="12">
        <f>SUM(D18:F18)</f>
        <v>-684315.34000000171</v>
      </c>
    </row>
    <row r="19" spans="2:7" ht="14.25" customHeight="1" thickBot="1" x14ac:dyDescent="0.25">
      <c r="B19" s="11" t="s">
        <v>24</v>
      </c>
      <c r="C19" s="11"/>
      <c r="D19" s="10" t="s">
        <v>5</v>
      </c>
      <c r="E19" s="9" t="s">
        <v>7</v>
      </c>
      <c r="F19" s="8"/>
      <c r="G19" s="7"/>
    </row>
    <row r="21" spans="2:7" x14ac:dyDescent="0.2">
      <c r="E21" s="4"/>
      <c r="F21" s="2"/>
    </row>
    <row r="22" spans="2:7" x14ac:dyDescent="0.2">
      <c r="E22" s="4"/>
      <c r="F22" s="2"/>
    </row>
    <row r="23" spans="2:7" x14ac:dyDescent="0.2">
      <c r="E23" s="4"/>
      <c r="F23" s="2"/>
    </row>
    <row r="24" spans="2:7" x14ac:dyDescent="0.2">
      <c r="F24" s="2"/>
    </row>
    <row r="27" spans="2:7" x14ac:dyDescent="0.2">
      <c r="B27" s="6"/>
      <c r="C27" s="6"/>
    </row>
  </sheetData>
  <mergeCells count="1">
    <mergeCell ref="B4:E4"/>
  </mergeCells>
  <pageMargins left="0.75" right="0.75" top="0.7" bottom="1" header="0.7" footer="0.5"/>
  <pageSetup scale="76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80A18EE4CFF64D8EDA247CCB0BC2F7" ma:contentTypeVersion="56" ma:contentTypeDescription="" ma:contentTypeScope="" ma:versionID="9f51b59ab61d4981ca4e6f938046e6f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2019-09-13T07:00:00+00:00</OpenedDate>
    <SignificantOrder xmlns="dc463f71-b30c-4ab2-9473-d307f9d35888">false</SignificantOrder>
    <Date1 xmlns="dc463f71-b30c-4ab2-9473-d307f9d35888">2020-11-23T08:00:00+00:00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190773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80DCBEB-2E71-4573-887C-08F341385E1F}"/>
</file>

<file path=customXml/itemProps2.xml><?xml version="1.0" encoding="utf-8"?>
<ds:datastoreItem xmlns:ds="http://schemas.openxmlformats.org/officeDocument/2006/customXml" ds:itemID="{60B98B68-0F75-4231-A0C2-4A94C8444EF5}"/>
</file>

<file path=customXml/itemProps3.xml><?xml version="1.0" encoding="utf-8"?>
<ds:datastoreItem xmlns:ds="http://schemas.openxmlformats.org/officeDocument/2006/customXml" ds:itemID="{2CA020CF-360B-4F62-A8B3-0D0733BE8C14}"/>
</file>

<file path=customXml/itemProps4.xml><?xml version="1.0" encoding="utf-8"?>
<ds:datastoreItem xmlns:ds="http://schemas.openxmlformats.org/officeDocument/2006/customXml" ds:itemID="{70D65740-89C0-4305-B50F-20920843FF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WA Rates</vt:lpstr>
      <vt:lpstr>Core Cost Incurred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Myhrum, Isaac</cp:lastModifiedBy>
  <dcterms:created xsi:type="dcterms:W3CDTF">2020-11-20T01:02:33Z</dcterms:created>
  <dcterms:modified xsi:type="dcterms:W3CDTF">2020-11-20T01:04:31Z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0x0101006E56B4D1795A2E4DB2F0B01679ED314A00C780A18EE4CFF64D8EDA247CCB0BC2F7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