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5480" windowHeight="5172" activeTab="0"/>
  </bookViews>
  <sheets>
    <sheet name="Lead E" sheetId="1" r:id="rId1"/>
    <sheet name="Lead G" sheetId="2" r:id="rId2"/>
    <sheet name="Non Union Wage" sheetId="3" r:id="rId3"/>
    <sheet name="Union Wage Inc " sheetId="4" r:id="rId4"/>
    <sheet name="Inv Plan" sheetId="5" r:id="rId5"/>
  </sheets>
  <externalReferences>
    <externalReference r:id="rId8"/>
    <externalReference r:id="rId9"/>
    <externalReference r:id="rId10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_xlfn.IFERROR" hidden="1">#NAME?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<sst xmlns="http://schemas.openxmlformats.org/spreadsheetml/2006/main" count="141" uniqueCount="96">
  <si>
    <t xml:space="preserve"> </t>
  </si>
  <si>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</si>
  <si>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</si>
  <si>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</si>
  <si>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</si>
  <si>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</si>
  <si>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</si>
  <si>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</si>
  <si>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</si>
  <si>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</si>
  <si>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</si>
  <si>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</si>
  <si>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</si>
  <si>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</si>
  <si>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</si>
  <si>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</si>
  <si>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</si>
  <si>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Investment Plan Expense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</si>
  <si>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</si>
  <si>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</si>
  <si>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</si>
  <si>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</si>
  <si>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</si>
  <si>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</si>
  <si>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</si>
  <si>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</si>
  <si>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</si>
  <si>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</si>
  <si>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TOTAL PROFORMA COSTS (LN 4 + LN 9 + LN 14 + LN 19)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</si>
  <si>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</si>
  <si>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</si>
  <si>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</si>
  <si>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</si>
  <si>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</si>
  <si>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</si>
  <si>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</si>
  <si>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</si>
  <si>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</si>
  <si>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</si>
  <si>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</si>
  <si>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</si>
  <si>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</si>
  <si>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</si>
  <si>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</si>
  <si>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</si>
  <si>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</si>
  <si>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</si>
  <si>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</si>
  <si>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</si>
  <si>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</si>
  <si>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</si>
  <si>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</si>
  <si>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</si>
  <si>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</si>
  <si>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</si>
  <si>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</si>
  <si>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</si>
  <si>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</si>
  <si>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</si>
  <si>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</si>
  <si>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</si>
  <si>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March 1, 2013</t>
  </si>
  <si>
    <t>March 1, 2014</t>
  </si>
  <si>
    <t>March 1, 2015</t>
  </si>
  <si>
    <t>Slippage calculation</t>
  </si>
  <si>
    <t>NON-UNION (INC. EXECUTIVES)</t>
  </si>
  <si>
    <t>March 1, 2016</t>
  </si>
  <si>
    <t>For the Test Year Ended 9/30/2016</t>
  </si>
  <si>
    <t>Test Year:  Twelve Months Ended 09/30/2016</t>
  </si>
  <si>
    <r>
      <t>Rate Year: Twelve Months Ended 12/31/2018</t>
    </r>
    <r>
      <rPr>
        <sz val="8"/>
        <color indexed="12"/>
        <rFont val="Arial"/>
        <family val="2"/>
      </rPr>
      <t xml:space="preserve"> </t>
    </r>
    <r>
      <rPr>
        <b/>
        <sz val="8"/>
        <rFont val="Arial"/>
        <family val="2"/>
      </rPr>
      <t>(Jan 2018 - Dec 2018)</t>
    </r>
  </si>
  <si>
    <t>IBEW:</t>
  </si>
  <si>
    <t>Effective</t>
  </si>
  <si>
    <t>General Wage increase</t>
  </si>
  <si>
    <r>
      <t xml:space="preserve">Monthly amount </t>
    </r>
    <r>
      <rPr>
        <sz val="8"/>
        <color indexed="12"/>
        <rFont val="Calibri"/>
        <family val="2"/>
      </rPr>
      <t>(% wage Inc. divided by 12 mos.)</t>
    </r>
  </si>
  <si>
    <r>
      <t xml:space="preserve"># of months not in TY </t>
    </r>
    <r>
      <rPr>
        <sz val="8"/>
        <color indexed="12"/>
        <rFont val="Calibri"/>
        <family val="2"/>
      </rPr>
      <t>(Oct -Dec 16)</t>
    </r>
  </si>
  <si>
    <t>Amount of increase not in TY</t>
  </si>
  <si>
    <r>
      <t xml:space="preserve">General Wage increase </t>
    </r>
    <r>
      <rPr>
        <sz val="8"/>
        <color indexed="12"/>
        <rFont val="Calibri"/>
        <family val="2"/>
      </rPr>
      <t>(out of TY period)</t>
    </r>
  </si>
  <si>
    <t>FOR THE TWELVE MONTHS ENDED SEPTEMBER 30, 2016</t>
  </si>
  <si>
    <t>2017 GENERAL RATE INCREASE</t>
  </si>
  <si>
    <t>3/2016 - 2/2017</t>
  </si>
  <si>
    <t xml:space="preserve"># of months not in TY </t>
  </si>
  <si>
    <t xml:space="preserve">RATE YEAR NON-UNION WAGE INCREASE </t>
  </si>
  <si>
    <t>Rate Year:  Twelve Months Ended 12/31/2018 (Jan 2018 - Dec 2018)</t>
  </si>
  <si>
    <t>March 1, 2017 (Estimate)</t>
  </si>
  <si>
    <t>Slippage Calculation (Slippage Increase/ Annualized Increase)</t>
  </si>
  <si>
    <t>Rate Year Increase (col (g) = col (d) * col (e))</t>
  </si>
  <si>
    <t>Monthly amount (% wage Inc. divided by 12 mos.)</t>
  </si>
  <si>
    <t>Compound</t>
  </si>
  <si>
    <t>Expressed as a percentage of total</t>
  </si>
  <si>
    <t>a</t>
  </si>
  <si>
    <t>b</t>
  </si>
  <si>
    <t>c = a x b</t>
  </si>
  <si>
    <t>d = 1 - c</t>
  </si>
  <si>
    <t>CHARGED TO EXPENSE FOR TEST YEAR ENDED 9/30/16</t>
  </si>
  <si>
    <t>(compounded percentages referenced in testimony)</t>
  </si>
  <si>
    <t>3/2017 - 2/2018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</si>
</sst>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;\-&quot;$&quot;#,##0"/>
    <numFmt numFmtId="166" formatCode="_(* #,##0_);_(* \(#,##0\);_(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0.00_)"/>
    <numFmt numFmtId="172" formatCode="mmmm\ d\,\ yyyy"/>
    <numFmt numFmtId="173" formatCode="0.000000"/>
    <numFmt numFmtId="174" formatCode="0.0%\ ;\(0.0%\);&quot;0.00% &quot;"/>
    <numFmt numFmtId="175" formatCode="0.0%\ ;\(0.0%\);&quot;0.0% &quot;"/>
    <numFmt numFmtId="176" formatCode="mm/dd/yy"/>
    <numFmt numFmtId="177" formatCode="________@"/>
    <numFmt numFmtId="178" formatCode="#,##0.00_-;#,##0.00\-;&quot; &quot;"/>
    <numFmt numFmtId="179" formatCode="__@"/>
    <numFmt numFmtId="180" formatCode="#,##0.0_);\(#,##0.0\)"/>
    <numFmt numFmtId="181" formatCode="______@"/>
    <numFmt numFmtId="182" formatCode="0.00000000"/>
    <numFmt numFmtId="183" formatCode="0.0000000"/>
    <numFmt numFmtId="184" formatCode="0.00000"/>
    <numFmt numFmtId="185" formatCode="0.0000"/>
    <numFmt numFmtId="186" formatCode="_(&quot;$&quot;* #,##0.0_);_(&quot;$&quot;* \(#,##0.0\);_(&quot;$&quot;* &quot;-&quot;??_);_(@_)"/>
    <numFmt numFmtId="187" formatCode="_(* #,##0.0000_);_(* \(#,##0.0000\);_(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_(* #,##0.0_);_(* \(#,##0.0\);_(* &quot;-&quot;??_);_(@_)"/>
    <numFmt numFmtId="192" formatCode="0.0000%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.00;\-#,##0.00;&quot; &quot;"/>
    <numFmt numFmtId="198" formatCode="#,##0;\-#,##0;&quot; 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;@"/>
    <numFmt numFmtId="205" formatCode="#,##0.00000000_);\(#,##0.00000000\)"/>
    <numFmt numFmtId="206" formatCode="#,##0.00000_);\(#,##0.00000\)"/>
    <numFmt numFmtId="207" formatCode="#,##0.0000_);\(#,##0.0000\)"/>
    <numFmt numFmtId="208" formatCode="000\-00\-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"/>
    <numFmt numFmtId="212" formatCode="_(* #,##0.0_);_(* \(#,##0.0\);_(* &quot;-&quot;_);_(@_)"/>
    <numFmt numFmtId="213" formatCode="_(* #,##0.00_);_(* \(#,##0.00\);_(* &quot;-&quot;_);_(@_)"/>
    <numFmt numFmtId="214" formatCode="mm/yy"/>
    <numFmt numFmtId="215" formatCode="m/d/yy"/>
    <numFmt numFmtId="216" formatCode="#,##0.0000"/>
    <numFmt numFmtId="217" formatCode="_(* #,##0.00000_);_(* \(#,##0.00000\);_(* &quot;-&quot;??_);_(@_)"/>
    <numFmt numFmtId="218" formatCode="d\.mmm\.yy"/>
    <numFmt numFmtId="219" formatCode="#."/>
    <numFmt numFmtId="220" formatCode="_(* ###0_);_(* \(###0\);_(* &quot;-&quot;_);_(@_)"/>
    <numFmt numFmtId="221" formatCode="_(&quot;$&quot;* #,##0.0000_);_(&quot;$&quot;* \(#,##0.0000\);_(&quot;$&quot;* &quot;-&quot;????_);_(@_)"/>
    <numFmt numFmtId="222" formatCode="#,##0.000000_);\(#,##0.000000\)"/>
    <numFmt numFmtId="223" formatCode="&quot;$&quot;#,##0.0"/>
    <numFmt numFmtId="224" formatCode="_(* #,##0.000_);_(* \(#,##0.000\);_(* &quot;-&quot;???_);_(@_)"/>
    <numFmt numFmtId="225" formatCode="0.0"/>
    <numFmt numFmtId="226" formatCode="m/d/yyyy;@"/>
  </numFmts>
  <fonts count="97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Arial"/>
      <family val="2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7"/>
      <name val="Arial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Calibri"/>
      <family val="2"/>
    </font>
    <font>
      <b/>
      <u val="single"/>
      <sz val="8"/>
      <name val="Arial"/>
      <family val="2"/>
    </font>
    <font>
      <u val="doub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8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3" fillId="0" borderId="0">
      <alignment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3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218" fontId="14" fillId="0" borderId="0" applyFill="0" applyBorder="0" applyAlignment="0">
      <protection/>
    </xf>
    <xf numFmtId="0" fontId="74" fillId="26" borderId="1" applyNumberFormat="0" applyAlignment="0" applyProtection="0"/>
    <xf numFmtId="0" fontId="75" fillId="27" borderId="2" applyNumberFormat="0" applyAlignment="0" applyProtection="0"/>
    <xf numFmtId="41" fontId="0" fillId="28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19" fontId="18" fillId="0" borderId="0">
      <alignment/>
      <protection locked="0"/>
    </xf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>
      <alignment/>
      <protection/>
    </xf>
    <xf numFmtId="0" fontId="7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7" fillId="28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81" fillId="30" borderId="1" applyNumberFormat="0" applyAlignment="0" applyProtection="0"/>
    <xf numFmtId="10" fontId="7" fillId="31" borderId="8" applyNumberFormat="0" applyBorder="0" applyAlignment="0" applyProtection="0"/>
    <xf numFmtId="41" fontId="23" fillId="32" borderId="9">
      <alignment horizontal="left"/>
      <protection locked="0"/>
    </xf>
    <xf numFmtId="10" fontId="23" fillId="32" borderId="9">
      <alignment horizontal="right"/>
      <protection locked="0"/>
    </xf>
    <xf numFmtId="0" fontId="7" fillId="28" borderId="0">
      <alignment/>
      <protection/>
    </xf>
    <xf numFmtId="3" fontId="24" fillId="0" borderId="0" applyFill="0" applyBorder="0" applyAlignment="0" applyProtection="0"/>
    <xf numFmtId="0" fontId="82" fillId="0" borderId="10" applyNumberFormat="0" applyFill="0" applyAlignment="0" applyProtection="0"/>
    <xf numFmtId="44" fontId="10" fillId="0" borderId="11" applyNumberFormat="0" applyFont="0" applyAlignment="0">
      <protection/>
    </xf>
    <xf numFmtId="44" fontId="10" fillId="0" borderId="12" applyNumberFormat="0" applyFont="0" applyAlignment="0">
      <protection/>
    </xf>
    <xf numFmtId="0" fontId="83" fillId="33" borderId="0" applyNumberFormat="0" applyBorder="0" applyAlignment="0" applyProtection="0"/>
    <xf numFmtId="37" fontId="2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172" fontId="0" fillId="0" borderId="0">
      <alignment horizontal="left" wrapText="1"/>
      <protection/>
    </xf>
    <xf numFmtId="0" fontId="84" fillId="0" borderId="0">
      <alignment/>
      <protection/>
    </xf>
    <xf numFmtId="0" fontId="11" fillId="0" borderId="0">
      <alignment/>
      <protection/>
    </xf>
    <xf numFmtId="0" fontId="0" fillId="34" borderId="13" applyNumberFormat="0" applyFont="0" applyAlignment="0" applyProtection="0"/>
    <xf numFmtId="0" fontId="12" fillId="35" borderId="14" applyNumberFormat="0" applyFont="0" applyAlignment="0" applyProtection="0"/>
    <xf numFmtId="0" fontId="12" fillId="35" borderId="14" applyNumberFormat="0" applyFont="0" applyAlignment="0" applyProtection="0"/>
    <xf numFmtId="0" fontId="12" fillId="35" borderId="14" applyNumberFormat="0" applyFont="0" applyAlignment="0" applyProtection="0"/>
    <xf numFmtId="0" fontId="85" fillId="26" borderId="15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6" borderId="9">
      <alignment/>
      <protection/>
    </xf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27" fillId="0" borderId="16">
      <alignment horizontal="center"/>
      <protection/>
    </xf>
    <xf numFmtId="3" fontId="11" fillId="0" borderId="0" applyFont="0" applyFill="0" applyBorder="0" applyAlignment="0" applyProtection="0"/>
    <xf numFmtId="0" fontId="11" fillId="37" borderId="0" applyNumberFormat="0" applyFont="0" applyBorder="0" applyAlignment="0" applyProtection="0"/>
    <xf numFmtId="0" fontId="17" fillId="0" borderId="0">
      <alignment/>
      <protection/>
    </xf>
    <xf numFmtId="3" fontId="28" fillId="0" borderId="0" applyFill="0" applyBorder="0" applyAlignment="0" applyProtection="0"/>
    <xf numFmtId="0" fontId="29" fillId="0" borderId="0">
      <alignment/>
      <protection/>
    </xf>
    <xf numFmtId="42" fontId="0" fillId="31" borderId="0">
      <alignment/>
      <protection/>
    </xf>
    <xf numFmtId="42" fontId="0" fillId="31" borderId="17">
      <alignment vertical="center"/>
      <protection/>
    </xf>
    <xf numFmtId="0" fontId="10" fillId="31" borderId="18" applyNumberFormat="0">
      <alignment horizontal="center" vertical="center" wrapText="1"/>
      <protection/>
    </xf>
    <xf numFmtId="10" fontId="0" fillId="31" borderId="0">
      <alignment/>
      <protection/>
    </xf>
    <xf numFmtId="221" fontId="0" fillId="31" borderId="0">
      <alignment/>
      <protection/>
    </xf>
    <xf numFmtId="166" fontId="8" fillId="0" borderId="0" applyBorder="0" applyAlignment="0">
      <protection/>
    </xf>
    <xf numFmtId="42" fontId="0" fillId="31" borderId="19">
      <alignment horizontal="left"/>
      <protection/>
    </xf>
    <xf numFmtId="221" fontId="30" fillId="31" borderId="19">
      <alignment horizontal="left"/>
      <protection/>
    </xf>
    <xf numFmtId="14" fontId="26" fillId="0" borderId="0" applyNumberFormat="0" applyFill="0" applyBorder="0" applyAlignment="0" applyProtection="0"/>
    <xf numFmtId="212" fontId="0" fillId="0" borderId="0" applyFont="0" applyFill="0" applyAlignment="0">
      <protection/>
    </xf>
    <xf numFmtId="4" fontId="31" fillId="32" borderId="20" applyNumberFormat="0" applyProtection="0">
      <alignment vertical="center"/>
    </xf>
    <xf numFmtId="4" fontId="32" fillId="32" borderId="20" applyNumberFormat="0" applyProtection="0">
      <alignment vertical="center"/>
    </xf>
    <xf numFmtId="4" fontId="31" fillId="32" borderId="20" applyNumberFormat="0" applyProtection="0">
      <alignment horizontal="left" vertical="center" indent="1"/>
    </xf>
    <xf numFmtId="4" fontId="31" fillId="3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3" borderId="20" applyNumberFormat="0" applyProtection="0">
      <alignment horizontal="right" vertical="center"/>
    </xf>
    <xf numFmtId="4" fontId="31" fillId="38" borderId="20" applyNumberFormat="0" applyProtection="0">
      <alignment horizontal="right" vertical="center"/>
    </xf>
    <xf numFmtId="4" fontId="31" fillId="39" borderId="20" applyNumberFormat="0" applyProtection="0">
      <alignment horizontal="right" vertical="center"/>
    </xf>
    <xf numFmtId="4" fontId="31" fillId="40" borderId="20" applyNumberFormat="0" applyProtection="0">
      <alignment horizontal="right" vertical="center"/>
    </xf>
    <xf numFmtId="4" fontId="31" fillId="18" borderId="20" applyNumberFormat="0" applyProtection="0">
      <alignment horizontal="right" vertical="center"/>
    </xf>
    <xf numFmtId="4" fontId="31" fillId="41" borderId="20" applyNumberFormat="0" applyProtection="0">
      <alignment horizontal="right" vertical="center"/>
    </xf>
    <xf numFmtId="4" fontId="31" fillId="42" borderId="20" applyNumberFormat="0" applyProtection="0">
      <alignment horizontal="right" vertical="center"/>
    </xf>
    <xf numFmtId="4" fontId="31" fillId="43" borderId="20" applyNumberFormat="0" applyProtection="0">
      <alignment horizontal="right" vertical="center"/>
    </xf>
    <xf numFmtId="4" fontId="31" fillId="10" borderId="20" applyNumberFormat="0" applyProtection="0">
      <alignment horizontal="right" vertical="center"/>
    </xf>
    <xf numFmtId="4" fontId="33" fillId="44" borderId="20" applyNumberFormat="0" applyProtection="0">
      <alignment horizontal="left" vertical="center" indent="1"/>
    </xf>
    <xf numFmtId="4" fontId="31" fillId="45" borderId="21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45" borderId="20" applyNumberFormat="0" applyProtection="0">
      <alignment horizontal="left" vertical="center" indent="1"/>
    </xf>
    <xf numFmtId="4" fontId="31" fillId="47" borderId="20" applyNumberFormat="0" applyProtection="0">
      <alignment horizontal="left" vertical="center" indent="1"/>
    </xf>
    <xf numFmtId="0" fontId="0" fillId="47" borderId="20" applyNumberFormat="0" applyProtection="0">
      <alignment horizontal="left" vertical="center" indent="1"/>
    </xf>
    <xf numFmtId="0" fontId="0" fillId="47" borderId="20" applyNumberFormat="0" applyProtection="0">
      <alignment horizontal="left" vertical="center" indent="1"/>
    </xf>
    <xf numFmtId="0" fontId="0" fillId="48" borderId="20" applyNumberFormat="0" applyProtection="0">
      <alignment horizontal="left" vertical="center" indent="1"/>
    </xf>
    <xf numFmtId="0" fontId="0" fillId="48" borderId="20" applyNumberFormat="0" applyProtection="0">
      <alignment horizontal="left" vertical="center" indent="1"/>
    </xf>
    <xf numFmtId="0" fontId="0" fillId="28" borderId="20" applyNumberFormat="0" applyProtection="0">
      <alignment horizontal="left" vertical="center" indent="1"/>
    </xf>
    <xf numFmtId="0" fontId="0" fillId="28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35" borderId="20" applyNumberFormat="0" applyProtection="0">
      <alignment vertical="center"/>
    </xf>
    <xf numFmtId="4" fontId="32" fillId="35" borderId="20" applyNumberFormat="0" applyProtection="0">
      <alignment vertical="center"/>
    </xf>
    <xf numFmtId="4" fontId="31" fillId="35" borderId="20" applyNumberFormat="0" applyProtection="0">
      <alignment horizontal="left" vertical="center" indent="1"/>
    </xf>
    <xf numFmtId="4" fontId="31" fillId="35" borderId="20" applyNumberFormat="0" applyProtection="0">
      <alignment horizontal="left" vertical="center" indent="1"/>
    </xf>
    <xf numFmtId="4" fontId="31" fillId="45" borderId="20" applyNumberFormat="0" applyProtection="0">
      <alignment horizontal="right" vertical="center"/>
    </xf>
    <xf numFmtId="4" fontId="32" fillId="45" borderId="20" applyNumberFormat="0" applyProtection="0">
      <alignment horizontal="right" vertical="center"/>
    </xf>
    <xf numFmtId="0" fontId="0" fillId="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0" fontId="35" fillId="0" borderId="0">
      <alignment/>
      <protection/>
    </xf>
    <xf numFmtId="4" fontId="36" fillId="45" borderId="20" applyNumberFormat="0" applyProtection="0">
      <alignment horizontal="right" vertical="center"/>
    </xf>
    <xf numFmtId="39" fontId="0" fillId="49" borderId="0">
      <alignment/>
      <protection/>
    </xf>
    <xf numFmtId="38" fontId="7" fillId="0" borderId="22">
      <alignment/>
      <protection/>
    </xf>
    <xf numFmtId="38" fontId="8" fillId="0" borderId="19">
      <alignment/>
      <protection/>
    </xf>
    <xf numFmtId="39" fontId="26" fillId="50" borderId="0">
      <alignment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38" fillId="31" borderId="0">
      <alignment horizontal="left"/>
      <protection/>
    </xf>
    <xf numFmtId="0" fontId="86" fillId="0" borderId="0" applyNumberFormat="0" applyFill="0" applyBorder="0" applyAlignment="0" applyProtection="0"/>
    <xf numFmtId="170" fontId="39" fillId="31" borderId="0">
      <alignment horizontal="left" vertical="center"/>
      <protection/>
    </xf>
    <xf numFmtId="0" fontId="10" fillId="31" borderId="0">
      <alignment horizontal="left" wrapText="1"/>
      <protection/>
    </xf>
    <xf numFmtId="0" fontId="40" fillId="0" borderId="0">
      <alignment horizontal="left" vertical="center"/>
      <protection/>
    </xf>
    <xf numFmtId="0" fontId="87" fillId="0" borderId="23" applyNumberFormat="0" applyFill="0" applyAlignment="0" applyProtection="0"/>
    <xf numFmtId="0" fontId="17" fillId="0" borderId="24">
      <alignment/>
      <protection/>
    </xf>
    <xf numFmtId="0" fontId="8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1" fillId="0" borderId="0" xfId="7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94" applyFont="1" applyFill="1" applyAlignment="1">
      <alignment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7" fontId="2" fillId="0" borderId="0" xfId="7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0" fontId="0" fillId="0" borderId="0" xfId="133" applyFill="1">
      <alignment/>
      <protection/>
    </xf>
    <xf numFmtId="0" fontId="0" fillId="0" borderId="0" xfId="133" applyFill="1" applyAlignment="1">
      <alignment horizontal="centerContinuous"/>
      <protection/>
    </xf>
    <xf numFmtId="0" fontId="0" fillId="0" borderId="0" xfId="133" applyFill="1" applyAlignment="1">
      <alignment horizontal="center"/>
      <protection/>
    </xf>
    <xf numFmtId="0" fontId="0" fillId="0" borderId="18" xfId="133" applyFill="1" applyBorder="1" applyAlignment="1">
      <alignment horizontal="center"/>
      <protection/>
    </xf>
    <xf numFmtId="0" fontId="0" fillId="0" borderId="18" xfId="133" applyFont="1" applyFill="1" applyBorder="1" applyAlignment="1">
      <alignment horizontal="center"/>
      <protection/>
    </xf>
    <xf numFmtId="0" fontId="10" fillId="0" borderId="0" xfId="133" applyFont="1" applyFill="1">
      <alignment/>
      <protection/>
    </xf>
    <xf numFmtId="0" fontId="0" fillId="0" borderId="0" xfId="133" applyFill="1" applyBorder="1" applyAlignment="1">
      <alignment horizontal="center"/>
      <protection/>
    </xf>
    <xf numFmtId="0" fontId="0" fillId="0" borderId="0" xfId="133" applyFill="1" applyBorder="1" applyAlignment="1">
      <alignment horizontal="center" vertical="center"/>
      <protection/>
    </xf>
    <xf numFmtId="0" fontId="0" fillId="0" borderId="0" xfId="133" applyFill="1" applyBorder="1" applyAlignment="1" quotePrefix="1">
      <alignment horizontal="center"/>
      <protection/>
    </xf>
    <xf numFmtId="0" fontId="0" fillId="0" borderId="18" xfId="133" applyFill="1" applyBorder="1">
      <alignment/>
      <protection/>
    </xf>
    <xf numFmtId="0" fontId="0" fillId="0" borderId="0" xfId="133">
      <alignment/>
      <protection/>
    </xf>
    <xf numFmtId="10" fontId="12" fillId="0" borderId="0" xfId="155" applyNumberFormat="1" applyFont="1" applyFill="1" applyAlignment="1">
      <alignment/>
    </xf>
    <xf numFmtId="43" fontId="10" fillId="0" borderId="0" xfId="133" applyNumberFormat="1" applyFont="1" applyFill="1">
      <alignment/>
      <protection/>
    </xf>
    <xf numFmtId="10" fontId="0" fillId="0" borderId="0" xfId="133" applyNumberFormat="1" applyFill="1">
      <alignment/>
      <protection/>
    </xf>
    <xf numFmtId="10" fontId="10" fillId="0" borderId="0" xfId="155" applyNumberFormat="1" applyFont="1" applyFill="1" applyBorder="1" applyAlignment="1">
      <alignment/>
    </xf>
    <xf numFmtId="10" fontId="0" fillId="0" borderId="0" xfId="133" applyNumberFormat="1" applyFill="1" applyBorder="1">
      <alignment/>
      <protection/>
    </xf>
    <xf numFmtId="37" fontId="42" fillId="0" borderId="0" xfId="70" applyNumberFormat="1" applyFont="1" applyFill="1" applyBorder="1" applyAlignment="1">
      <alignment/>
    </xf>
    <xf numFmtId="37" fontId="42" fillId="0" borderId="19" xfId="70" applyNumberFormat="1" applyFont="1" applyFill="1" applyBorder="1" applyAlignment="1">
      <alignment/>
    </xf>
    <xf numFmtId="37" fontId="42" fillId="0" borderId="0" xfId="70" applyNumberFormat="1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133" applyFill="1" applyBorder="1">
      <alignment/>
      <protection/>
    </xf>
    <xf numFmtId="0" fontId="0" fillId="0" borderId="0" xfId="133" applyFont="1" applyFill="1" applyBorder="1" applyAlignment="1">
      <alignment/>
      <protection/>
    </xf>
    <xf numFmtId="0" fontId="10" fillId="0" borderId="0" xfId="133" applyFont="1" applyFill="1" applyAlignment="1">
      <alignment horizontal="centerContinuous"/>
      <protection/>
    </xf>
    <xf numFmtId="170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89" fillId="0" borderId="25" xfId="151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0" fontId="89" fillId="0" borderId="0" xfId="151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left"/>
    </xf>
    <xf numFmtId="18" fontId="3" fillId="0" borderId="0" xfId="0" applyNumberFormat="1" applyFont="1" applyFill="1" applyAlignment="1">
      <alignment horizontal="centerContinuous"/>
    </xf>
    <xf numFmtId="0" fontId="0" fillId="0" borderId="0" xfId="133" applyFill="1" applyBorder="1" applyAlignment="1" quotePrefix="1">
      <alignment/>
      <protection/>
    </xf>
    <xf numFmtId="5" fontId="2" fillId="0" borderId="0" xfId="94" applyNumberFormat="1" applyFont="1" applyFill="1" applyBorder="1" applyAlignment="1">
      <alignment/>
    </xf>
    <xf numFmtId="37" fontId="2" fillId="0" borderId="18" xfId="70" applyNumberFormat="1" applyFont="1" applyFill="1" applyBorder="1" applyAlignment="1">
      <alignment/>
    </xf>
    <xf numFmtId="37" fontId="2" fillId="0" borderId="0" xfId="70" applyNumberFormat="1" applyFont="1" applyFill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6" fontId="12" fillId="0" borderId="0" xfId="79" applyNumberFormat="1" applyFont="1" applyFill="1" applyBorder="1" applyAlignment="1">
      <alignment horizontal="left" indent="1"/>
    </xf>
    <xf numFmtId="216" fontId="0" fillId="0" borderId="0" xfId="133" applyNumberFormat="1" applyFill="1" applyBorder="1">
      <alignment/>
      <protection/>
    </xf>
    <xf numFmtId="10" fontId="0" fillId="0" borderId="0" xfId="133" applyNumberFormat="1" applyFill="1" applyBorder="1" quotePrefix="1">
      <alignment/>
      <protection/>
    </xf>
    <xf numFmtId="216" fontId="43" fillId="0" borderId="0" xfId="133" applyNumberFormat="1" applyFont="1" applyFill="1" applyBorder="1">
      <alignment/>
      <protection/>
    </xf>
    <xf numFmtId="166" fontId="0" fillId="0" borderId="0" xfId="133" applyNumberFormat="1" applyFill="1" applyBorder="1">
      <alignment/>
      <protection/>
    </xf>
    <xf numFmtId="222" fontId="0" fillId="0" borderId="0" xfId="0" applyNumberFormat="1" applyFill="1" applyAlignment="1">
      <alignment/>
    </xf>
    <xf numFmtId="37" fontId="2" fillId="0" borderId="19" xfId="70" applyNumberFormat="1" applyFont="1" applyFill="1" applyBorder="1" applyAlignment="1">
      <alignment/>
    </xf>
    <xf numFmtId="37" fontId="2" fillId="0" borderId="0" xfId="70" applyNumberFormat="1" applyFont="1" applyFill="1" applyAlignment="1" applyProtection="1">
      <alignment vertical="center"/>
      <protection locked="0"/>
    </xf>
    <xf numFmtId="37" fontId="2" fillId="0" borderId="0" xfId="70" applyNumberFormat="1" applyFont="1" applyFill="1" applyAlignment="1">
      <alignment vertical="top"/>
    </xf>
    <xf numFmtId="168" fontId="0" fillId="0" borderId="0" xfId="94" applyNumberFormat="1" applyFill="1" applyBorder="1" applyAlignment="1">
      <alignment/>
    </xf>
    <xf numFmtId="168" fontId="0" fillId="0" borderId="0" xfId="7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8" fontId="0" fillId="0" borderId="19" xfId="7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10" fillId="0" borderId="26" xfId="94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0" fontId="7" fillId="0" borderId="0" xfId="133" applyFont="1" applyFill="1" applyBorder="1" applyAlignment="1">
      <alignment horizontal="center"/>
      <protection/>
    </xf>
    <xf numFmtId="0" fontId="44" fillId="0" borderId="0" xfId="133" applyFont="1" applyFill="1" applyBorder="1">
      <alignment/>
      <protection/>
    </xf>
    <xf numFmtId="0" fontId="48" fillId="0" borderId="0" xfId="133" applyFont="1" applyFill="1" applyBorder="1" applyAlignment="1">
      <alignment horizontal="center"/>
      <protection/>
    </xf>
    <xf numFmtId="226" fontId="92" fillId="0" borderId="0" xfId="0" applyNumberFormat="1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10" fontId="0" fillId="0" borderId="0" xfId="151" applyNumberFormat="1" applyFont="1" applyAlignment="1">
      <alignment/>
    </xf>
    <xf numFmtId="0" fontId="0" fillId="0" borderId="18" xfId="0" applyFont="1" applyBorder="1" applyAlignment="1">
      <alignment/>
    </xf>
    <xf numFmtId="10" fontId="93" fillId="0" borderId="0" xfId="151" applyNumberFormat="1" applyFont="1" applyAlignment="1">
      <alignment/>
    </xf>
    <xf numFmtId="10" fontId="0" fillId="0" borderId="18" xfId="0" applyNumberFormat="1" applyFont="1" applyBorder="1" applyAlignment="1">
      <alignment/>
    </xf>
    <xf numFmtId="216" fontId="0" fillId="0" borderId="0" xfId="133" applyNumberFormat="1" applyFont="1" applyFill="1" applyBorder="1">
      <alignment/>
      <protection/>
    </xf>
    <xf numFmtId="10" fontId="49" fillId="0" borderId="0" xfId="155" applyNumberFormat="1" applyFont="1" applyFill="1" applyAlignment="1">
      <alignment/>
    </xf>
    <xf numFmtId="10" fontId="45" fillId="51" borderId="27" xfId="155" applyNumberFormat="1" applyFont="1" applyFill="1" applyBorder="1" applyAlignment="1">
      <alignment/>
    </xf>
    <xf numFmtId="10" fontId="45" fillId="0" borderId="0" xfId="155" applyNumberFormat="1" applyFont="1" applyFill="1" applyBorder="1" applyAlignment="1">
      <alignment/>
    </xf>
    <xf numFmtId="189" fontId="0" fillId="0" borderId="0" xfId="133" applyNumberFormat="1" applyFill="1">
      <alignment/>
      <protection/>
    </xf>
    <xf numFmtId="166" fontId="0" fillId="0" borderId="0" xfId="70" applyNumberFormat="1" applyFont="1" applyFill="1" applyAlignment="1">
      <alignment/>
    </xf>
    <xf numFmtId="189" fontId="0" fillId="0" borderId="0" xfId="133" applyNumberFormat="1">
      <alignment/>
      <protection/>
    </xf>
    <xf numFmtId="166" fontId="0" fillId="0" borderId="0" xfId="133" applyNumberFormat="1">
      <alignment/>
      <protection/>
    </xf>
    <xf numFmtId="216" fontId="12" fillId="0" borderId="0" xfId="155" applyNumberFormat="1" applyFont="1" applyFill="1" applyAlignment="1">
      <alignment/>
    </xf>
    <xf numFmtId="10" fontId="0" fillId="0" borderId="0" xfId="151" applyNumberFormat="1" applyFont="1" applyAlignment="1">
      <alignment/>
    </xf>
    <xf numFmtId="0" fontId="0" fillId="51" borderId="28" xfId="133" applyFill="1" applyBorder="1">
      <alignment/>
      <protection/>
    </xf>
    <xf numFmtId="0" fontId="0" fillId="51" borderId="0" xfId="133" applyFill="1" applyBorder="1">
      <alignment/>
      <protection/>
    </xf>
    <xf numFmtId="0" fontId="0" fillId="51" borderId="29" xfId="133" applyFill="1" applyBorder="1" applyAlignment="1">
      <alignment horizontal="center"/>
      <protection/>
    </xf>
    <xf numFmtId="192" fontId="0" fillId="0" borderId="0" xfId="151" applyNumberFormat="1" applyFont="1" applyAlignment="1">
      <alignment/>
    </xf>
    <xf numFmtId="0" fontId="0" fillId="51" borderId="0" xfId="133" applyFill="1" applyBorder="1" applyAlignment="1">
      <alignment horizontal="center"/>
      <protection/>
    </xf>
    <xf numFmtId="0" fontId="0" fillId="51" borderId="30" xfId="133" applyFill="1" applyBorder="1">
      <alignment/>
      <protection/>
    </xf>
    <xf numFmtId="0" fontId="0" fillId="51" borderId="18" xfId="133" applyFill="1" applyBorder="1" applyAlignment="1">
      <alignment horizontal="center"/>
      <protection/>
    </xf>
    <xf numFmtId="0" fontId="0" fillId="51" borderId="31" xfId="133" applyFill="1" applyBorder="1" applyAlignment="1">
      <alignment horizontal="center"/>
      <protection/>
    </xf>
    <xf numFmtId="0" fontId="0" fillId="51" borderId="29" xfId="133" applyFill="1" applyBorder="1">
      <alignment/>
      <protection/>
    </xf>
    <xf numFmtId="0" fontId="0" fillId="51" borderId="28" xfId="133" applyFill="1" applyBorder="1" applyAlignment="1" quotePrefix="1">
      <alignment/>
      <protection/>
    </xf>
    <xf numFmtId="0" fontId="0" fillId="51" borderId="0" xfId="133" applyFill="1" applyBorder="1" applyAlignment="1" quotePrefix="1">
      <alignment/>
      <protection/>
    </xf>
    <xf numFmtId="166" fontId="0" fillId="51" borderId="0" xfId="79" applyNumberFormat="1" applyFill="1" applyBorder="1" applyAlignment="1">
      <alignment/>
    </xf>
    <xf numFmtId="10" fontId="12" fillId="51" borderId="29" xfId="155" applyNumberFormat="1" applyFont="1" applyFill="1" applyBorder="1" applyAlignment="1">
      <alignment/>
    </xf>
    <xf numFmtId="0" fontId="0" fillId="51" borderId="30" xfId="133" applyFill="1" applyBorder="1" applyAlignment="1" quotePrefix="1">
      <alignment/>
      <protection/>
    </xf>
    <xf numFmtId="0" fontId="0" fillId="51" borderId="18" xfId="133" applyFill="1" applyBorder="1">
      <alignment/>
      <protection/>
    </xf>
    <xf numFmtId="166" fontId="0" fillId="51" borderId="18" xfId="79" applyNumberFormat="1" applyFill="1" applyBorder="1" applyAlignment="1">
      <alignment/>
    </xf>
    <xf numFmtId="10" fontId="12" fillId="51" borderId="31" xfId="155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4" fillId="0" borderId="0" xfId="133" applyFont="1" applyFill="1">
      <alignment/>
      <protection/>
    </xf>
    <xf numFmtId="0" fontId="95" fillId="0" borderId="0" xfId="133" applyFont="1" applyFill="1">
      <alignment/>
      <protection/>
    </xf>
    <xf numFmtId="0" fontId="95" fillId="0" borderId="0" xfId="133" applyFont="1">
      <alignment/>
      <protection/>
    </xf>
    <xf numFmtId="0" fontId="0" fillId="51" borderId="28" xfId="0" applyFill="1" applyBorder="1" applyAlignment="1">
      <alignment/>
    </xf>
    <xf numFmtId="226" fontId="92" fillId="51" borderId="0" xfId="0" applyNumberFormat="1" applyFont="1" applyFill="1" applyBorder="1" applyAlignment="1">
      <alignment horizontal="center"/>
    </xf>
    <xf numFmtId="0" fontId="0" fillId="51" borderId="28" xfId="0" applyFill="1" applyBorder="1" applyAlignment="1">
      <alignment horizontal="left"/>
    </xf>
    <xf numFmtId="189" fontId="12" fillId="0" borderId="0" xfId="79" applyNumberFormat="1" applyFont="1" applyFill="1" applyBorder="1" applyAlignment="1">
      <alignment/>
    </xf>
    <xf numFmtId="188" fontId="12" fillId="0" borderId="0" xfId="79" applyNumberFormat="1" applyFont="1" applyFill="1" applyBorder="1" applyAlignment="1">
      <alignment/>
    </xf>
    <xf numFmtId="216" fontId="12" fillId="0" borderId="0" xfId="155" applyNumberFormat="1" applyFont="1" applyFill="1" applyBorder="1" applyAlignment="1">
      <alignment/>
    </xf>
    <xf numFmtId="0" fontId="43" fillId="51" borderId="0" xfId="133" applyFont="1" applyFill="1" applyBorder="1" applyAlignment="1">
      <alignment horizontal="center"/>
      <protection/>
    </xf>
    <xf numFmtId="10" fontId="0" fillId="51" borderId="0" xfId="0" applyNumberFormat="1" applyFill="1" applyBorder="1" applyAlignment="1">
      <alignment horizontal="center"/>
    </xf>
    <xf numFmtId="10" fontId="0" fillId="51" borderId="29" xfId="133" applyNumberFormat="1" applyFont="1" applyFill="1" applyBorder="1" applyAlignment="1">
      <alignment horizontal="center"/>
      <protection/>
    </xf>
    <xf numFmtId="0" fontId="0" fillId="51" borderId="0" xfId="0" applyFont="1" applyFill="1" applyBorder="1" applyAlignment="1">
      <alignment horizontal="center"/>
    </xf>
    <xf numFmtId="0" fontId="43" fillId="51" borderId="32" xfId="133" applyFont="1" applyFill="1" applyBorder="1" applyAlignment="1">
      <alignment horizontal="center"/>
      <protection/>
    </xf>
    <xf numFmtId="10" fontId="71" fillId="51" borderId="0" xfId="151" applyNumberFormat="1" applyFont="1" applyFill="1" applyBorder="1" applyAlignment="1">
      <alignment horizontal="center"/>
    </xf>
    <xf numFmtId="10" fontId="0" fillId="51" borderId="0" xfId="133" applyNumberFormat="1" applyFont="1" applyFill="1" applyBorder="1" applyAlignment="1">
      <alignment horizontal="center"/>
      <protection/>
    </xf>
    <xf numFmtId="0" fontId="43" fillId="51" borderId="33" xfId="133" applyFont="1" applyFill="1" applyBorder="1" applyAlignment="1">
      <alignment horizontal="center"/>
      <protection/>
    </xf>
    <xf numFmtId="14" fontId="10" fillId="51" borderId="0" xfId="133" applyNumberFormat="1" applyFont="1" applyFill="1" applyBorder="1" applyAlignment="1">
      <alignment horizontal="center"/>
      <protection/>
    </xf>
    <xf numFmtId="10" fontId="10" fillId="51" borderId="32" xfId="133" applyNumberFormat="1" applyFont="1" applyFill="1" applyBorder="1" applyAlignment="1">
      <alignment horizontal="center"/>
      <protection/>
    </xf>
    <xf numFmtId="10" fontId="96" fillId="52" borderId="33" xfId="133" applyNumberFormat="1" applyFont="1" applyFill="1" applyBorder="1" applyAlignment="1">
      <alignment horizontal="center"/>
      <protection/>
    </xf>
    <xf numFmtId="0" fontId="10" fillId="51" borderId="34" xfId="133" applyFont="1" applyFill="1" applyBorder="1" applyAlignment="1" quotePrefix="1">
      <alignment horizontal="center"/>
      <protection/>
    </xf>
    <xf numFmtId="10" fontId="10" fillId="51" borderId="34" xfId="133" applyNumberFormat="1" applyFont="1" applyFill="1" applyBorder="1" applyAlignment="1" quotePrefix="1">
      <alignment horizontal="center"/>
      <protection/>
    </xf>
    <xf numFmtId="0" fontId="0" fillId="52" borderId="28" xfId="133" applyFill="1" applyBorder="1">
      <alignment/>
      <protection/>
    </xf>
    <xf numFmtId="0" fontId="0" fillId="52" borderId="0" xfId="133" applyFill="1" applyBorder="1">
      <alignment/>
      <protection/>
    </xf>
    <xf numFmtId="0" fontId="41" fillId="52" borderId="29" xfId="133" applyFont="1" applyFill="1" applyBorder="1" applyAlignment="1">
      <alignment horizontal="right"/>
      <protection/>
    </xf>
    <xf numFmtId="5" fontId="0" fillId="0" borderId="0" xfId="70" applyNumberFormat="1" applyFont="1" applyFill="1" applyAlignment="1">
      <alignment/>
    </xf>
    <xf numFmtId="5" fontId="90" fillId="0" borderId="0" xfId="0" applyNumberFormat="1" applyFont="1" applyFill="1" applyAlignment="1">
      <alignment/>
    </xf>
    <xf numFmtId="10" fontId="0" fillId="0" borderId="35" xfId="133" applyNumberFormat="1" applyFill="1" applyBorder="1">
      <alignment/>
      <protection/>
    </xf>
    <xf numFmtId="10" fontId="0" fillId="0" borderId="36" xfId="133" applyNumberFormat="1" applyFill="1" applyBorder="1" applyAlignment="1">
      <alignment horizontal="right"/>
      <protection/>
    </xf>
    <xf numFmtId="0" fontId="0" fillId="0" borderId="30" xfId="133" applyFill="1" applyBorder="1" applyAlignment="1">
      <alignment horizontal="left"/>
      <protection/>
    </xf>
    <xf numFmtId="0" fontId="0" fillId="0" borderId="19" xfId="133" applyFill="1" applyBorder="1">
      <alignment/>
      <protection/>
    </xf>
    <xf numFmtId="0" fontId="0" fillId="0" borderId="31" xfId="133" applyFill="1" applyBorder="1">
      <alignment/>
      <protection/>
    </xf>
    <xf numFmtId="10" fontId="0" fillId="51" borderId="0" xfId="151" applyNumberFormat="1" applyFont="1" applyFill="1" applyBorder="1" applyAlignment="1">
      <alignment horizontal="center"/>
    </xf>
    <xf numFmtId="41" fontId="0" fillId="51" borderId="0" xfId="15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2" fillId="0" borderId="0" xfId="70" applyNumberFormat="1" applyFont="1" applyFill="1" applyBorder="1" applyAlignment="1" applyProtection="1">
      <alignment/>
      <protection locked="0"/>
    </xf>
    <xf numFmtId="5" fontId="2" fillId="0" borderId="17" xfId="94" applyNumberFormat="1" applyFont="1" applyFill="1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44" fillId="51" borderId="35" xfId="133" applyFont="1" applyFill="1" applyBorder="1" applyAlignment="1">
      <alignment horizontal="center"/>
      <protection/>
    </xf>
    <xf numFmtId="0" fontId="44" fillId="51" borderId="19" xfId="133" applyFont="1" applyFill="1" applyBorder="1" applyAlignment="1">
      <alignment horizontal="center"/>
      <protection/>
    </xf>
    <xf numFmtId="0" fontId="44" fillId="51" borderId="36" xfId="133" applyFont="1" applyFill="1" applyBorder="1" applyAlignment="1">
      <alignment horizontal="center"/>
      <protection/>
    </xf>
    <xf numFmtId="0" fontId="10" fillId="51" borderId="25" xfId="133" applyFont="1" applyFill="1" applyBorder="1" applyAlignment="1">
      <alignment horizontal="center"/>
      <protection/>
    </xf>
    <xf numFmtId="0" fontId="10" fillId="51" borderId="4" xfId="133" applyFont="1" applyFill="1" applyBorder="1" applyAlignment="1">
      <alignment horizontal="center"/>
      <protection/>
    </xf>
    <xf numFmtId="0" fontId="10" fillId="51" borderId="37" xfId="133" applyFont="1" applyFill="1" applyBorder="1" applyAlignment="1">
      <alignment horizontal="center"/>
      <protection/>
    </xf>
  </cellXfs>
  <cellStyles count="21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10" xfId="72"/>
    <cellStyle name="Comma 2" xfId="73"/>
    <cellStyle name="Comma 3" xfId="74"/>
    <cellStyle name="Comma 4" xfId="75"/>
    <cellStyle name="Comma 5" xfId="76"/>
    <cellStyle name="Comma 6" xfId="77"/>
    <cellStyle name="Comma 7" xfId="78"/>
    <cellStyle name="Comma 8" xfId="79"/>
    <cellStyle name="Comma 8 2" xfId="80"/>
    <cellStyle name="Comma 9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 4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10" xfId="129"/>
    <cellStyle name="Normal 19" xfId="130"/>
    <cellStyle name="Normal 2" xfId="131"/>
    <cellStyle name="Normal 2 2" xfId="132"/>
    <cellStyle name="Normal 2 2 2" xfId="133"/>
    <cellStyle name="Normal 2_Allocation Method - Working File" xfId="134"/>
    <cellStyle name="Normal 27" xfId="135"/>
    <cellStyle name="Normal 28 2" xfId="136"/>
    <cellStyle name="Normal 3" xfId="137"/>
    <cellStyle name="Normal 4" xfId="138"/>
    <cellStyle name="Normal 6" xfId="139"/>
    <cellStyle name="Normal 7" xfId="140"/>
    <cellStyle name="Normal 8" xfId="141"/>
    <cellStyle name="Normal 9" xfId="142"/>
    <cellStyle name="Note" xfId="143"/>
    <cellStyle name="Note 2" xfId="144"/>
    <cellStyle name="Note 3" xfId="145"/>
    <cellStyle name="Note 4" xfId="146"/>
    <cellStyle name="Output" xfId="147"/>
    <cellStyle name="Percen - Style1" xfId="148"/>
    <cellStyle name="Percen - Style2" xfId="149"/>
    <cellStyle name="Percen - Style3" xfId="150"/>
    <cellStyle name="Percent" xfId="151"/>
    <cellStyle name="Percent [2]" xfId="152"/>
    <cellStyle name="Percent 2" xfId="153"/>
    <cellStyle name="Percent 3" xfId="154"/>
    <cellStyle name="Percent 4" xfId="155"/>
    <cellStyle name="Percent 5" xfId="156"/>
    <cellStyle name="Percent 6" xfId="157"/>
    <cellStyle name="Processing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purple - Style8" xfId="165"/>
    <cellStyle name="RED" xfId="166"/>
    <cellStyle name="Red - Style7" xfId="167"/>
    <cellStyle name="Report" xfId="168"/>
    <cellStyle name="Report Bar" xfId="169"/>
    <cellStyle name="Report Heading" xfId="170"/>
    <cellStyle name="Report Percent" xfId="171"/>
    <cellStyle name="Report Unit Cost" xfId="172"/>
    <cellStyle name="Reports" xfId="173"/>
    <cellStyle name="Reports Total" xfId="174"/>
    <cellStyle name="Reports Unit Cost Total" xfId="175"/>
    <cellStyle name="RevList" xfId="176"/>
    <cellStyle name="round100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Emph" xfId="211"/>
    <cellStyle name="SAPBEXstdItem" xfId="212"/>
    <cellStyle name="SAPBEXstdItemX" xfId="213"/>
    <cellStyle name="SAPBEXtitle" xfId="214"/>
    <cellStyle name="SAPBEXundefined" xfId="215"/>
    <cellStyle name="shade" xfId="216"/>
    <cellStyle name="StmtTtl1" xfId="217"/>
    <cellStyle name="StmtTtl2" xfId="218"/>
    <cellStyle name="STYL1 - Style1" xfId="219"/>
    <cellStyle name="Style 1" xfId="220"/>
    <cellStyle name="Style 1 2" xfId="221"/>
    <cellStyle name="Style 1 3" xfId="222"/>
    <cellStyle name="Subtotal" xfId="223"/>
    <cellStyle name="Sub-total" xfId="224"/>
    <cellStyle name="Title" xfId="225"/>
    <cellStyle name="Title: Major" xfId="226"/>
    <cellStyle name="Title: Minor" xfId="227"/>
    <cellStyle name="Title: Worksheet" xfId="228"/>
    <cellStyle name="Total" xfId="229"/>
    <cellStyle name="Total4 - Style4" xfId="230"/>
    <cellStyle name="Warning Text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.16E%20&amp;%2013.16G%20Wage%20Incr%2017GRC%20(SUP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40">
          <cell r="E40">
            <v>0.6744</v>
          </cell>
          <cell r="F40">
            <v>0.3256</v>
          </cell>
        </row>
      </sheetData>
      <sheetData sheetId="4">
        <row r="15">
          <cell r="H15">
            <v>0.5465912059323549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Sal by FERC"/>
      <sheetName val="Wage Data Payroll "/>
      <sheetName val="Non-Union Wage Incr"/>
      <sheetName val="Union Wage Inc"/>
      <sheetName val="Manual JEs Reclass 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6">
        <row r="12">
          <cell r="F12">
            <v>0.0287</v>
          </cell>
        </row>
        <row r="14">
          <cell r="F14">
            <v>0.0286</v>
          </cell>
        </row>
        <row r="16">
          <cell r="F16">
            <v>0.0291</v>
          </cell>
        </row>
        <row r="18">
          <cell r="F18">
            <v>0.0285</v>
          </cell>
        </row>
        <row r="28">
          <cell r="D28">
            <v>0.0291</v>
          </cell>
          <cell r="E28">
            <v>0.0285</v>
          </cell>
        </row>
        <row r="29">
          <cell r="D29">
            <v>0.002425</v>
          </cell>
          <cell r="E29">
            <v>0</v>
          </cell>
        </row>
        <row r="30">
          <cell r="D30">
            <v>5</v>
          </cell>
          <cell r="E30">
            <v>0</v>
          </cell>
        </row>
        <row r="31">
          <cell r="D31">
            <v>0.012125</v>
          </cell>
          <cell r="E31">
            <v>0.0285</v>
          </cell>
        </row>
        <row r="40">
          <cell r="D40">
            <v>1622</v>
          </cell>
          <cell r="E40">
            <v>141250655</v>
          </cell>
          <cell r="F40">
            <v>87084.25092478421</v>
          </cell>
        </row>
        <row r="41">
          <cell r="D41">
            <v>1575</v>
          </cell>
          <cell r="E41">
            <v>142113479</v>
          </cell>
          <cell r="F41">
            <v>90230.78031746032</v>
          </cell>
        </row>
        <row r="42">
          <cell r="D42">
            <v>1610</v>
          </cell>
          <cell r="E42">
            <v>149492520</v>
          </cell>
          <cell r="F42">
            <v>92852.49689440994</v>
          </cell>
        </row>
        <row r="43">
          <cell r="D43">
            <v>1787.7999999999997</v>
          </cell>
          <cell r="E43">
            <v>166812412.45</v>
          </cell>
          <cell r="F43">
            <v>93305.96959950778</v>
          </cell>
        </row>
        <row r="44">
          <cell r="D44">
            <v>1912</v>
          </cell>
          <cell r="E44">
            <v>181017032.94</v>
          </cell>
          <cell r="F44">
            <v>94674.1804079498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421875" style="0" bestFit="1" customWidth="1"/>
    <col min="2" max="2" width="48.00390625" style="0" customWidth="1"/>
    <col min="3" max="3" width="7.8515625" style="0" bestFit="1" customWidth="1"/>
    <col min="4" max="4" width="14.57421875" style="0" customWidth="1"/>
    <col min="5" max="5" width="13.28125" style="0" customWidth="1"/>
    <col min="6" max="6" width="8.7109375" style="0" customWidth="1"/>
    <col min="7" max="7" width="10.57421875" style="0" bestFit="1" customWidth="1"/>
    <col min="8" max="8" width="11.421875" style="0" bestFit="1" customWidth="1"/>
    <col min="9" max="9" width="10.57421875" style="0" bestFit="1" customWidth="1"/>
    <col min="10" max="10" width="10.7109375" style="0" customWidth="1"/>
    <col min="11" max="11" width="15.421875" style="0" customWidth="1"/>
    <col min="12" max="12" width="15.7109375" style="0" customWidth="1"/>
  </cols>
  <sheetData>
    <row r="1" spans="1:2" ht="12.75">
      <c r="A1" s="2"/>
      <c r="B1" s="2"/>
    </row>
    <row r="2" spans="1:2" ht="12.75">
      <c r="A2" s="4"/>
      <c r="B2" s="4"/>
    </row>
    <row r="3" spans="1:4" ht="12.75">
      <c r="A3" s="4"/>
      <c r="B3" s="4"/>
      <c r="C3" s="4"/>
      <c r="D3" s="4"/>
    </row>
    <row r="4" spans="1:5" ht="12.75">
      <c r="A4" s="180" t="s">
        <v>13</v>
      </c>
      <c r="B4" s="180"/>
      <c r="C4" s="180"/>
      <c r="D4" s="180"/>
      <c r="E4" s="180"/>
    </row>
    <row r="5" spans="1:5" ht="12.75">
      <c r="A5" s="6" t="s">
        <v>7</v>
      </c>
      <c r="B5" s="6"/>
      <c r="C5" s="6"/>
      <c r="D5" s="6"/>
      <c r="E5" s="7"/>
    </row>
    <row r="6" spans="1:5" ht="12.75">
      <c r="A6" s="6" t="s">
        <v>77</v>
      </c>
      <c r="B6" s="6"/>
      <c r="C6" s="6"/>
      <c r="D6" s="6"/>
      <c r="E6" s="78"/>
    </row>
    <row r="7" spans="1:5" ht="12.75">
      <c r="A7" s="5" t="s">
        <v>78</v>
      </c>
      <c r="B7" s="6"/>
      <c r="C7" s="6"/>
      <c r="D7" s="6"/>
      <c r="E7" s="78"/>
    </row>
    <row r="8" spans="1:5" ht="12.75">
      <c r="A8" s="4"/>
      <c r="B8" s="8"/>
      <c r="C8" s="9"/>
      <c r="D8" s="77"/>
      <c r="E8" s="9"/>
    </row>
    <row r="9" spans="1:5" ht="12.75">
      <c r="A9" s="10" t="s">
        <v>2</v>
      </c>
      <c r="B9" s="4"/>
      <c r="C9" s="4"/>
      <c r="D9" s="4"/>
      <c r="E9" s="11" t="s">
        <v>0</v>
      </c>
    </row>
    <row r="10" spans="1:5" ht="12.75">
      <c r="A10" s="12" t="s">
        <v>3</v>
      </c>
      <c r="B10" s="13" t="s">
        <v>4</v>
      </c>
      <c r="C10" s="14"/>
      <c r="D10" s="14"/>
      <c r="E10" s="14" t="s">
        <v>5</v>
      </c>
    </row>
    <row r="11" spans="1:5" ht="12.75">
      <c r="A11" s="15"/>
      <c r="B11" s="16"/>
      <c r="C11" s="17"/>
      <c r="D11" s="17"/>
      <c r="E11" s="18"/>
    </row>
    <row r="12" spans="1:5" ht="12.75">
      <c r="A12" s="15">
        <v>1</v>
      </c>
      <c r="B12" s="38" t="s">
        <v>65</v>
      </c>
      <c r="C12" s="19"/>
      <c r="D12" s="23"/>
      <c r="E12" s="2"/>
    </row>
    <row r="13" spans="1:5" ht="12.75">
      <c r="A13" s="15">
        <f aca="true" t="shared" si="0" ref="A13:A34">A12+1</f>
        <v>2</v>
      </c>
      <c r="B13" s="24" t="s">
        <v>8</v>
      </c>
      <c r="C13" s="15"/>
      <c r="D13" s="80">
        <f>'Inv Plan'!C13</f>
        <v>7483207.938192001</v>
      </c>
      <c r="E13" s="2"/>
    </row>
    <row r="14" spans="1:5" ht="12.75">
      <c r="A14" s="15">
        <f t="shared" si="0"/>
        <v>3</v>
      </c>
      <c r="B14" s="19" t="s">
        <v>81</v>
      </c>
      <c r="C14" s="31">
        <f>'Non Union Wage'!G23</f>
        <v>0.0298</v>
      </c>
      <c r="D14" s="81">
        <f>+D13*C14</f>
        <v>222999.59655812162</v>
      </c>
      <c r="E14" s="68"/>
    </row>
    <row r="15" spans="1:5" ht="12.75">
      <c r="A15" s="15">
        <f t="shared" si="0"/>
        <v>4</v>
      </c>
      <c r="B15" s="20" t="s">
        <v>9</v>
      </c>
      <c r="C15" s="15"/>
      <c r="D15" s="15"/>
      <c r="E15" s="37">
        <f>SUM(D13:D14)</f>
        <v>7706207.534750123</v>
      </c>
    </row>
    <row r="16" spans="1:5" ht="12.75">
      <c r="A16" s="15">
        <f t="shared" si="0"/>
        <v>5</v>
      </c>
      <c r="B16" s="20"/>
      <c r="C16" s="15"/>
      <c r="D16" s="15"/>
      <c r="E16" s="37"/>
    </row>
    <row r="17" spans="1:5" ht="12.75">
      <c r="A17" s="15">
        <f t="shared" si="0"/>
        <v>6</v>
      </c>
      <c r="B17" s="38" t="s">
        <v>16</v>
      </c>
      <c r="C17" s="25"/>
      <c r="D17" s="25"/>
      <c r="E17" s="37"/>
    </row>
    <row r="18" spans="1:5" ht="12.75">
      <c r="A18" s="15">
        <f t="shared" si="0"/>
        <v>7</v>
      </c>
      <c r="B18" s="24" t="s">
        <v>22</v>
      </c>
      <c r="C18" s="15"/>
      <c r="D18" s="82">
        <f>+'Inv Plan'!C16</f>
        <v>2733666.2376</v>
      </c>
      <c r="E18" s="68"/>
    </row>
    <row r="19" spans="1:5" ht="12.75">
      <c r="A19" s="15">
        <f t="shared" si="0"/>
        <v>8</v>
      </c>
      <c r="B19" s="19" t="s">
        <v>23</v>
      </c>
      <c r="C19" s="83">
        <f>'Union Wage Inc '!C12</f>
        <v>0.006875</v>
      </c>
      <c r="D19" s="81">
        <f>+D18*C19</f>
        <v>18793.9553835</v>
      </c>
      <c r="E19" s="68"/>
    </row>
    <row r="20" spans="1:5" ht="13.5">
      <c r="A20" s="15">
        <f t="shared" si="0"/>
        <v>9</v>
      </c>
      <c r="B20" s="20" t="s">
        <v>24</v>
      </c>
      <c r="C20" s="59"/>
      <c r="D20" s="20"/>
      <c r="E20" s="37">
        <f>SUM(D18:D19)</f>
        <v>2752460.1929835</v>
      </c>
    </row>
    <row r="21" spans="1:5" ht="13.5">
      <c r="A21" s="15">
        <f t="shared" si="0"/>
        <v>10</v>
      </c>
      <c r="B21" s="19"/>
      <c r="C21" s="60"/>
      <c r="D21" s="19"/>
      <c r="E21" s="56"/>
    </row>
    <row r="22" spans="1:5" ht="13.5">
      <c r="A22" s="15">
        <f t="shared" si="0"/>
        <v>11</v>
      </c>
      <c r="B22" s="38" t="s">
        <v>15</v>
      </c>
      <c r="C22" s="61"/>
      <c r="D22" s="25"/>
      <c r="E22" s="56"/>
    </row>
    <row r="23" spans="1:5" ht="13.5">
      <c r="A23" s="15">
        <f t="shared" si="0"/>
        <v>12</v>
      </c>
      <c r="B23" s="24" t="s">
        <v>25</v>
      </c>
      <c r="C23" s="62"/>
      <c r="D23" s="82">
        <f>+'Inv Plan'!C15</f>
        <v>1013154.9303599999</v>
      </c>
      <c r="E23" s="84"/>
    </row>
    <row r="24" spans="1:5" ht="12.75">
      <c r="A24" s="15">
        <f t="shared" si="0"/>
        <v>13</v>
      </c>
      <c r="B24" s="19" t="s">
        <v>26</v>
      </c>
      <c r="C24" s="83">
        <f>'Union Wage Inc '!C18</f>
        <v>0.03</v>
      </c>
      <c r="D24" s="81">
        <f>+D23*C24</f>
        <v>30394.647910799995</v>
      </c>
      <c r="E24" s="84"/>
    </row>
    <row r="25" spans="1:5" ht="12.75">
      <c r="A25" s="15">
        <f t="shared" si="0"/>
        <v>14</v>
      </c>
      <c r="B25" s="20" t="s">
        <v>27</v>
      </c>
      <c r="C25" s="20"/>
      <c r="D25" s="20"/>
      <c r="E25" s="37">
        <f>SUM(D23:D24)</f>
        <v>1043549.5782707998</v>
      </c>
    </row>
    <row r="26" spans="1:5" ht="13.5">
      <c r="A26" s="15">
        <f t="shared" si="0"/>
        <v>15</v>
      </c>
      <c r="B26" s="19"/>
      <c r="C26" s="19"/>
      <c r="D26" s="19"/>
      <c r="E26" s="57"/>
    </row>
    <row r="27" spans="1:5" ht="12.75">
      <c r="A27" s="15">
        <f t="shared" si="0"/>
        <v>16</v>
      </c>
      <c r="B27" s="39" t="s">
        <v>1</v>
      </c>
      <c r="C27" s="26"/>
      <c r="D27" s="26"/>
      <c r="E27" s="93"/>
    </row>
    <row r="28" spans="1:5" ht="12.75">
      <c r="A28" s="15">
        <f t="shared" si="0"/>
        <v>17</v>
      </c>
      <c r="B28" s="27" t="s">
        <v>28</v>
      </c>
      <c r="C28" s="15"/>
      <c r="D28" s="15"/>
      <c r="E28" s="82">
        <f>+E15+E20+E25</f>
        <v>11502217.306004424</v>
      </c>
    </row>
    <row r="29" spans="1:5" ht="12.75">
      <c r="A29" s="15">
        <f t="shared" si="0"/>
        <v>18</v>
      </c>
      <c r="B29" s="27" t="s">
        <v>10</v>
      </c>
      <c r="C29" s="31">
        <f>'[2]SAP DL Downld'!$H$15</f>
        <v>0.5465912059323549</v>
      </c>
      <c r="D29" s="31"/>
      <c r="E29" s="82">
        <f>+E28*C29</f>
        <v>6287010.82818496</v>
      </c>
    </row>
    <row r="30" spans="1:5" ht="12.75">
      <c r="A30" s="15">
        <f t="shared" si="0"/>
        <v>19</v>
      </c>
      <c r="B30" s="24" t="s">
        <v>93</v>
      </c>
      <c r="C30" s="28"/>
      <c r="D30" s="28"/>
      <c r="E30" s="81">
        <f>(+D13+D18+D23)*C29</f>
        <v>6138235.151787068</v>
      </c>
    </row>
    <row r="31" spans="1:5" ht="12.75">
      <c r="A31" s="15">
        <f t="shared" si="0"/>
        <v>20</v>
      </c>
      <c r="B31" s="29" t="s">
        <v>11</v>
      </c>
      <c r="C31" s="30"/>
      <c r="D31" s="30"/>
      <c r="E31" s="92">
        <f>E29-E30</f>
        <v>148775.67639789265</v>
      </c>
    </row>
    <row r="32" spans="1:5" ht="12.75">
      <c r="A32" s="15">
        <f t="shared" si="0"/>
        <v>21</v>
      </c>
      <c r="B32" s="19"/>
      <c r="C32" s="15"/>
      <c r="D32" s="15"/>
      <c r="E32" s="82"/>
    </row>
    <row r="33" spans="1:5" s="177" customFormat="1" ht="12.75">
      <c r="A33" s="15">
        <f t="shared" si="0"/>
        <v>22</v>
      </c>
      <c r="B33" s="24" t="s">
        <v>12</v>
      </c>
      <c r="C33" s="28">
        <v>0.21</v>
      </c>
      <c r="D33" s="28"/>
      <c r="E33" s="178">
        <f>ROUND(-E31*C33,0)</f>
        <v>-31243</v>
      </c>
    </row>
    <row r="34" spans="1:5" s="177" customFormat="1" ht="13.5" thickBot="1">
      <c r="A34" s="15">
        <f t="shared" si="0"/>
        <v>23</v>
      </c>
      <c r="B34" s="24" t="s">
        <v>6</v>
      </c>
      <c r="C34" s="15"/>
      <c r="D34" s="15"/>
      <c r="E34" s="179">
        <f>-E31-E33</f>
        <v>-117532.67639789265</v>
      </c>
    </row>
    <row r="35" spans="1:5" ht="13.5" thickTop="1">
      <c r="A35" s="15"/>
      <c r="B35" s="19"/>
      <c r="C35" s="19"/>
      <c r="D35" s="19"/>
      <c r="E35" s="21"/>
    </row>
    <row r="36" spans="3:4" ht="12.75">
      <c r="C36" s="2"/>
      <c r="D36" s="2"/>
    </row>
    <row r="37" spans="3:5" ht="12.75">
      <c r="C37" s="2"/>
      <c r="D37" s="2"/>
      <c r="E37" s="167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ht="12.75">
      <c r="A40" s="1"/>
    </row>
  </sheetData>
  <sheetProtection/>
  <mergeCells count="1">
    <mergeCell ref="A4:E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5.421875" style="0" bestFit="1" customWidth="1"/>
    <col min="2" max="2" width="50.7109375" style="0" customWidth="1"/>
    <col min="3" max="3" width="10.7109375" style="0" customWidth="1"/>
    <col min="4" max="4" width="11.8515625" style="0" customWidth="1"/>
    <col min="5" max="5" width="11.57421875" style="0" customWidth="1"/>
    <col min="6" max="6" width="9.57421875" style="0" customWidth="1"/>
    <col min="7" max="7" width="16.421875" style="0" bestFit="1" customWidth="1"/>
    <col min="8" max="8" width="10.57421875" style="0" bestFit="1" customWidth="1"/>
    <col min="9" max="9" width="12.7109375" style="0" customWidth="1"/>
    <col min="11" max="11" width="9.00390625" style="0" bestFit="1" customWidth="1"/>
    <col min="12" max="12" width="10.57421875" style="0" bestFit="1" customWidth="1"/>
    <col min="13" max="13" width="9.57421875" style="0" bestFit="1" customWidth="1"/>
  </cols>
  <sheetData>
    <row r="1" spans="1:5" ht="12.75">
      <c r="A1" s="3"/>
      <c r="B1" s="2"/>
      <c r="E1" s="22"/>
    </row>
    <row r="2" spans="1:5" ht="12.75">
      <c r="A2" s="2"/>
      <c r="B2" s="2"/>
      <c r="E2" s="22"/>
    </row>
    <row r="3" spans="1:5" ht="12.75">
      <c r="A3" s="4"/>
      <c r="B3" s="4"/>
      <c r="E3" s="100"/>
    </row>
    <row r="4" spans="1:4" ht="12.75">
      <c r="A4" s="4"/>
      <c r="B4" s="4"/>
      <c r="C4" s="4"/>
      <c r="D4" s="4"/>
    </row>
    <row r="5" spans="1:5" ht="12.75">
      <c r="A5" s="5" t="s">
        <v>21</v>
      </c>
      <c r="B5" s="6"/>
      <c r="C5" s="6"/>
      <c r="D5" s="6"/>
      <c r="E5" s="6"/>
    </row>
    <row r="6" spans="1:5" ht="12.75">
      <c r="A6" s="6" t="s">
        <v>7</v>
      </c>
      <c r="B6" s="6"/>
      <c r="C6" s="6"/>
      <c r="D6" s="6"/>
      <c r="E6" s="7"/>
    </row>
    <row r="7" spans="1:5" ht="12.75">
      <c r="A7" s="6" t="str">
        <f>'Lead E'!A6</f>
        <v>FOR THE TWELVE MONTHS ENDED SEPTEMBER 30, 2016</v>
      </c>
      <c r="B7" s="6"/>
      <c r="C7" s="6"/>
      <c r="D7" s="6"/>
      <c r="E7" s="78"/>
    </row>
    <row r="8" spans="1:5" ht="12.75">
      <c r="A8" s="6" t="str">
        <f>'Lead E'!A7</f>
        <v>2017 GENERAL RATE INCREASE</v>
      </c>
      <c r="B8" s="6"/>
      <c r="C8" s="6"/>
      <c r="D8" s="6"/>
      <c r="E8" s="78"/>
    </row>
    <row r="9" spans="1:5" ht="12.75">
      <c r="A9" s="4"/>
      <c r="B9" s="8"/>
      <c r="C9" s="9"/>
      <c r="D9" s="9"/>
      <c r="E9" s="9"/>
    </row>
    <row r="10" spans="1:5" ht="12.75">
      <c r="A10" s="10" t="s">
        <v>2</v>
      </c>
      <c r="B10" s="4"/>
      <c r="C10" s="4"/>
      <c r="D10" s="77"/>
      <c r="E10" s="9"/>
    </row>
    <row r="11" spans="1:5" ht="12.75">
      <c r="A11" s="12" t="s">
        <v>3</v>
      </c>
      <c r="B11" s="13" t="s">
        <v>4</v>
      </c>
      <c r="C11" s="14"/>
      <c r="D11" s="14"/>
      <c r="E11" s="14" t="s">
        <v>5</v>
      </c>
    </row>
    <row r="12" spans="1:5" ht="12.75">
      <c r="A12" s="15"/>
      <c r="B12" s="16"/>
      <c r="C12" s="17"/>
      <c r="D12" s="17"/>
      <c r="E12" s="18"/>
    </row>
    <row r="13" spans="1:6" ht="12.75">
      <c r="A13" s="15">
        <v>1</v>
      </c>
      <c r="B13" s="38" t="s">
        <v>65</v>
      </c>
      <c r="C13" s="19"/>
      <c r="D13" s="19"/>
      <c r="E13" s="23"/>
      <c r="F13" s="2"/>
    </row>
    <row r="14" spans="1:6" ht="12.75">
      <c r="A14" s="15">
        <f aca="true" t="shared" si="0" ref="A14:A35">A13+1</f>
        <v>2</v>
      </c>
      <c r="B14" s="24" t="s">
        <v>8</v>
      </c>
      <c r="C14" s="15"/>
      <c r="D14" s="80">
        <f>'Inv Plan'!D13</f>
        <v>3612889.2418080005</v>
      </c>
      <c r="E14" s="2"/>
      <c r="F14" s="2"/>
    </row>
    <row r="15" spans="1:6" ht="12.75">
      <c r="A15" s="15">
        <f t="shared" si="0"/>
        <v>3</v>
      </c>
      <c r="B15" s="19" t="s">
        <v>81</v>
      </c>
      <c r="C15" s="31">
        <f>'Non Union Wage'!G23</f>
        <v>0.0298</v>
      </c>
      <c r="D15" s="81">
        <f>+D14*C15</f>
        <v>107664.09940587841</v>
      </c>
      <c r="E15" s="68"/>
      <c r="F15" s="2"/>
    </row>
    <row r="16" spans="1:6" ht="12.75">
      <c r="A16" s="15">
        <f t="shared" si="0"/>
        <v>4</v>
      </c>
      <c r="B16" s="20" t="s">
        <v>9</v>
      </c>
      <c r="C16" s="15"/>
      <c r="D16" s="15"/>
      <c r="E16" s="37">
        <f>SUM(D14:D15)</f>
        <v>3720553.3412138787</v>
      </c>
      <c r="F16" s="2"/>
    </row>
    <row r="17" spans="1:6" ht="12.75">
      <c r="A17" s="15">
        <f t="shared" si="0"/>
        <v>5</v>
      </c>
      <c r="B17" s="20"/>
      <c r="C17" s="15"/>
      <c r="D17" s="15"/>
      <c r="E17" s="37"/>
      <c r="F17" s="2"/>
    </row>
    <row r="18" spans="1:6" ht="12.75">
      <c r="A18" s="15">
        <f t="shared" si="0"/>
        <v>6</v>
      </c>
      <c r="B18" s="38" t="s">
        <v>16</v>
      </c>
      <c r="C18" s="25"/>
      <c r="D18" s="25"/>
      <c r="E18" s="37"/>
      <c r="F18" s="2"/>
    </row>
    <row r="19" spans="1:6" ht="12.75">
      <c r="A19" s="15">
        <f t="shared" si="0"/>
        <v>7</v>
      </c>
      <c r="B19" s="24" t="s">
        <v>22</v>
      </c>
      <c r="C19" s="15"/>
      <c r="D19" s="82">
        <f>'Inv Plan'!D16</f>
        <v>1319812.7624</v>
      </c>
      <c r="E19" s="68"/>
      <c r="F19" s="2"/>
    </row>
    <row r="20" spans="1:6" ht="12.75">
      <c r="A20" s="15">
        <f t="shared" si="0"/>
        <v>8</v>
      </c>
      <c r="B20" s="19" t="s">
        <v>23</v>
      </c>
      <c r="C20" s="83">
        <f>'Lead E'!C19</f>
        <v>0.006875</v>
      </c>
      <c r="D20" s="81">
        <f>+D19*C20</f>
        <v>9073.7127415</v>
      </c>
      <c r="E20" s="74"/>
      <c r="F20" s="2"/>
    </row>
    <row r="21" spans="1:6" ht="12.75">
      <c r="A21" s="15">
        <f t="shared" si="0"/>
        <v>9</v>
      </c>
      <c r="B21" s="20" t="s">
        <v>24</v>
      </c>
      <c r="C21" s="20"/>
      <c r="D21" s="20"/>
      <c r="E21" s="37">
        <f>SUM(D19:D20)</f>
        <v>1328886.4751415</v>
      </c>
      <c r="F21" s="2"/>
    </row>
    <row r="22" spans="1:6" ht="12.75">
      <c r="A22" s="15">
        <f t="shared" si="0"/>
        <v>10</v>
      </c>
      <c r="B22" s="19"/>
      <c r="C22" s="19"/>
      <c r="D22" s="19"/>
      <c r="E22" s="37"/>
      <c r="F22" s="2"/>
    </row>
    <row r="23" spans="1:6" ht="13.5">
      <c r="A23" s="15">
        <f t="shared" si="0"/>
        <v>11</v>
      </c>
      <c r="B23" s="38" t="s">
        <v>15</v>
      </c>
      <c r="C23" s="25"/>
      <c r="D23" s="25"/>
      <c r="E23" s="56"/>
      <c r="F23" s="2"/>
    </row>
    <row r="24" spans="1:6" ht="12.75">
      <c r="A24" s="15">
        <f t="shared" si="0"/>
        <v>12</v>
      </c>
      <c r="B24" s="24" t="s">
        <v>25</v>
      </c>
      <c r="C24" s="15"/>
      <c r="D24" s="82">
        <f>+'Inv Plan'!D15</f>
        <v>489150.71963999997</v>
      </c>
      <c r="E24" s="84"/>
      <c r="F24" s="2"/>
    </row>
    <row r="25" spans="1:6" ht="12.75">
      <c r="A25" s="15">
        <f t="shared" si="0"/>
        <v>13</v>
      </c>
      <c r="B25" s="19" t="s">
        <v>26</v>
      </c>
      <c r="C25" s="83">
        <f>'Lead E'!C24</f>
        <v>0.03</v>
      </c>
      <c r="D25" s="81">
        <f>+D24*C25</f>
        <v>14674.521589199998</v>
      </c>
      <c r="E25" s="74"/>
      <c r="F25" s="2"/>
    </row>
    <row r="26" spans="1:6" ht="12.75">
      <c r="A26" s="15">
        <f t="shared" si="0"/>
        <v>14</v>
      </c>
      <c r="B26" s="20" t="s">
        <v>27</v>
      </c>
      <c r="C26" s="20"/>
      <c r="D26" s="20"/>
      <c r="E26" s="37">
        <f>SUM(D24:D25)</f>
        <v>503825.2412292</v>
      </c>
      <c r="F26" s="2"/>
    </row>
    <row r="27" spans="1:6" ht="12.75">
      <c r="A27" s="15">
        <f t="shared" si="0"/>
        <v>15</v>
      </c>
      <c r="B27" s="19"/>
      <c r="C27" s="19"/>
      <c r="D27" s="19"/>
      <c r="E27" s="91"/>
      <c r="F27" s="2"/>
    </row>
    <row r="28" spans="1:6" ht="13.5">
      <c r="A28" s="15">
        <f t="shared" si="0"/>
        <v>16</v>
      </c>
      <c r="B28" s="39" t="s">
        <v>1</v>
      </c>
      <c r="C28" s="26"/>
      <c r="D28" s="26"/>
      <c r="E28" s="58"/>
      <c r="F28" s="2"/>
    </row>
    <row r="29" spans="1:6" ht="12.75">
      <c r="A29" s="15">
        <f t="shared" si="0"/>
        <v>17</v>
      </c>
      <c r="B29" s="27" t="s">
        <v>28</v>
      </c>
      <c r="C29" s="15"/>
      <c r="D29" s="15"/>
      <c r="E29" s="82">
        <f>+E16+E26+E21</f>
        <v>5553265.057584579</v>
      </c>
      <c r="F29" s="2"/>
    </row>
    <row r="30" spans="1:6" ht="12.75">
      <c r="A30" s="15">
        <f t="shared" si="0"/>
        <v>18</v>
      </c>
      <c r="B30" s="27" t="s">
        <v>10</v>
      </c>
      <c r="C30" s="31">
        <f>+'Lead E'!C29</f>
        <v>0.5465912059323549</v>
      </c>
      <c r="D30" s="31"/>
      <c r="E30" s="82">
        <f>+E29*C30</f>
        <v>3035365.8446871634</v>
      </c>
      <c r="F30" s="2"/>
    </row>
    <row r="31" spans="1:6" ht="12.75">
      <c r="A31" s="15">
        <f t="shared" si="0"/>
        <v>19</v>
      </c>
      <c r="B31" s="24" t="s">
        <v>93</v>
      </c>
      <c r="C31" s="28"/>
      <c r="D31" s="28"/>
      <c r="E31" s="81">
        <f>(+D14+D24+D19)*C30</f>
        <v>2963537.0187157015</v>
      </c>
      <c r="F31" s="2"/>
    </row>
    <row r="32" spans="1:6" ht="12.75">
      <c r="A32" s="15">
        <f t="shared" si="0"/>
        <v>20</v>
      </c>
      <c r="B32" s="29" t="s">
        <v>11</v>
      </c>
      <c r="C32" s="30"/>
      <c r="D32" s="30"/>
      <c r="E32" s="92">
        <f>E30-E31</f>
        <v>71828.82597146183</v>
      </c>
      <c r="F32" s="2"/>
    </row>
    <row r="33" spans="1:6" ht="12.75">
      <c r="A33" s="15">
        <f t="shared" si="0"/>
        <v>21</v>
      </c>
      <c r="B33" s="19"/>
      <c r="C33" s="15"/>
      <c r="D33" s="15"/>
      <c r="E33" s="82"/>
      <c r="F33" s="2"/>
    </row>
    <row r="34" spans="1:6" s="177" customFormat="1" ht="12.75">
      <c r="A34" s="15">
        <f t="shared" si="0"/>
        <v>22</v>
      </c>
      <c r="B34" s="24" t="s">
        <v>12</v>
      </c>
      <c r="C34" s="28">
        <v>0.21</v>
      </c>
      <c r="D34" s="28"/>
      <c r="E34" s="178">
        <f>ROUND(-E32*C34,0)</f>
        <v>-15084</v>
      </c>
      <c r="F34" s="176"/>
    </row>
    <row r="35" spans="1:6" s="177" customFormat="1" ht="13.5" thickBot="1">
      <c r="A35" s="15">
        <f t="shared" si="0"/>
        <v>23</v>
      </c>
      <c r="B35" s="24" t="s">
        <v>6</v>
      </c>
      <c r="C35" s="15"/>
      <c r="D35" s="15"/>
      <c r="E35" s="179">
        <f>-E32-E34</f>
        <v>-56744.82597146183</v>
      </c>
      <c r="F35" s="176"/>
    </row>
    <row r="36" spans="1:6" ht="13.5" thickTop="1">
      <c r="A36" s="19"/>
      <c r="B36" s="19"/>
      <c r="C36" s="19"/>
      <c r="D36" s="19"/>
      <c r="E36" s="21"/>
      <c r="F36" s="2"/>
    </row>
    <row r="37" spans="2:6" ht="12.75">
      <c r="B37" s="2"/>
      <c r="C37" s="2"/>
      <c r="D37" s="90"/>
      <c r="F37" s="2"/>
    </row>
    <row r="38" spans="2:6" ht="12.75">
      <c r="B38" s="2"/>
      <c r="C38" s="2"/>
      <c r="D38" s="2"/>
      <c r="E38" s="168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1:6" ht="12.75">
      <c r="A41" s="1"/>
      <c r="B41" s="2"/>
      <c r="C41" s="2"/>
      <c r="D41" s="2"/>
      <c r="E41" s="2"/>
      <c r="F41" s="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5.421875" style="40" customWidth="1"/>
    <col min="2" max="2" width="48.28125" style="40" customWidth="1"/>
    <col min="3" max="3" width="8.140625" style="40" bestFit="1" customWidth="1"/>
    <col min="4" max="4" width="18.8515625" style="40" bestFit="1" customWidth="1"/>
    <col min="5" max="5" width="20.140625" style="40" customWidth="1"/>
    <col min="6" max="6" width="15.28125" style="40" customWidth="1"/>
    <col min="7" max="7" width="13.7109375" style="40" bestFit="1" customWidth="1"/>
    <col min="8" max="8" width="13.00390625" style="40" customWidth="1"/>
    <col min="9" max="9" width="9.28125" style="40" bestFit="1" customWidth="1"/>
    <col min="10" max="10" width="35.28125" style="40" bestFit="1" customWidth="1"/>
    <col min="11" max="12" width="18.8515625" style="40" bestFit="1" customWidth="1"/>
    <col min="13" max="13" width="7.8515625" style="40" bestFit="1" customWidth="1"/>
    <col min="14" max="14" width="9.28125" style="40" bestFit="1" customWidth="1"/>
    <col min="15" max="16384" width="9.140625" style="40" customWidth="1"/>
  </cols>
  <sheetData>
    <row r="2" spans="1:7" ht="12.75">
      <c r="A2" s="65" t="s">
        <v>29</v>
      </c>
      <c r="B2" s="41"/>
      <c r="C2" s="41"/>
      <c r="D2" s="41"/>
      <c r="E2" s="41"/>
      <c r="F2" s="41"/>
      <c r="G2" s="41"/>
    </row>
    <row r="3" spans="1:7" ht="12.75">
      <c r="A3" s="65" t="s">
        <v>39</v>
      </c>
      <c r="B3" s="41"/>
      <c r="C3" s="41"/>
      <c r="D3" s="41"/>
      <c r="E3" s="41"/>
      <c r="F3" s="41"/>
      <c r="G3" s="41"/>
    </row>
    <row r="4" spans="1:7" ht="12.75">
      <c r="A4" s="41" t="s">
        <v>68</v>
      </c>
      <c r="B4" s="41"/>
      <c r="C4" s="41"/>
      <c r="D4" s="41"/>
      <c r="E4" s="41"/>
      <c r="F4" s="41"/>
      <c r="G4" s="41"/>
    </row>
    <row r="5" spans="1:7" ht="12.75">
      <c r="A5" s="41" t="s">
        <v>82</v>
      </c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2.75">
      <c r="A7" s="42"/>
      <c r="B7" s="42"/>
      <c r="C7" s="42"/>
      <c r="D7" s="42"/>
      <c r="E7" s="42" t="s">
        <v>40</v>
      </c>
      <c r="F7" s="42"/>
      <c r="G7" s="42" t="s">
        <v>58</v>
      </c>
    </row>
    <row r="8" spans="1:8" ht="12.75">
      <c r="A8" s="42"/>
      <c r="B8" s="42"/>
      <c r="C8" s="42"/>
      <c r="D8" s="42" t="s">
        <v>41</v>
      </c>
      <c r="E8" s="42" t="s">
        <v>42</v>
      </c>
      <c r="F8" s="42" t="s">
        <v>59</v>
      </c>
      <c r="G8" s="42" t="s">
        <v>42</v>
      </c>
      <c r="H8" s="42" t="s">
        <v>35</v>
      </c>
    </row>
    <row r="9" spans="4:8" ht="12.75">
      <c r="D9" s="46" t="s">
        <v>60</v>
      </c>
      <c r="E9" s="46" t="s">
        <v>44</v>
      </c>
      <c r="F9" s="47" t="s">
        <v>43</v>
      </c>
      <c r="G9" s="46" t="s">
        <v>44</v>
      </c>
      <c r="H9" s="48" t="s">
        <v>37</v>
      </c>
    </row>
    <row r="10" spans="1:8" ht="12.75">
      <c r="A10" s="43" t="s">
        <v>36</v>
      </c>
      <c r="B10" s="44" t="s">
        <v>31</v>
      </c>
      <c r="C10" s="44" t="s">
        <v>32</v>
      </c>
      <c r="D10" s="44" t="s">
        <v>45</v>
      </c>
      <c r="E10" s="43" t="s">
        <v>33</v>
      </c>
      <c r="F10" s="43" t="s">
        <v>34</v>
      </c>
      <c r="G10" s="43" t="s">
        <v>46</v>
      </c>
      <c r="H10" s="49"/>
    </row>
    <row r="11" spans="1:8" s="50" customFormat="1" ht="12.75">
      <c r="A11" s="40"/>
      <c r="B11" s="40"/>
      <c r="C11" s="40"/>
      <c r="D11" s="40"/>
      <c r="E11" s="40"/>
      <c r="F11" s="40"/>
      <c r="G11" s="40"/>
      <c r="H11" s="40"/>
    </row>
    <row r="12" spans="1:9" s="50" customFormat="1" ht="14.25">
      <c r="A12" s="42">
        <v>1</v>
      </c>
      <c r="B12" s="79" t="s">
        <v>62</v>
      </c>
      <c r="C12" s="85"/>
      <c r="D12" s="87">
        <f>G41</f>
        <v>0.036132014219124486</v>
      </c>
      <c r="E12" s="86">
        <f>(1+D12)</f>
        <v>1.0361320142191244</v>
      </c>
      <c r="F12" s="87">
        <f>'[3]Non-Union Wage Incr'!F12</f>
        <v>0.0287</v>
      </c>
      <c r="G12" s="86">
        <f>(1+F12)</f>
        <v>1.0287</v>
      </c>
      <c r="H12" s="40"/>
      <c r="I12"/>
    </row>
    <row r="13" spans="1:9" s="50" customFormat="1" ht="12.75">
      <c r="A13" s="42">
        <f aca="true" t="shared" si="0" ref="A13:A44">A12+1</f>
        <v>2</v>
      </c>
      <c r="B13" s="63"/>
      <c r="C13" s="63"/>
      <c r="D13" s="63"/>
      <c r="E13" s="63"/>
      <c r="F13" s="63"/>
      <c r="G13" s="63"/>
      <c r="H13" s="40"/>
      <c r="I13"/>
    </row>
    <row r="14" spans="1:9" s="50" customFormat="1" ht="12.75">
      <c r="A14" s="42">
        <f t="shared" si="0"/>
        <v>3</v>
      </c>
      <c r="B14" s="79" t="s">
        <v>63</v>
      </c>
      <c r="C14" s="63"/>
      <c r="D14" s="87">
        <f>G42</f>
        <v>0.029055678868403836</v>
      </c>
      <c r="E14" s="86">
        <f>E12*(1+D14)</f>
        <v>1.0662375332895475</v>
      </c>
      <c r="F14" s="87">
        <f>'[3]Non-Union Wage Incr'!F14</f>
        <v>0.0286</v>
      </c>
      <c r="G14" s="86">
        <f>G12*(1+F14)</f>
        <v>1.0581208199999999</v>
      </c>
      <c r="H14" s="40"/>
      <c r="I14"/>
    </row>
    <row r="15" spans="1:9" s="50" customFormat="1" ht="12.75">
      <c r="A15" s="42">
        <f t="shared" si="0"/>
        <v>4</v>
      </c>
      <c r="B15" s="63"/>
      <c r="C15" s="63"/>
      <c r="D15" s="63"/>
      <c r="E15" s="63"/>
      <c r="F15" s="63"/>
      <c r="G15" s="63"/>
      <c r="H15" s="40"/>
      <c r="I15"/>
    </row>
    <row r="16" spans="1:9" s="50" customFormat="1" ht="14.25" customHeight="1">
      <c r="A16" s="42">
        <f t="shared" si="0"/>
        <v>5</v>
      </c>
      <c r="B16" s="79" t="s">
        <v>66</v>
      </c>
      <c r="C16" s="63"/>
      <c r="D16" s="87">
        <f>G43</f>
        <v>0.004883796561911742</v>
      </c>
      <c r="E16" s="111">
        <f>E14*(1+D16)</f>
        <v>1.0714448204888083</v>
      </c>
      <c r="F16" s="87">
        <f>'[3]Non-Union Wage Incr'!F16</f>
        <v>0.0291</v>
      </c>
      <c r="G16" s="111">
        <f>G14*(1+F16)</f>
        <v>1.0889121358619998</v>
      </c>
      <c r="H16" s="40"/>
      <c r="I16"/>
    </row>
    <row r="17" spans="1:8" s="50" customFormat="1" ht="14.25" customHeight="1">
      <c r="A17" s="42">
        <f t="shared" si="0"/>
        <v>6</v>
      </c>
      <c r="B17" s="79"/>
      <c r="C17" s="63"/>
      <c r="D17" s="87"/>
      <c r="E17" s="88"/>
      <c r="F17" s="87"/>
      <c r="G17" s="88"/>
      <c r="H17" s="40"/>
    </row>
    <row r="18" spans="1:8" s="50" customFormat="1" ht="14.25" customHeight="1">
      <c r="A18" s="42">
        <f t="shared" si="0"/>
        <v>7</v>
      </c>
      <c r="B18" s="79" t="s">
        <v>83</v>
      </c>
      <c r="C18" s="63"/>
      <c r="D18" s="87">
        <f>G44</f>
        <v>0.014663700664756134</v>
      </c>
      <c r="E18" s="111">
        <f>E16*(1+D18)</f>
        <v>1.0871561666152596</v>
      </c>
      <c r="F18" s="87">
        <f>'[3]Non-Union Wage Incr'!F18</f>
        <v>0.0285</v>
      </c>
      <c r="G18" s="111">
        <f>G16*(1+F18)</f>
        <v>1.1199461317340667</v>
      </c>
      <c r="H18" s="40"/>
    </row>
    <row r="19" spans="1:8" s="50" customFormat="1" ht="17.25" customHeight="1">
      <c r="A19" s="42">
        <f t="shared" si="0"/>
        <v>8</v>
      </c>
      <c r="B19" s="63" t="s">
        <v>47</v>
      </c>
      <c r="C19" s="63"/>
      <c r="D19" s="63"/>
      <c r="E19" s="112">
        <f>ROUND(E18-1,4)</f>
        <v>0.0872</v>
      </c>
      <c r="F19" s="63"/>
      <c r="G19" s="112">
        <f>ROUND(G18-1,4)</f>
        <v>0.1199</v>
      </c>
      <c r="H19" s="40"/>
    </row>
    <row r="20" spans="1:8" s="50" customFormat="1" ht="12.75">
      <c r="A20" s="42">
        <f t="shared" si="0"/>
        <v>9</v>
      </c>
      <c r="B20" s="45"/>
      <c r="C20" s="45"/>
      <c r="D20" s="45"/>
      <c r="E20" s="45"/>
      <c r="F20" s="52"/>
      <c r="G20" s="45"/>
      <c r="H20" s="45"/>
    </row>
    <row r="21" spans="1:9" s="50" customFormat="1" ht="14.25">
      <c r="A21" s="42">
        <f t="shared" si="0"/>
        <v>10</v>
      </c>
      <c r="B21" s="40" t="s">
        <v>84</v>
      </c>
      <c r="C21" s="40"/>
      <c r="D21" s="169">
        <f>E19/4</f>
        <v>0.0218</v>
      </c>
      <c r="E21" s="172"/>
      <c r="F21" s="170">
        <f>G19/4</f>
        <v>0.029975</v>
      </c>
      <c r="G21" s="51">
        <f>+E19/G19</f>
        <v>0.7272727272727272</v>
      </c>
      <c r="H21" s="142" t="str">
        <f>"= "&amp;E19*100&amp;" % / "&amp;G19*100&amp;" %"</f>
        <v>= 8.72 % / 11.99 %</v>
      </c>
      <c r="I21" s="143"/>
    </row>
    <row r="22" spans="1:9" s="50" customFormat="1" ht="13.5" thickBot="1">
      <c r="A22" s="42">
        <f t="shared" si="0"/>
        <v>11</v>
      </c>
      <c r="B22" s="40"/>
      <c r="C22" s="40"/>
      <c r="D22" s="171" t="s">
        <v>94</v>
      </c>
      <c r="E22" s="49"/>
      <c r="F22" s="173"/>
      <c r="G22" s="40"/>
      <c r="H22" s="143"/>
      <c r="I22" s="144"/>
    </row>
    <row r="23" spans="1:9" s="50" customFormat="1" ht="15" thickBot="1">
      <c r="A23" s="42">
        <f t="shared" si="0"/>
        <v>12</v>
      </c>
      <c r="B23" s="40" t="s">
        <v>85</v>
      </c>
      <c r="C23" s="40"/>
      <c r="D23" s="40"/>
      <c r="E23" s="53">
        <f>ROUND(+G21,4)</f>
        <v>0.7273</v>
      </c>
      <c r="F23" s="51">
        <f>+G32</f>
        <v>0.04097056249999986</v>
      </c>
      <c r="G23" s="113">
        <f>ROUND(+E23*F23,4)</f>
        <v>0.0298</v>
      </c>
      <c r="H23" s="142" t="str">
        <f>"= "&amp;E23*100&amp;" % * "&amp;FIXED(F23,4)*100&amp;" %"</f>
        <v>= 72.73 % * 4.1 %</v>
      </c>
      <c r="I23" s="144"/>
    </row>
    <row r="24" spans="1:16" s="50" customFormat="1" ht="14.25">
      <c r="A24" s="42">
        <f t="shared" si="0"/>
        <v>13</v>
      </c>
      <c r="B24" s="40"/>
      <c r="C24" s="40"/>
      <c r="D24" s="40"/>
      <c r="E24" s="53"/>
      <c r="F24" s="51"/>
      <c r="G24" s="114"/>
      <c r="H24" s="142"/>
      <c r="I24" s="144"/>
      <c r="J24"/>
      <c r="K24"/>
      <c r="L24"/>
      <c r="M24"/>
      <c r="N24"/>
      <c r="O24"/>
      <c r="P24"/>
    </row>
    <row r="25" spans="1:16" s="50" customFormat="1" ht="14.25">
      <c r="A25" s="42">
        <f t="shared" si="0"/>
        <v>14</v>
      </c>
      <c r="B25" s="40"/>
      <c r="C25" s="40"/>
      <c r="D25" s="40"/>
      <c r="E25" s="53"/>
      <c r="F25" s="51"/>
      <c r="G25" s="54"/>
      <c r="H25" s="40"/>
      <c r="J25"/>
      <c r="K25"/>
      <c r="L25"/>
      <c r="M25"/>
      <c r="N25"/>
      <c r="O25"/>
      <c r="P25"/>
    </row>
    <row r="26" spans="1:16" s="50" customFormat="1" ht="12.75">
      <c r="A26" s="42">
        <f t="shared" si="0"/>
        <v>15</v>
      </c>
      <c r="B26" s="181" t="s">
        <v>48</v>
      </c>
      <c r="C26" s="182"/>
      <c r="D26" s="182"/>
      <c r="E26" s="182"/>
      <c r="F26" s="182"/>
      <c r="G26" s="183"/>
      <c r="H26" s="40"/>
      <c r="J26"/>
      <c r="K26"/>
      <c r="L26"/>
      <c r="M26"/>
      <c r="N26"/>
      <c r="O26"/>
      <c r="P26"/>
    </row>
    <row r="27" spans="1:16" s="50" customFormat="1" ht="14.25">
      <c r="A27" s="42">
        <f t="shared" si="0"/>
        <v>16</v>
      </c>
      <c r="B27" s="145" t="s">
        <v>71</v>
      </c>
      <c r="C27" s="122"/>
      <c r="D27" s="146" t="s">
        <v>79</v>
      </c>
      <c r="E27" s="146" t="s">
        <v>95</v>
      </c>
      <c r="F27" s="151" t="s">
        <v>38</v>
      </c>
      <c r="G27" s="129"/>
      <c r="H27" s="63"/>
      <c r="I27" s="40"/>
      <c r="J27"/>
      <c r="K27"/>
      <c r="L27"/>
      <c r="M27"/>
      <c r="N27"/>
      <c r="O27"/>
      <c r="P27"/>
    </row>
    <row r="28" spans="1:16" s="50" customFormat="1" ht="14.25">
      <c r="A28" s="42">
        <f t="shared" si="0"/>
        <v>17</v>
      </c>
      <c r="B28" s="147" t="s">
        <v>72</v>
      </c>
      <c r="C28" s="122"/>
      <c r="D28" s="152">
        <f>'[3]Non-Union Wage Incr'!D28</f>
        <v>0.0291</v>
      </c>
      <c r="E28" s="152">
        <f>'[3]Non-Union Wage Incr'!E28</f>
        <v>0.0285</v>
      </c>
      <c r="F28" s="125"/>
      <c r="G28" s="153"/>
      <c r="H28" s="148"/>
      <c r="I28" s="115"/>
      <c r="J28"/>
      <c r="K28"/>
      <c r="L28"/>
      <c r="M28"/>
      <c r="N28"/>
      <c r="O28"/>
      <c r="P28"/>
    </row>
    <row r="29" spans="1:16" s="50" customFormat="1" ht="14.25">
      <c r="A29" s="42">
        <f t="shared" si="0"/>
        <v>18</v>
      </c>
      <c r="B29" s="147" t="s">
        <v>86</v>
      </c>
      <c r="C29" s="122"/>
      <c r="D29" s="174">
        <f>'[3]Non-Union Wage Incr'!D29</f>
        <v>0.002425</v>
      </c>
      <c r="E29" s="175">
        <f>'[3]Non-Union Wage Incr'!E29</f>
        <v>0</v>
      </c>
      <c r="F29" s="125"/>
      <c r="G29" s="153"/>
      <c r="H29" s="148"/>
      <c r="J29"/>
      <c r="K29"/>
      <c r="L29"/>
      <c r="M29"/>
      <c r="N29"/>
      <c r="O29"/>
      <c r="P29"/>
    </row>
    <row r="30" spans="1:16" s="50" customFormat="1" ht="14.25">
      <c r="A30" s="42">
        <f t="shared" si="0"/>
        <v>19</v>
      </c>
      <c r="B30" s="147" t="s">
        <v>80</v>
      </c>
      <c r="C30" s="122"/>
      <c r="D30" s="154">
        <f>'[3]Non-Union Wage Incr'!D30</f>
        <v>5</v>
      </c>
      <c r="E30" s="175">
        <f>'[3]Non-Union Wage Incr'!E30</f>
        <v>0</v>
      </c>
      <c r="F30" s="125"/>
      <c r="G30" s="155" t="s">
        <v>87</v>
      </c>
      <c r="H30" s="148"/>
      <c r="I30" s="117"/>
      <c r="J30"/>
      <c r="K30"/>
      <c r="L30"/>
      <c r="M30"/>
      <c r="N30"/>
      <c r="O30"/>
      <c r="P30"/>
    </row>
    <row r="31" spans="1:16" s="50" customFormat="1" ht="14.25">
      <c r="A31" s="42">
        <f t="shared" si="0"/>
        <v>20</v>
      </c>
      <c r="B31" s="147" t="s">
        <v>75</v>
      </c>
      <c r="C31" s="122"/>
      <c r="D31" s="156">
        <f>'[3]Non-Union Wage Incr'!D31</f>
        <v>0.012125</v>
      </c>
      <c r="E31" s="156">
        <f>'[3]Non-Union Wage Incr'!E31</f>
        <v>0.0285</v>
      </c>
      <c r="F31" s="157">
        <f>SUM(D31:E31)</f>
        <v>0.040625</v>
      </c>
      <c r="G31" s="158" t="s">
        <v>43</v>
      </c>
      <c r="H31" s="149"/>
      <c r="J31"/>
      <c r="K31"/>
      <c r="L31"/>
      <c r="M31"/>
      <c r="N31"/>
      <c r="O31"/>
      <c r="P31"/>
    </row>
    <row r="32" spans="1:10" s="50" customFormat="1" ht="14.25">
      <c r="A32" s="42">
        <f t="shared" si="0"/>
        <v>21</v>
      </c>
      <c r="B32" s="121" t="s">
        <v>88</v>
      </c>
      <c r="C32" s="159"/>
      <c r="D32" s="160">
        <f>1+D31</f>
        <v>1.012125</v>
      </c>
      <c r="E32" s="160">
        <f>1+E31</f>
        <v>1.0285</v>
      </c>
      <c r="F32" s="160">
        <f>+E32*D32</f>
        <v>1.0409705624999999</v>
      </c>
      <c r="G32" s="161">
        <f>F32-1</f>
        <v>0.04097056249999986</v>
      </c>
      <c r="H32" s="150"/>
      <c r="I32" s="119"/>
      <c r="J32" s="116"/>
    </row>
    <row r="33" spans="1:10" s="50" customFormat="1" ht="14.25">
      <c r="A33" s="42">
        <f t="shared" si="0"/>
        <v>22</v>
      </c>
      <c r="B33" s="121"/>
      <c r="C33" s="159"/>
      <c r="D33" s="162" t="s">
        <v>89</v>
      </c>
      <c r="E33" s="162" t="s">
        <v>90</v>
      </c>
      <c r="F33" s="162" t="s">
        <v>91</v>
      </c>
      <c r="G33" s="163" t="s">
        <v>92</v>
      </c>
      <c r="H33" s="150"/>
      <c r="I33" s="119"/>
      <c r="J33" s="116"/>
    </row>
    <row r="34" spans="1:10" s="50" customFormat="1" ht="6.75" customHeight="1">
      <c r="A34" s="42">
        <f t="shared" si="0"/>
        <v>23</v>
      </c>
      <c r="B34" s="164"/>
      <c r="C34" s="165"/>
      <c r="D34" s="165"/>
      <c r="E34" s="165"/>
      <c r="F34" s="165"/>
      <c r="G34" s="166"/>
      <c r="H34" s="40"/>
      <c r="J34" s="118"/>
    </row>
    <row r="35" spans="1:10" s="50" customFormat="1" ht="12.75">
      <c r="A35" s="42">
        <f t="shared" si="0"/>
        <v>24</v>
      </c>
      <c r="B35" s="184" t="s">
        <v>64</v>
      </c>
      <c r="C35" s="185"/>
      <c r="D35" s="185"/>
      <c r="E35" s="185"/>
      <c r="F35" s="185"/>
      <c r="G35" s="186"/>
      <c r="H35" s="40"/>
      <c r="J35" s="120"/>
    </row>
    <row r="36" spans="1:10" s="50" customFormat="1" ht="12.75">
      <c r="A36" s="42">
        <f t="shared" si="0"/>
        <v>25</v>
      </c>
      <c r="B36" s="121"/>
      <c r="C36" s="122"/>
      <c r="D36" s="122"/>
      <c r="E36" s="122"/>
      <c r="F36" s="122"/>
      <c r="G36" s="123" t="s">
        <v>40</v>
      </c>
      <c r="H36" s="40"/>
      <c r="J36" s="124"/>
    </row>
    <row r="37" spans="1:8" s="50" customFormat="1" ht="12.75">
      <c r="A37" s="42">
        <f t="shared" si="0"/>
        <v>26</v>
      </c>
      <c r="B37" s="121"/>
      <c r="C37" s="122"/>
      <c r="D37" s="125" t="s">
        <v>49</v>
      </c>
      <c r="E37" s="125" t="s">
        <v>50</v>
      </c>
      <c r="F37" s="125" t="s">
        <v>51</v>
      </c>
      <c r="G37" s="123" t="s">
        <v>42</v>
      </c>
      <c r="H37" s="40"/>
    </row>
    <row r="38" spans="1:15" s="50" customFormat="1" ht="12.75">
      <c r="A38" s="42">
        <f t="shared" si="0"/>
        <v>27</v>
      </c>
      <c r="B38" s="126"/>
      <c r="C38" s="127"/>
      <c r="D38" s="127" t="s">
        <v>52</v>
      </c>
      <c r="E38" s="127" t="s">
        <v>53</v>
      </c>
      <c r="F38" s="127" t="s">
        <v>54</v>
      </c>
      <c r="G38" s="128" t="s">
        <v>55</v>
      </c>
      <c r="H38" s="40"/>
      <c r="I38"/>
      <c r="J38"/>
      <c r="K38"/>
      <c r="L38"/>
      <c r="M38"/>
      <c r="N38"/>
      <c r="O38"/>
    </row>
    <row r="39" spans="1:15" s="50" customFormat="1" ht="12.75">
      <c r="A39" s="42">
        <f t="shared" si="0"/>
        <v>28</v>
      </c>
      <c r="B39" s="121"/>
      <c r="C39" s="122"/>
      <c r="D39" s="122"/>
      <c r="E39" s="122"/>
      <c r="F39" s="122"/>
      <c r="G39" s="129"/>
      <c r="H39" s="40"/>
      <c r="I39"/>
      <c r="J39"/>
      <c r="K39"/>
      <c r="L39"/>
      <c r="M39"/>
      <c r="N39"/>
      <c r="O39"/>
    </row>
    <row r="40" spans="1:15" s="50" customFormat="1" ht="14.25">
      <c r="A40" s="42">
        <f t="shared" si="0"/>
        <v>29</v>
      </c>
      <c r="B40" s="130" t="s">
        <v>61</v>
      </c>
      <c r="C40" s="131"/>
      <c r="D40" s="132">
        <f>'[3]Non-Union Wage Incr'!D40</f>
        <v>1622</v>
      </c>
      <c r="E40" s="132">
        <f>'[3]Non-Union Wage Incr'!E40</f>
        <v>141250655</v>
      </c>
      <c r="F40" s="132">
        <f>'[3]Non-Union Wage Incr'!F40</f>
        <v>87084.25092478421</v>
      </c>
      <c r="G40" s="133"/>
      <c r="H40" s="40"/>
      <c r="I40"/>
      <c r="J40"/>
      <c r="K40"/>
      <c r="L40"/>
      <c r="M40"/>
      <c r="N40"/>
      <c r="O40"/>
    </row>
    <row r="41" spans="1:15" s="50" customFormat="1" ht="14.25">
      <c r="A41" s="42">
        <f t="shared" si="0"/>
        <v>30</v>
      </c>
      <c r="B41" s="130" t="s">
        <v>62</v>
      </c>
      <c r="C41" s="131"/>
      <c r="D41" s="132">
        <f>'[3]Non-Union Wage Incr'!D41</f>
        <v>1575</v>
      </c>
      <c r="E41" s="132">
        <f>'[3]Non-Union Wage Incr'!E41</f>
        <v>142113479</v>
      </c>
      <c r="F41" s="132">
        <f>'[3]Non-Union Wage Incr'!F41</f>
        <v>90230.78031746032</v>
      </c>
      <c r="G41" s="133">
        <f>(F41-F40)/F40</f>
        <v>0.036132014219124486</v>
      </c>
      <c r="H41" s="40"/>
      <c r="I41"/>
      <c r="J41"/>
      <c r="K41"/>
      <c r="L41"/>
      <c r="M41"/>
      <c r="N41"/>
      <c r="O41"/>
    </row>
    <row r="42" spans="1:15" s="50" customFormat="1" ht="14.25">
      <c r="A42" s="42">
        <f t="shared" si="0"/>
        <v>31</v>
      </c>
      <c r="B42" s="130" t="s">
        <v>63</v>
      </c>
      <c r="C42" s="131"/>
      <c r="D42" s="132">
        <f>'[3]Non-Union Wage Incr'!D42</f>
        <v>1610</v>
      </c>
      <c r="E42" s="132">
        <f>'[3]Non-Union Wage Incr'!E42</f>
        <v>149492520</v>
      </c>
      <c r="F42" s="132">
        <f>'[3]Non-Union Wage Incr'!F42</f>
        <v>92852.49689440994</v>
      </c>
      <c r="G42" s="133">
        <f>(F42-F41)/F41</f>
        <v>0.029055678868403836</v>
      </c>
      <c r="H42" s="40"/>
      <c r="I42"/>
      <c r="J42"/>
      <c r="K42"/>
      <c r="L42"/>
      <c r="M42"/>
      <c r="N42"/>
      <c r="O42"/>
    </row>
    <row r="43" spans="1:15" s="50" customFormat="1" ht="14.25">
      <c r="A43" s="42">
        <f t="shared" si="0"/>
        <v>32</v>
      </c>
      <c r="B43" s="130" t="s">
        <v>66</v>
      </c>
      <c r="C43" s="131"/>
      <c r="D43" s="132">
        <f>'[3]Non-Union Wage Incr'!D43</f>
        <v>1787.7999999999997</v>
      </c>
      <c r="E43" s="132">
        <f>'[3]Non-Union Wage Incr'!E43</f>
        <v>166812412.45</v>
      </c>
      <c r="F43" s="132">
        <f>'[3]Non-Union Wage Incr'!F43</f>
        <v>93305.96959950778</v>
      </c>
      <c r="G43" s="133">
        <f>(F43-F42)/F42</f>
        <v>0.004883796561911742</v>
      </c>
      <c r="H43" s="40"/>
      <c r="I43"/>
      <c r="J43"/>
      <c r="K43"/>
      <c r="L43"/>
      <c r="M43"/>
      <c r="N43"/>
      <c r="O43"/>
    </row>
    <row r="44" spans="1:15" ht="14.25">
      <c r="A44" s="42">
        <f t="shared" si="0"/>
        <v>33</v>
      </c>
      <c r="B44" s="134" t="s">
        <v>83</v>
      </c>
      <c r="C44" s="135"/>
      <c r="D44" s="136">
        <f>'[3]Non-Union Wage Incr'!D44</f>
        <v>1912</v>
      </c>
      <c r="E44" s="136">
        <f>'[3]Non-Union Wage Incr'!E44</f>
        <v>181017032.94</v>
      </c>
      <c r="F44" s="136">
        <f>'[3]Non-Union Wage Incr'!F44</f>
        <v>94674.1804079498</v>
      </c>
      <c r="G44" s="137">
        <f>(F44-F43)/F43</f>
        <v>0.014663700664756134</v>
      </c>
      <c r="I44"/>
      <c r="J44"/>
      <c r="K44"/>
      <c r="L44"/>
      <c r="M44"/>
      <c r="N44"/>
      <c r="O44"/>
    </row>
    <row r="45" spans="2:15" ht="12.75">
      <c r="B45" s="63"/>
      <c r="C45" s="63"/>
      <c r="D45" s="63"/>
      <c r="E45" s="63"/>
      <c r="F45" s="63"/>
      <c r="G45" s="63"/>
      <c r="I45"/>
      <c r="J45"/>
      <c r="K45"/>
      <c r="L45"/>
      <c r="M45"/>
      <c r="N45"/>
      <c r="O45"/>
    </row>
    <row r="46" spans="2:15" ht="12.75">
      <c r="B46"/>
      <c r="C46"/>
      <c r="D46"/>
      <c r="E46" s="89"/>
      <c r="F46" s="63"/>
      <c r="G46" s="55"/>
      <c r="I46"/>
      <c r="J46"/>
      <c r="K46"/>
      <c r="L46"/>
      <c r="M46"/>
      <c r="N46"/>
      <c r="O46"/>
    </row>
  </sheetData>
  <sheetProtection/>
  <mergeCells count="2">
    <mergeCell ref="B26:G26"/>
    <mergeCell ref="B35:G35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421875" style="0" bestFit="1" customWidth="1"/>
    <col min="2" max="2" width="35.28125" style="0" bestFit="1" customWidth="1"/>
    <col min="3" max="3" width="18.421875" style="0" customWidth="1"/>
  </cols>
  <sheetData>
    <row r="1" spans="1:10" s="40" customFormat="1" ht="12.75">
      <c r="A1" s="41" t="s">
        <v>29</v>
      </c>
      <c r="B1" s="41"/>
      <c r="C1" s="41"/>
      <c r="D1" s="41"/>
      <c r="E1" s="41"/>
      <c r="F1" s="41"/>
      <c r="G1" s="41"/>
      <c r="J1" s="63"/>
    </row>
    <row r="2" spans="1:10" s="40" customFormat="1" ht="12.75">
      <c r="A2" s="41" t="s">
        <v>30</v>
      </c>
      <c r="B2" s="41"/>
      <c r="C2" s="41"/>
      <c r="D2" s="41"/>
      <c r="E2" s="41"/>
      <c r="F2" s="41"/>
      <c r="G2" s="41"/>
      <c r="J2" s="63"/>
    </row>
    <row r="3" spans="1:10" s="40" customFormat="1" ht="12.75">
      <c r="A3" s="41" t="s">
        <v>68</v>
      </c>
      <c r="B3" s="41"/>
      <c r="C3" s="41"/>
      <c r="D3" s="41"/>
      <c r="E3" s="41"/>
      <c r="F3" s="41"/>
      <c r="G3" s="41"/>
      <c r="J3" s="63"/>
    </row>
    <row r="4" spans="1:16" s="40" customFormat="1" ht="12.75">
      <c r="A4" s="41"/>
      <c r="B4" s="41" t="s">
        <v>69</v>
      </c>
      <c r="C4" s="41"/>
      <c r="D4" s="41"/>
      <c r="E4" s="41"/>
      <c r="F4" s="41"/>
      <c r="G4" s="41"/>
      <c r="J4" s="63"/>
      <c r="P4" s="64"/>
    </row>
    <row r="6" spans="1:3" ht="12.75">
      <c r="A6" s="46" t="s">
        <v>36</v>
      </c>
      <c r="B6" s="101"/>
      <c r="C6" s="101"/>
    </row>
    <row r="7" spans="1:3" ht="12.75">
      <c r="A7" s="46">
        <v>1</v>
      </c>
      <c r="B7" s="102" t="s">
        <v>70</v>
      </c>
      <c r="C7" s="103"/>
    </row>
    <row r="8" spans="1:3" ht="14.25">
      <c r="A8" s="42">
        <f>A7+1</f>
        <v>2</v>
      </c>
      <c r="B8" t="s">
        <v>71</v>
      </c>
      <c r="C8" s="104">
        <v>42370</v>
      </c>
    </row>
    <row r="9" spans="1:3" ht="12.75">
      <c r="A9" s="42">
        <f aca="true" t="shared" si="0" ref="A9:A18">A8+1</f>
        <v>3</v>
      </c>
      <c r="B9" s="105" t="s">
        <v>72</v>
      </c>
      <c r="C9" s="106">
        <v>0.0275</v>
      </c>
    </row>
    <row r="10" spans="1:3" ht="12.75">
      <c r="A10" s="42">
        <f t="shared" si="0"/>
        <v>4</v>
      </c>
      <c r="B10" s="105" t="s">
        <v>73</v>
      </c>
      <c r="C10" s="107">
        <f>C9/12</f>
        <v>0.0022916666666666667</v>
      </c>
    </row>
    <row r="11" spans="1:3" ht="12.75">
      <c r="A11" s="42">
        <f t="shared" si="0"/>
        <v>5</v>
      </c>
      <c r="B11" s="105" t="s">
        <v>74</v>
      </c>
      <c r="C11" s="108">
        <v>3</v>
      </c>
    </row>
    <row r="12" spans="1:3" ht="14.25">
      <c r="A12" s="42">
        <f t="shared" si="0"/>
        <v>6</v>
      </c>
      <c r="B12" s="105" t="s">
        <v>75</v>
      </c>
      <c r="C12" s="109">
        <f>C10*C11</f>
        <v>0.006875</v>
      </c>
    </row>
    <row r="13" spans="1:2" ht="12.75">
      <c r="A13" s="42">
        <f t="shared" si="0"/>
        <v>7</v>
      </c>
      <c r="B13" s="105"/>
    </row>
    <row r="14" ht="12.75">
      <c r="A14" s="42">
        <f t="shared" si="0"/>
        <v>8</v>
      </c>
    </row>
    <row r="15" spans="1:2" ht="12.75">
      <c r="A15" s="42">
        <f t="shared" si="0"/>
        <v>9</v>
      </c>
      <c r="B15" s="102" t="s">
        <v>15</v>
      </c>
    </row>
    <row r="16" spans="1:3" ht="14.25">
      <c r="A16" s="42">
        <f t="shared" si="0"/>
        <v>10</v>
      </c>
      <c r="B16" t="s">
        <v>71</v>
      </c>
      <c r="C16" s="104">
        <v>42644</v>
      </c>
    </row>
    <row r="17" spans="1:3" ht="12.75">
      <c r="A17" s="42">
        <f t="shared" si="0"/>
        <v>11</v>
      </c>
      <c r="B17" s="105" t="s">
        <v>76</v>
      </c>
      <c r="C17" s="110">
        <v>0.03</v>
      </c>
    </row>
    <row r="18" spans="1:3" ht="14.25">
      <c r="A18" s="42">
        <f t="shared" si="0"/>
        <v>12</v>
      </c>
      <c r="B18" s="105" t="s">
        <v>75</v>
      </c>
      <c r="C18" s="109">
        <f>C17</f>
        <v>0.03</v>
      </c>
    </row>
    <row r="19" ht="12.75">
      <c r="A19" s="42"/>
    </row>
    <row r="20" ht="12.75">
      <c r="A20" s="42"/>
    </row>
    <row r="21" ht="12.75">
      <c r="A21" s="42"/>
    </row>
    <row r="22" ht="12.75">
      <c r="A22" s="42"/>
    </row>
    <row r="23" ht="12.75">
      <c r="A23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421875" style="0" bestFit="1" customWidth="1"/>
    <col min="2" max="2" width="15.7109375" style="0" customWidth="1"/>
    <col min="3" max="3" width="13.57421875" style="0" customWidth="1"/>
    <col min="4" max="4" width="13.7109375" style="0" customWidth="1"/>
    <col min="5" max="5" width="32.8515625" style="0" bestFit="1" customWidth="1"/>
    <col min="6" max="6" width="13.28125" style="0" bestFit="1" customWidth="1"/>
  </cols>
  <sheetData>
    <row r="1" spans="2:5" ht="12.75">
      <c r="B1" s="34"/>
      <c r="C1" s="34"/>
      <c r="D1" s="33"/>
      <c r="E1" s="33"/>
    </row>
    <row r="2" spans="2:5" ht="12.75">
      <c r="B2" s="34"/>
      <c r="C2" s="34"/>
      <c r="D2" s="33"/>
      <c r="E2" s="33"/>
    </row>
    <row r="3" spans="1:5" ht="12.75">
      <c r="A3" s="2"/>
      <c r="B3" s="67"/>
      <c r="C3" s="67"/>
      <c r="D3" s="68"/>
      <c r="E3" s="33"/>
    </row>
    <row r="4" spans="1:5" ht="12.75">
      <c r="A4" s="2"/>
      <c r="B4" s="69" t="s">
        <v>17</v>
      </c>
      <c r="C4" s="67"/>
      <c r="D4" s="68"/>
      <c r="E4" s="33"/>
    </row>
    <row r="5" spans="1:6" ht="12.75">
      <c r="A5" s="2"/>
      <c r="B5" s="69" t="s">
        <v>67</v>
      </c>
      <c r="C5" s="70"/>
      <c r="D5" s="70"/>
      <c r="E5" s="32"/>
      <c r="F5" s="35"/>
    </row>
    <row r="6" spans="1:6" ht="12.75">
      <c r="A6" s="2"/>
      <c r="B6" s="70"/>
      <c r="C6" s="70"/>
      <c r="D6" s="70"/>
      <c r="E6" s="32"/>
      <c r="F6" s="35"/>
    </row>
    <row r="7" spans="1:6" ht="12.75">
      <c r="A7" s="2"/>
      <c r="B7" s="70"/>
      <c r="C7" s="70"/>
      <c r="D7" s="70"/>
      <c r="E7" s="32"/>
      <c r="F7" s="35"/>
    </row>
    <row r="8" spans="1:6" ht="12.75">
      <c r="A8" s="138" t="s">
        <v>20</v>
      </c>
      <c r="B8" s="70"/>
      <c r="C8" s="71">
        <f>'[2]3.04 &amp; 4.04 Lead'!E40</f>
        <v>0.6744</v>
      </c>
      <c r="D8" s="71">
        <f>'[2]3.04 &amp; 4.04 Lead'!F40</f>
        <v>0.3256</v>
      </c>
      <c r="E8" s="73"/>
      <c r="F8" s="35"/>
    </row>
    <row r="9" spans="1:6" ht="12.75">
      <c r="A9" s="139"/>
      <c r="B9" s="70"/>
      <c r="C9" s="76"/>
      <c r="D9" s="76"/>
      <c r="E9" s="73"/>
      <c r="F9" s="35"/>
    </row>
    <row r="10" spans="1:5" ht="12.75">
      <c r="A10" s="2"/>
      <c r="B10" s="140" t="s">
        <v>56</v>
      </c>
      <c r="C10" s="72" t="s">
        <v>18</v>
      </c>
      <c r="D10" s="72" t="s">
        <v>19</v>
      </c>
      <c r="E10" s="36"/>
    </row>
    <row r="11" spans="1:4" ht="12.75">
      <c r="A11" s="74" t="s">
        <v>14</v>
      </c>
      <c r="B11" s="75">
        <v>10918367.64</v>
      </c>
      <c r="C11" s="94">
        <f>B11*$C$8</f>
        <v>7363347.136416</v>
      </c>
      <c r="D11" s="94">
        <f>B11*$D$8</f>
        <v>3555020.5035840003</v>
      </c>
    </row>
    <row r="12" spans="1:4" ht="12.75">
      <c r="A12" s="74" t="s">
        <v>57</v>
      </c>
      <c r="B12" s="95">
        <v>177729.54</v>
      </c>
      <c r="C12" s="95">
        <f>B12*$C$8</f>
        <v>119860.80177600001</v>
      </c>
      <c r="D12" s="95">
        <f>B12*$D$8</f>
        <v>57868.738224</v>
      </c>
    </row>
    <row r="13" spans="1:4" ht="12.75">
      <c r="A13" s="74"/>
      <c r="B13" s="96">
        <f>SUM(B11:B12)</f>
        <v>11096097.18</v>
      </c>
      <c r="C13" s="97">
        <f>SUM(C11:C12)</f>
        <v>7483207.938192001</v>
      </c>
      <c r="D13" s="97">
        <f>SUM(D11:D12)</f>
        <v>3612889.2418080005</v>
      </c>
    </row>
    <row r="14" spans="1:4" ht="12.75">
      <c r="A14" s="74"/>
      <c r="B14" s="97"/>
      <c r="C14" s="97"/>
      <c r="D14" s="97"/>
    </row>
    <row r="15" spans="1:4" ht="12.75">
      <c r="A15" s="74" t="s">
        <v>15</v>
      </c>
      <c r="B15" s="95">
        <v>1502305.65</v>
      </c>
      <c r="C15" s="95">
        <f>B15*$C$8</f>
        <v>1013154.9303599999</v>
      </c>
      <c r="D15" s="95">
        <f>B15*$D$8</f>
        <v>489150.71963999997</v>
      </c>
    </row>
    <row r="16" spans="1:4" ht="12.75">
      <c r="A16" s="74" t="s">
        <v>16</v>
      </c>
      <c r="B16" s="95">
        <v>4053479</v>
      </c>
      <c r="C16" s="95">
        <f>B16*$C$8</f>
        <v>2733666.2376</v>
      </c>
      <c r="D16" s="95">
        <f>B16*$D$8</f>
        <v>1319812.7624</v>
      </c>
    </row>
    <row r="17" spans="1:4" ht="12.75">
      <c r="A17" s="2"/>
      <c r="B17" s="98">
        <f>SUM(B15:B16)</f>
        <v>5555784.65</v>
      </c>
      <c r="C17" s="98">
        <f>SUM(C15:C16)</f>
        <v>3746821.16796</v>
      </c>
      <c r="D17" s="98">
        <f>SUM(D15:D16)</f>
        <v>1808963.48204</v>
      </c>
    </row>
    <row r="18" spans="1:4" ht="12.75">
      <c r="A18" s="2"/>
      <c r="B18" s="98"/>
      <c r="C18" s="98"/>
      <c r="D18" s="98"/>
    </row>
    <row r="19" spans="1:5" ht="13.5" thickBot="1">
      <c r="A19" s="141" t="s">
        <v>38</v>
      </c>
      <c r="B19" s="99">
        <f>B13+B17</f>
        <v>16651881.83</v>
      </c>
      <c r="C19" s="99">
        <f>C13+C17</f>
        <v>11230029.106152002</v>
      </c>
      <c r="D19" s="99">
        <f>D13+D17</f>
        <v>5421852.723848</v>
      </c>
      <c r="E19" s="36"/>
    </row>
    <row r="20" spans="1:4" ht="13.5" thickTop="1">
      <c r="A20" s="2"/>
      <c r="B20" s="2"/>
      <c r="C20" s="2"/>
      <c r="D20" s="2"/>
    </row>
    <row r="21" spans="1:4" ht="12.75">
      <c r="A21" s="2"/>
      <c r="B21" s="2"/>
      <c r="C21" s="66"/>
      <c r="D21" s="66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</sheetData>
  <sheetProtection/>
  <printOptions/>
  <pageMargins left="0.75" right="0.46" top="0.2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kbarnard</cp:lastModifiedBy>
  <cp:lastPrinted>2017-03-21T15:49:34Z</cp:lastPrinted>
  <dcterms:created xsi:type="dcterms:W3CDTF">2003-11-17T18:47:52Z</dcterms:created>
  <dcterms:modified xsi:type="dcterms:W3CDTF">2018-04-05T16:05:02Z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180282</vt:lpwstr>
  </property>
  <property fmtid="{D5CDD505-2E9C-101B-9397-08002B2CF9AE}" pid="10" name="Dat">
    <vt:lpwstr>2018-04-05T00:00:00Z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2018-03-30T00:00:00Z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