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7935" activeTab="0"/>
  </bookViews>
  <sheets>
    <sheet name="Res Lbs-Mat" sheetId="1" r:id="rId1"/>
    <sheet name="MF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<sst xmlns="http://schemas.openxmlformats.org/spreadsheetml/2006/main" count="171" uniqueCount="52">
  <si>
    <t>CURBSIDE RECYCLABLE MATERIAL 2005</t>
  </si>
  <si>
    <t>Total Year 2005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</si>
  <si>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</si>
  <si>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</si>
  <si>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</si>
  <si>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</si>
  <si>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</si>
  <si>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</si>
  <si>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</si>
  <si>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</si>
  <si>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</si>
  <si>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</si>
  <si>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</si>
  <si>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November</t>
  </si>
  <si>
    <t>December</t>
  </si>
  <si>
    <t>Total</t>
  </si>
  <si>
    <t>Tons</t>
  </si>
  <si>
    <t>Newspaper</t>
  </si>
  <si>
    <t>Lbs</t>
  </si>
  <si>
    <t>Mixed Paper</t>
  </si>
  <si>
    <t>Cardboard</t>
  </si>
  <si>
    <t>Magazines</t>
  </si>
  <si>
    <t xml:space="preserve">Aluminum Cans   </t>
  </si>
  <si>
    <t>Tin</t>
  </si>
  <si>
    <t>Pet</t>
  </si>
  <si>
    <t>Mixed Plastics</t>
  </si>
  <si>
    <t>Total per Month</t>
  </si>
  <si>
    <t>Total Customer Base</t>
  </si>
  <si>
    <t>Murrey's/American  Disposal Co., Inc.</t>
  </si>
  <si>
    <t>Total lbs per Month</t>
  </si>
  <si>
    <t>Total Tons</t>
  </si>
  <si>
    <t>CURBSIDE RECYCLABLE REVENUE 2005</t>
  </si>
  <si>
    <t>Mixed Plastic</t>
  </si>
  <si>
    <t>Difference</t>
  </si>
  <si>
    <t>Material  Rev per Cust per Month</t>
  </si>
  <si>
    <t>Contamination</t>
  </si>
  <si>
    <t>Commodity:</t>
  </si>
  <si>
    <r>
      <t>Average</t>
    </r>
    <r>
      <rPr>
        <sz val="9"/>
        <color indexed="48"/>
        <rFont val="Arial"/>
        <family val="2"/>
      </rPr>
      <t xml:space="preserve"> lbs</t>
    </r>
    <r>
      <rPr>
        <sz val="9"/>
        <color indexed="8"/>
        <rFont val="Arial"/>
        <family val="2"/>
      </rPr>
      <t xml:space="preserve"> per Household </t>
    </r>
  </si>
  <si>
    <t>Customer Credit</t>
  </si>
  <si>
    <t>Current Credit</t>
  </si>
  <si>
    <t>Price</t>
  </si>
  <si>
    <t>Pounds</t>
  </si>
  <si>
    <t>Amount</t>
  </si>
  <si>
    <t>per Ton</t>
  </si>
  <si>
    <t>OCC</t>
  </si>
  <si>
    <t>Alum</t>
  </si>
  <si>
    <t>ONP</t>
  </si>
  <si>
    <t>Plastic</t>
  </si>
  <si>
    <t>Co-Mingled</t>
  </si>
  <si>
    <t>Grand Total</t>
  </si>
  <si>
    <t>Multi-Family Container, Recycling Stations</t>
  </si>
  <si>
    <t xml:space="preserve">Murrey's/American Disposal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</si>
</sst>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mmmm\-yy;@"/>
    <numFmt numFmtId="166" formatCode="0.00_)"/>
  </numFmts>
  <fonts count="14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14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166" fontId="1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right"/>
    </xf>
    <xf numFmtId="39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9" fontId="5" fillId="0" borderId="1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9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7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5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NumberFormat="1" applyFont="1" applyFill="1" applyBorder="1" applyAlignment="1">
      <alignment/>
    </xf>
    <xf numFmtId="9" fontId="0" fillId="0" borderId="1" xfId="0" applyNumberFormat="1" applyBorder="1" applyAlignment="1">
      <alignment/>
    </xf>
    <xf numFmtId="7" fontId="0" fillId="0" borderId="1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0" fontId="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37" fontId="11" fillId="0" borderId="1" xfId="19" applyNumberFormat="1" applyFont="1" applyBorder="1" applyProtection="1">
      <alignment/>
      <protection/>
    </xf>
    <xf numFmtId="39" fontId="11" fillId="0" borderId="1" xfId="19" applyNumberFormat="1" applyFont="1" applyBorder="1" applyProtection="1">
      <alignment/>
      <protection/>
    </xf>
    <xf numFmtId="4" fontId="11" fillId="0" borderId="1" xfId="19" applyNumberFormat="1" applyFont="1" applyBorder="1" applyProtection="1">
      <alignment/>
      <protection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3" fillId="0" borderId="1" xfId="0" applyFont="1" applyBorder="1" applyAlignment="1">
      <alignment/>
    </xf>
    <xf numFmtId="37" fontId="13" fillId="0" borderId="1" xfId="0" applyNumberFormat="1" applyFont="1" applyBorder="1" applyAlignment="1">
      <alignment/>
    </xf>
    <xf numFmtId="39" fontId="13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165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3" fontId="11" fillId="0" borderId="1" xfId="20" applyNumberFormat="1" applyFont="1" applyBorder="1" applyProtection="1">
      <alignment/>
      <protection/>
    </xf>
    <xf numFmtId="3" fontId="11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7" fontId="11" fillId="3" borderId="1" xfId="19" applyNumberFormat="1" applyFont="1" applyFill="1" applyBorder="1" applyProtection="1">
      <alignment/>
      <protection/>
    </xf>
    <xf numFmtId="37" fontId="11" fillId="0" borderId="1" xfId="0" applyNumberFormat="1" applyFont="1" applyBorder="1" applyAlignment="1" applyProtection="1">
      <alignment/>
      <protection/>
    </xf>
    <xf numFmtId="1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workbookViewId="0" topLeftCell="B32">
      <selection activeCell="I40" sqref="I40"/>
    </sheetView>
  </sheetViews>
  <sheetFormatPr defaultColWidth="9.140625" defaultRowHeight="12.75"/>
  <cols>
    <col min="1" max="1" width="27.140625" style="21" customWidth="1"/>
    <col min="2" max="2" width="9.140625" style="21" customWidth="1"/>
    <col min="3" max="3" width="9.7109375" style="21" bestFit="1" customWidth="1"/>
    <col min="4" max="4" width="9.421875" style="21" bestFit="1" customWidth="1"/>
    <col min="5" max="6" width="9.140625" style="21" customWidth="1"/>
    <col min="7" max="9" width="9.421875" style="21" bestFit="1" customWidth="1"/>
    <col min="10" max="14" width="9.140625" style="21" customWidth="1"/>
    <col min="15" max="15" width="10.28125" style="21" customWidth="1"/>
    <col min="16" max="16384" width="9.140625" style="21" customWidth="1"/>
  </cols>
  <sheetData>
    <row r="1" spans="1:17" ht="12.75">
      <c r="A1" s="1" t="s">
        <v>28</v>
      </c>
      <c r="B1" s="2"/>
      <c r="C1" s="2"/>
      <c r="D1" s="2"/>
      <c r="E1" s="3"/>
      <c r="F1" s="1" t="s">
        <v>0</v>
      </c>
      <c r="G1" s="3"/>
      <c r="H1" s="3"/>
      <c r="I1" s="3"/>
      <c r="J1" s="3"/>
      <c r="K1" s="3"/>
      <c r="L1" s="3"/>
      <c r="M1" s="3"/>
      <c r="N1" s="3"/>
      <c r="O1" s="3"/>
      <c r="P1" s="4"/>
      <c r="Q1" s="3"/>
    </row>
    <row r="2" spans="1:17" ht="12.75">
      <c r="A2" s="2"/>
      <c r="B2" s="2"/>
      <c r="C2" s="2"/>
      <c r="D2" s="2"/>
      <c r="E2" s="3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1" t="s">
        <v>1</v>
      </c>
      <c r="B3" s="2"/>
      <c r="C3" s="2"/>
      <c r="D3" s="2"/>
      <c r="E3" s="3"/>
      <c r="F3" s="3"/>
      <c r="G3" s="3"/>
      <c r="H3" s="3"/>
      <c r="I3" s="3" t="s">
        <v>2</v>
      </c>
      <c r="J3" s="3"/>
      <c r="K3" s="3"/>
      <c r="L3" s="3"/>
      <c r="M3" s="3"/>
      <c r="N3" s="3"/>
      <c r="O3" s="3"/>
      <c r="P3" s="3"/>
      <c r="Q3" s="3"/>
    </row>
    <row r="4" spans="1:17" ht="12.75">
      <c r="A4" s="1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0" t="s">
        <v>36</v>
      </c>
      <c r="B5" s="26"/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7" t="s">
        <v>12</v>
      </c>
      <c r="M5" s="27" t="s">
        <v>13</v>
      </c>
      <c r="N5" s="27" t="s">
        <v>14</v>
      </c>
      <c r="O5" s="27" t="s">
        <v>15</v>
      </c>
      <c r="P5" s="27" t="s">
        <v>16</v>
      </c>
      <c r="Q5" s="6"/>
    </row>
    <row r="6" spans="1:17" ht="12.75">
      <c r="A6" s="2" t="s">
        <v>17</v>
      </c>
      <c r="B6" s="6" t="s">
        <v>18</v>
      </c>
      <c r="C6" s="7">
        <v>213864</v>
      </c>
      <c r="D6" s="7">
        <v>271836</v>
      </c>
      <c r="E6" s="7">
        <v>297183</v>
      </c>
      <c r="F6" s="7">
        <v>196318</v>
      </c>
      <c r="G6" s="7">
        <v>305815</v>
      </c>
      <c r="H6" s="7">
        <f>95468+191402</f>
        <v>286870</v>
      </c>
      <c r="I6" s="7">
        <v>265055</v>
      </c>
      <c r="J6" s="7"/>
      <c r="K6" s="7"/>
      <c r="L6" s="7"/>
      <c r="M6" s="7"/>
      <c r="N6" s="7"/>
      <c r="O6" s="8">
        <f>SUM(C6:N6)</f>
        <v>1836941</v>
      </c>
      <c r="P6" s="9">
        <f>O6/2000</f>
        <v>918.4705</v>
      </c>
      <c r="Q6" s="10"/>
    </row>
    <row r="7" spans="1:17" ht="12.75">
      <c r="A7" s="2" t="s">
        <v>19</v>
      </c>
      <c r="B7" s="6" t="s">
        <v>18</v>
      </c>
      <c r="C7" s="7">
        <v>499191</v>
      </c>
      <c r="D7" s="7">
        <v>395580</v>
      </c>
      <c r="E7" s="7">
        <v>704387</v>
      </c>
      <c r="F7" s="7">
        <v>784878</v>
      </c>
      <c r="G7" s="7">
        <v>1247613</v>
      </c>
      <c r="H7" s="7">
        <f>389476+780850</f>
        <v>1170326</v>
      </c>
      <c r="I7" s="7">
        <v>1081326</v>
      </c>
      <c r="J7" s="7"/>
      <c r="K7" s="7"/>
      <c r="L7" s="7"/>
      <c r="M7" s="7"/>
      <c r="N7" s="7"/>
      <c r="O7" s="8">
        <f aca="true" t="shared" si="0" ref="O7:O14">SUM(C7:N7)</f>
        <v>5883301</v>
      </c>
      <c r="P7" s="9">
        <f aca="true" t="shared" si="1" ref="P7:P14">O7/2000</f>
        <v>2941.6505</v>
      </c>
      <c r="Q7" s="10"/>
    </row>
    <row r="8" spans="1:17" ht="12.75">
      <c r="A8" s="2" t="s">
        <v>20</v>
      </c>
      <c r="B8" s="6" t="s">
        <v>18</v>
      </c>
      <c r="C8" s="7">
        <v>144286</v>
      </c>
      <c r="D8" s="7">
        <v>111652</v>
      </c>
      <c r="E8" s="7">
        <v>173373</v>
      </c>
      <c r="F8" s="7">
        <v>155438</v>
      </c>
      <c r="G8" s="7">
        <v>242137</v>
      </c>
      <c r="H8" s="7">
        <f>75590+151548</f>
        <v>227138</v>
      </c>
      <c r="I8" s="7">
        <v>209864</v>
      </c>
      <c r="J8" s="7"/>
      <c r="K8" s="7"/>
      <c r="L8" s="7"/>
      <c r="M8" s="7"/>
      <c r="N8" s="7"/>
      <c r="O8" s="8">
        <f t="shared" si="0"/>
        <v>1263888</v>
      </c>
      <c r="P8" s="9">
        <f t="shared" si="1"/>
        <v>631.944</v>
      </c>
      <c r="Q8" s="10"/>
    </row>
    <row r="9" spans="1:17" ht="12.75">
      <c r="A9" s="2" t="s">
        <v>21</v>
      </c>
      <c r="B9" s="6" t="s">
        <v>18</v>
      </c>
      <c r="C9" s="7">
        <v>103228</v>
      </c>
      <c r="D9" s="7">
        <v>6104</v>
      </c>
      <c r="E9" s="7">
        <v>14359</v>
      </c>
      <c r="F9" s="7">
        <v>16018</v>
      </c>
      <c r="G9" s="7">
        <v>0</v>
      </c>
      <c r="H9" s="7">
        <v>0</v>
      </c>
      <c r="I9" s="7">
        <v>0</v>
      </c>
      <c r="J9" s="7"/>
      <c r="K9" s="7"/>
      <c r="L9" s="7"/>
      <c r="M9" s="7"/>
      <c r="N9" s="7"/>
      <c r="O9" s="8">
        <f t="shared" si="0"/>
        <v>139709</v>
      </c>
      <c r="P9" s="9">
        <f t="shared" si="1"/>
        <v>69.8545</v>
      </c>
      <c r="Q9" s="10"/>
    </row>
    <row r="10" spans="1:17" ht="12.75">
      <c r="A10" s="2" t="s">
        <v>22</v>
      </c>
      <c r="B10" s="6" t="s">
        <v>18</v>
      </c>
      <c r="C10" s="7">
        <v>17269</v>
      </c>
      <c r="D10" s="7">
        <v>15221</v>
      </c>
      <c r="E10" s="7">
        <v>25043</v>
      </c>
      <c r="F10" s="7">
        <v>19992</v>
      </c>
      <c r="G10" s="7">
        <v>31140</v>
      </c>
      <c r="H10" s="7">
        <f>9722+19490</f>
        <v>29212</v>
      </c>
      <c r="I10" s="7">
        <v>26990</v>
      </c>
      <c r="J10" s="7"/>
      <c r="K10" s="7"/>
      <c r="L10" s="7"/>
      <c r="M10" s="7"/>
      <c r="N10" s="7"/>
      <c r="O10" s="8">
        <f t="shared" si="0"/>
        <v>164867</v>
      </c>
      <c r="P10" s="9">
        <f t="shared" si="1"/>
        <v>82.4335</v>
      </c>
      <c r="Q10" s="10"/>
    </row>
    <row r="11" spans="1:17" ht="12.75">
      <c r="A11" s="2" t="s">
        <v>23</v>
      </c>
      <c r="B11" s="6" t="s">
        <v>18</v>
      </c>
      <c r="C11" s="7">
        <v>24044</v>
      </c>
      <c r="D11" s="7">
        <v>16020</v>
      </c>
      <c r="E11" s="7">
        <v>30173</v>
      </c>
      <c r="F11" s="7">
        <v>27422</v>
      </c>
      <c r="G11" s="7">
        <v>46511</v>
      </c>
      <c r="H11" s="7">
        <f>14520+29110</f>
        <v>43630</v>
      </c>
      <c r="I11" s="7">
        <v>40312</v>
      </c>
      <c r="J11" s="7"/>
      <c r="K11" s="7"/>
      <c r="L11" s="7"/>
      <c r="M11" s="7"/>
      <c r="N11" s="7"/>
      <c r="O11" s="8">
        <f t="shared" si="0"/>
        <v>228112</v>
      </c>
      <c r="P11" s="9">
        <f t="shared" si="1"/>
        <v>114.056</v>
      </c>
      <c r="Q11" s="10"/>
    </row>
    <row r="12" spans="1:17" ht="12.75">
      <c r="A12" s="2" t="s">
        <v>24</v>
      </c>
      <c r="B12" s="6" t="s">
        <v>18</v>
      </c>
      <c r="C12" s="7">
        <v>12064</v>
      </c>
      <c r="D12" s="7">
        <v>3581</v>
      </c>
      <c r="E12" s="7">
        <v>7864</v>
      </c>
      <c r="F12" s="7">
        <v>19350</v>
      </c>
      <c r="G12" s="7">
        <v>30142</v>
      </c>
      <c r="H12" s="7">
        <f>9410+18866</f>
        <v>28276</v>
      </c>
      <c r="I12" s="7">
        <v>26125</v>
      </c>
      <c r="J12" s="7"/>
      <c r="K12" s="7"/>
      <c r="L12" s="7"/>
      <c r="M12" s="7"/>
      <c r="N12" s="7"/>
      <c r="O12" s="8">
        <f t="shared" si="0"/>
        <v>127402</v>
      </c>
      <c r="P12" s="9">
        <f t="shared" si="1"/>
        <v>63.701</v>
      </c>
      <c r="Q12" s="10"/>
    </row>
    <row r="13" spans="1:17" ht="12.75">
      <c r="A13" s="2" t="s">
        <v>25</v>
      </c>
      <c r="B13" s="6" t="s">
        <v>18</v>
      </c>
      <c r="C13" s="7">
        <v>22361</v>
      </c>
      <c r="D13" s="7">
        <v>5399</v>
      </c>
      <c r="E13" s="7">
        <v>16400</v>
      </c>
      <c r="F13" s="7">
        <v>20376</v>
      </c>
      <c r="G13" s="7">
        <v>31739</v>
      </c>
      <c r="H13" s="7">
        <f>9908+19864</f>
        <v>29772</v>
      </c>
      <c r="I13" s="7">
        <v>27509</v>
      </c>
      <c r="J13" s="7"/>
      <c r="K13" s="7"/>
      <c r="L13" s="7"/>
      <c r="M13" s="7"/>
      <c r="N13" s="7"/>
      <c r="O13" s="8">
        <f t="shared" si="0"/>
        <v>153556</v>
      </c>
      <c r="P13" s="9">
        <f t="shared" si="1"/>
        <v>76.778</v>
      </c>
      <c r="Q13" s="10"/>
    </row>
    <row r="14" spans="1:17" ht="12.75">
      <c r="A14" s="2" t="s">
        <v>35</v>
      </c>
      <c r="B14" s="6" t="s">
        <v>18</v>
      </c>
      <c r="C14" s="7">
        <v>42890</v>
      </c>
      <c r="D14" s="7">
        <v>18560</v>
      </c>
      <c r="E14" s="7">
        <v>29287</v>
      </c>
      <c r="F14" s="7">
        <v>41646</v>
      </c>
      <c r="G14" s="7">
        <v>61083</v>
      </c>
      <c r="H14" s="7">
        <f>19068+38230</f>
        <v>57298</v>
      </c>
      <c r="I14" s="7">
        <v>52941</v>
      </c>
      <c r="J14" s="7"/>
      <c r="K14" s="7"/>
      <c r="L14" s="7"/>
      <c r="M14" s="7"/>
      <c r="N14" s="7"/>
      <c r="O14" s="8">
        <f t="shared" si="0"/>
        <v>303705</v>
      </c>
      <c r="P14" s="9">
        <f t="shared" si="1"/>
        <v>151.8525</v>
      </c>
      <c r="Q14" s="10"/>
    </row>
    <row r="15" spans="1:17" ht="12.75">
      <c r="A15" s="1" t="s">
        <v>29</v>
      </c>
      <c r="B15" s="28"/>
      <c r="C15" s="29">
        <f aca="true" t="shared" si="2" ref="C15:K15">SUM(C6:C14)</f>
        <v>1079197</v>
      </c>
      <c r="D15" s="29">
        <f t="shared" si="2"/>
        <v>843953</v>
      </c>
      <c r="E15" s="29">
        <f t="shared" si="2"/>
        <v>1298069</v>
      </c>
      <c r="F15" s="29">
        <f t="shared" si="2"/>
        <v>1281438</v>
      </c>
      <c r="G15" s="29">
        <f t="shared" si="2"/>
        <v>1996180</v>
      </c>
      <c r="H15" s="29">
        <f>SUM(H6:H14)</f>
        <v>1872522</v>
      </c>
      <c r="I15" s="29">
        <f>SUM(I6:I14)</f>
        <v>1730122</v>
      </c>
      <c r="J15" s="29">
        <f t="shared" si="2"/>
        <v>0</v>
      </c>
      <c r="K15" s="29">
        <f t="shared" si="2"/>
        <v>0</v>
      </c>
      <c r="L15" s="29">
        <f>SUM(L6:L13)</f>
        <v>0</v>
      </c>
      <c r="M15" s="29">
        <f>SUM(M6:M13)</f>
        <v>0</v>
      </c>
      <c r="N15" s="29">
        <f>SUM(N6:N13)</f>
        <v>0</v>
      </c>
      <c r="O15" s="11">
        <f>SUM(O6:O14)</f>
        <v>10101481</v>
      </c>
      <c r="P15" s="11">
        <f>SUM(P6:P14)</f>
        <v>5050.740500000001</v>
      </c>
      <c r="Q15" s="13"/>
    </row>
    <row r="16" spans="1:17" ht="12.75">
      <c r="A16" s="2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1"/>
      <c r="P16" s="12"/>
      <c r="Q16" s="13"/>
    </row>
    <row r="17" spans="1:17" ht="12.75">
      <c r="A17" s="2" t="s">
        <v>30</v>
      </c>
      <c r="B17" s="6"/>
      <c r="C17" s="7">
        <f aca="true" t="shared" si="3" ref="C17:J17">C15/2000</f>
        <v>539.5985</v>
      </c>
      <c r="D17" s="7">
        <f t="shared" si="3"/>
        <v>421.9765</v>
      </c>
      <c r="E17" s="7">
        <f t="shared" si="3"/>
        <v>649.0345</v>
      </c>
      <c r="F17" s="7">
        <f t="shared" si="3"/>
        <v>640.719</v>
      </c>
      <c r="G17" s="7">
        <f t="shared" si="3"/>
        <v>998.09</v>
      </c>
      <c r="H17" s="7">
        <f t="shared" si="3"/>
        <v>936.261</v>
      </c>
      <c r="I17" s="7">
        <f t="shared" si="3"/>
        <v>865.061</v>
      </c>
      <c r="J17" s="7">
        <f t="shared" si="3"/>
        <v>0</v>
      </c>
      <c r="K17" s="7">
        <v>0</v>
      </c>
      <c r="L17" s="7"/>
      <c r="M17" s="7"/>
      <c r="N17" s="7"/>
      <c r="O17" s="11"/>
      <c r="P17" s="12"/>
      <c r="Q17" s="13"/>
    </row>
    <row r="18" spans="1:17" ht="12.75">
      <c r="A18" s="2"/>
      <c r="B18" s="6"/>
      <c r="C18" s="7"/>
      <c r="D18" s="7"/>
      <c r="E18" s="7"/>
      <c r="F18" s="7"/>
      <c r="G18" s="7" t="s">
        <v>2</v>
      </c>
      <c r="H18" s="7"/>
      <c r="I18" s="7"/>
      <c r="J18" s="7"/>
      <c r="K18" s="7"/>
      <c r="L18" s="7"/>
      <c r="M18" s="7"/>
      <c r="N18" s="7"/>
      <c r="O18" s="14"/>
      <c r="P18" s="15"/>
      <c r="Q18" s="16"/>
    </row>
    <row r="19" spans="1:17" ht="12.75">
      <c r="A19" s="3" t="s">
        <v>27</v>
      </c>
      <c r="B19" s="6"/>
      <c r="C19" s="17">
        <v>45703</v>
      </c>
      <c r="D19" s="17">
        <v>45571</v>
      </c>
      <c r="E19" s="17">
        <v>45467</v>
      </c>
      <c r="F19" s="17">
        <v>46260</v>
      </c>
      <c r="G19" s="7">
        <v>46764</v>
      </c>
      <c r="H19" s="7">
        <v>46656</v>
      </c>
      <c r="I19" s="7">
        <v>47430</v>
      </c>
      <c r="J19" s="7"/>
      <c r="K19" s="7"/>
      <c r="L19" s="7"/>
      <c r="M19" s="7"/>
      <c r="N19" s="7"/>
      <c r="O19" s="7">
        <f>SUM(C19:N19)/5</f>
        <v>64770.2</v>
      </c>
      <c r="P19" s="15"/>
      <c r="Q19" s="2"/>
    </row>
    <row r="20" spans="1:17" ht="12.75">
      <c r="A20" s="2" t="s">
        <v>2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5"/>
      <c r="Q20" s="2"/>
    </row>
    <row r="21" spans="1:17" ht="12.75">
      <c r="A21" s="2" t="s">
        <v>37</v>
      </c>
      <c r="B21" s="6"/>
      <c r="C21" s="19">
        <f aca="true" t="shared" si="4" ref="C21:I21">C15/C19</f>
        <v>23.613263899525194</v>
      </c>
      <c r="D21" s="19">
        <f t="shared" si="4"/>
        <v>18.51951899234162</v>
      </c>
      <c r="E21" s="19">
        <f t="shared" si="4"/>
        <v>28.54969538346493</v>
      </c>
      <c r="F21" s="19">
        <f t="shared" si="4"/>
        <v>27.70077821011673</v>
      </c>
      <c r="G21" s="19">
        <f t="shared" si="4"/>
        <v>42.686254383713965</v>
      </c>
      <c r="H21" s="19">
        <f t="shared" si="4"/>
        <v>40.13464506172839</v>
      </c>
      <c r="I21" s="19">
        <f t="shared" si="4"/>
        <v>36.477377187434115</v>
      </c>
      <c r="J21" s="19"/>
      <c r="K21" s="19"/>
      <c r="L21" s="19"/>
      <c r="M21" s="19"/>
      <c r="N21" s="19"/>
      <c r="O21" s="7"/>
      <c r="P21" s="15"/>
      <c r="Q21" s="2"/>
    </row>
    <row r="22" spans="3:8" ht="12.75">
      <c r="C22" s="21" t="s">
        <v>2</v>
      </c>
      <c r="D22" s="21" t="s">
        <v>2</v>
      </c>
      <c r="E22" s="21" t="s">
        <v>2</v>
      </c>
      <c r="F22" s="21" t="s">
        <v>2</v>
      </c>
      <c r="H22" s="25"/>
    </row>
    <row r="24" spans="1:15" ht="12.75">
      <c r="A24" s="1" t="s">
        <v>28</v>
      </c>
      <c r="B24" s="2"/>
      <c r="C24" s="2"/>
      <c r="D24" s="2"/>
      <c r="E24" s="3"/>
      <c r="F24" s="1" t="s">
        <v>31</v>
      </c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2"/>
      <c r="B25" s="2"/>
      <c r="C25" s="2"/>
      <c r="D25" s="2"/>
      <c r="E25" s="3"/>
      <c r="F25" s="3" t="s">
        <v>2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" t="s">
        <v>1</v>
      </c>
      <c r="B26" s="2"/>
      <c r="C26" s="2"/>
      <c r="D26" s="2"/>
      <c r="E26" s="3"/>
      <c r="F26" s="3"/>
      <c r="G26" s="3"/>
      <c r="H26" s="3"/>
      <c r="I26" s="3" t="s">
        <v>2</v>
      </c>
      <c r="J26" s="3"/>
      <c r="K26" s="3"/>
      <c r="L26" s="3"/>
      <c r="M26" s="3"/>
      <c r="N26" s="3"/>
      <c r="O26" s="3"/>
    </row>
    <row r="27" spans="1:15" ht="12.75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ht="12.75">
      <c r="A28" s="30" t="s">
        <v>36</v>
      </c>
      <c r="B28" s="26"/>
      <c r="C28" s="27" t="s">
        <v>3</v>
      </c>
      <c r="D28" s="27" t="s">
        <v>4</v>
      </c>
      <c r="E28" s="27" t="s">
        <v>5</v>
      </c>
      <c r="F28" s="27" t="s">
        <v>6</v>
      </c>
      <c r="G28" s="27" t="s">
        <v>7</v>
      </c>
      <c r="H28" s="27" t="s">
        <v>8</v>
      </c>
      <c r="I28" s="27" t="s">
        <v>9</v>
      </c>
      <c r="J28" s="27" t="s">
        <v>10</v>
      </c>
      <c r="K28" s="27" t="s">
        <v>11</v>
      </c>
      <c r="L28" s="27" t="s">
        <v>12</v>
      </c>
      <c r="M28" s="27" t="s">
        <v>13</v>
      </c>
      <c r="N28" s="27" t="s">
        <v>14</v>
      </c>
      <c r="O28" s="27" t="s">
        <v>15</v>
      </c>
      <c r="P28" s="27" t="s">
        <v>16</v>
      </c>
    </row>
    <row r="29" spans="1:15" ht="12.75">
      <c r="A29" s="2" t="s">
        <v>17</v>
      </c>
      <c r="B29" s="6"/>
      <c r="C29" s="7">
        <v>2246</v>
      </c>
      <c r="D29" s="7">
        <v>2990</v>
      </c>
      <c r="E29" s="7">
        <f>8519+3562</f>
        <v>12081</v>
      </c>
      <c r="F29" s="7">
        <v>7981</v>
      </c>
      <c r="G29" s="7">
        <v>14282</v>
      </c>
      <c r="H29" s="7">
        <v>13042</v>
      </c>
      <c r="I29" s="7">
        <v>11669</v>
      </c>
      <c r="J29" s="7"/>
      <c r="K29" s="7"/>
      <c r="L29" s="7"/>
      <c r="M29" s="7"/>
      <c r="N29" s="7"/>
      <c r="O29" s="7">
        <f>SUM(C29:N29)</f>
        <v>64291</v>
      </c>
    </row>
    <row r="30" spans="1:15" ht="12.75">
      <c r="A30" s="2" t="s">
        <v>19</v>
      </c>
      <c r="B30" s="6"/>
      <c r="C30" s="7">
        <v>2496</v>
      </c>
      <c r="D30" s="7">
        <v>1978</v>
      </c>
      <c r="E30" s="7">
        <f>17826+7453</f>
        <v>25279</v>
      </c>
      <c r="F30" s="7">
        <v>27460</v>
      </c>
      <c r="G30" s="7">
        <v>43782</v>
      </c>
      <c r="H30" s="7">
        <v>41065</v>
      </c>
      <c r="I30" s="7">
        <v>37184</v>
      </c>
      <c r="J30" s="7"/>
      <c r="K30" s="7"/>
      <c r="L30" s="7"/>
      <c r="M30" s="7"/>
      <c r="N30" s="7"/>
      <c r="O30" s="7">
        <f aca="true" t="shared" si="5" ref="O30:O37">SUM(C30:N30)</f>
        <v>179244</v>
      </c>
    </row>
    <row r="31" spans="1:15" ht="12.75">
      <c r="A31" s="2" t="s">
        <v>20</v>
      </c>
      <c r="B31" s="6"/>
      <c r="C31" s="7">
        <v>3482</v>
      </c>
      <c r="D31" s="7">
        <v>2791</v>
      </c>
      <c r="E31" s="7">
        <f>6033+2523</f>
        <v>8556</v>
      </c>
      <c r="F31" s="7">
        <v>7455</v>
      </c>
      <c r="G31" s="7">
        <v>10872</v>
      </c>
      <c r="H31" s="7">
        <v>10142</v>
      </c>
      <c r="I31" s="7">
        <v>9318</v>
      </c>
      <c r="J31" s="7"/>
      <c r="K31" s="7"/>
      <c r="L31" s="7"/>
      <c r="M31" s="7"/>
      <c r="N31" s="7"/>
      <c r="O31" s="7">
        <f t="shared" si="5"/>
        <v>52616</v>
      </c>
    </row>
    <row r="32" spans="1:15" ht="12.75">
      <c r="A32" s="2" t="s">
        <v>21</v>
      </c>
      <c r="B32" s="6"/>
      <c r="C32" s="7">
        <v>1290</v>
      </c>
      <c r="D32" s="7">
        <v>62</v>
      </c>
      <c r="E32" s="7">
        <f>89+37</f>
        <v>126</v>
      </c>
      <c r="F32" s="7">
        <v>142</v>
      </c>
      <c r="G32" s="7">
        <v>0</v>
      </c>
      <c r="H32" s="7">
        <v>0</v>
      </c>
      <c r="I32" s="7">
        <v>0</v>
      </c>
      <c r="J32" s="7"/>
      <c r="K32" s="7"/>
      <c r="L32" s="7"/>
      <c r="M32" s="7"/>
      <c r="N32" s="7"/>
      <c r="O32" s="7">
        <f t="shared" si="5"/>
        <v>1620</v>
      </c>
    </row>
    <row r="33" spans="1:15" ht="12.75">
      <c r="A33" s="2" t="s">
        <v>22</v>
      </c>
      <c r="B33" s="6"/>
      <c r="C33" s="7">
        <v>4317</v>
      </c>
      <c r="D33" s="7">
        <v>3805</v>
      </c>
      <c r="E33" s="7">
        <f>9322+3815</f>
        <v>13137</v>
      </c>
      <c r="F33" s="7">
        <v>10611</v>
      </c>
      <c r="G33" s="7">
        <v>15149</v>
      </c>
      <c r="H33" s="7">
        <v>13364</v>
      </c>
      <c r="I33" s="7">
        <v>12213</v>
      </c>
      <c r="J33" s="7"/>
      <c r="K33" s="7"/>
      <c r="L33" s="7"/>
      <c r="M33" s="7"/>
      <c r="N33" s="7"/>
      <c r="O33" s="7">
        <f t="shared" si="5"/>
        <v>72596</v>
      </c>
    </row>
    <row r="34" spans="1:15" ht="12.75">
      <c r="A34" s="2" t="s">
        <v>23</v>
      </c>
      <c r="B34" s="6"/>
      <c r="C34" s="7">
        <v>0</v>
      </c>
      <c r="D34" s="7">
        <v>0</v>
      </c>
      <c r="E34" s="7">
        <f>669+280</f>
        <v>949</v>
      </c>
      <c r="F34" s="7">
        <v>793</v>
      </c>
      <c r="G34" s="7">
        <v>1345</v>
      </c>
      <c r="H34" s="7">
        <v>1262</v>
      </c>
      <c r="I34" s="7">
        <v>1166</v>
      </c>
      <c r="J34" s="7"/>
      <c r="K34" s="7"/>
      <c r="L34" s="7"/>
      <c r="M34" s="7"/>
      <c r="N34" s="7"/>
      <c r="O34" s="7">
        <f t="shared" si="5"/>
        <v>5515</v>
      </c>
    </row>
    <row r="35" spans="1:15" ht="12.75">
      <c r="A35" s="2" t="s">
        <v>24</v>
      </c>
      <c r="B35" s="6"/>
      <c r="C35" s="7">
        <v>965</v>
      </c>
      <c r="D35" s="7">
        <v>286</v>
      </c>
      <c r="E35" s="7">
        <f>1014+424</f>
        <v>1438</v>
      </c>
      <c r="F35" s="7">
        <v>3483</v>
      </c>
      <c r="G35" s="7">
        <v>5426</v>
      </c>
      <c r="H35" s="7">
        <v>4082</v>
      </c>
      <c r="I35" s="7">
        <v>4213</v>
      </c>
      <c r="J35" s="7"/>
      <c r="K35" s="7"/>
      <c r="L35" s="7"/>
      <c r="M35" s="7"/>
      <c r="N35" s="7"/>
      <c r="O35" s="7">
        <f t="shared" si="5"/>
        <v>19893</v>
      </c>
    </row>
    <row r="36" spans="1:15" ht="12.75">
      <c r="A36" s="2" t="s">
        <v>32</v>
      </c>
      <c r="B36" s="6"/>
      <c r="C36" s="7">
        <v>1783</v>
      </c>
      <c r="D36" s="7">
        <v>383</v>
      </c>
      <c r="E36" s="7">
        <f>1647+688</f>
        <v>2335</v>
      </c>
      <c r="F36" s="7">
        <v>2789</v>
      </c>
      <c r="G36" s="7">
        <v>4343</v>
      </c>
      <c r="H36" s="7">
        <v>4690</v>
      </c>
      <c r="I36" s="7">
        <v>4333</v>
      </c>
      <c r="J36" s="7"/>
      <c r="K36" s="7"/>
      <c r="L36" s="7"/>
      <c r="M36" s="7"/>
      <c r="N36" s="7"/>
      <c r="O36" s="7">
        <f t="shared" si="5"/>
        <v>20656</v>
      </c>
    </row>
    <row r="37" spans="1:15" ht="12.75">
      <c r="A37" s="2" t="s">
        <v>35</v>
      </c>
      <c r="B37" s="6"/>
      <c r="C37" s="7">
        <v>-1914</v>
      </c>
      <c r="D37" s="7">
        <f>-828</f>
        <v>-828</v>
      </c>
      <c r="E37" s="7">
        <f>-895-401</f>
        <v>-1296</v>
      </c>
      <c r="F37" s="7">
        <v>-1878</v>
      </c>
      <c r="G37" s="7">
        <v>-2753</v>
      </c>
      <c r="H37" s="7">
        <v>-2582</v>
      </c>
      <c r="I37" s="7">
        <f>-2387</f>
        <v>-2387</v>
      </c>
      <c r="J37" s="7"/>
      <c r="K37" s="7"/>
      <c r="L37" s="7"/>
      <c r="M37" s="7"/>
      <c r="N37" s="7"/>
      <c r="O37" s="7">
        <f t="shared" si="5"/>
        <v>-13638</v>
      </c>
    </row>
    <row r="38" spans="1:29" ht="12.75">
      <c r="A38" s="1" t="s">
        <v>26</v>
      </c>
      <c r="B38" s="28"/>
      <c r="C38" s="20">
        <f aca="true" t="shared" si="6" ref="C38:H38">SUM(C29:C37)</f>
        <v>14665</v>
      </c>
      <c r="D38" s="20">
        <f t="shared" si="6"/>
        <v>11467</v>
      </c>
      <c r="E38" s="20">
        <f t="shared" si="6"/>
        <v>62605</v>
      </c>
      <c r="F38" s="20">
        <f t="shared" si="6"/>
        <v>58836</v>
      </c>
      <c r="G38" s="20">
        <f t="shared" si="6"/>
        <v>92446</v>
      </c>
      <c r="H38" s="20">
        <f t="shared" si="6"/>
        <v>85065</v>
      </c>
      <c r="I38" s="20">
        <f>SUM(I29:I37)</f>
        <v>77709</v>
      </c>
      <c r="J38" s="20">
        <f aca="true" t="shared" si="7" ref="J38:O38">SUM(J29:J36)</f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0">
        <f t="shared" si="7"/>
        <v>0</v>
      </c>
      <c r="O38" s="20">
        <f t="shared" si="7"/>
        <v>416431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15" ht="12.75">
      <c r="A39" s="2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4"/>
    </row>
    <row r="40" spans="1:9" ht="12.75">
      <c r="A40" s="3" t="s">
        <v>27</v>
      </c>
      <c r="B40" s="6"/>
      <c r="C40" s="17">
        <f aca="true" t="shared" si="8" ref="C40:I40">+C19</f>
        <v>45703</v>
      </c>
      <c r="D40" s="17">
        <f t="shared" si="8"/>
        <v>45571</v>
      </c>
      <c r="E40" s="17">
        <v>45965</v>
      </c>
      <c r="F40" s="17">
        <v>46260</v>
      </c>
      <c r="G40" s="17">
        <f t="shared" si="8"/>
        <v>46764</v>
      </c>
      <c r="H40" s="17">
        <f t="shared" si="8"/>
        <v>46656</v>
      </c>
      <c r="I40" s="17">
        <f t="shared" si="8"/>
        <v>47430</v>
      </c>
    </row>
    <row r="42" spans="1:9" ht="12.75">
      <c r="A42" s="22" t="s">
        <v>34</v>
      </c>
      <c r="B42" s="23">
        <v>1</v>
      </c>
      <c r="C42" s="24">
        <f aca="true" t="shared" si="9" ref="C42:I42">C38/C40</f>
        <v>0.32087609128503597</v>
      </c>
      <c r="D42" s="24">
        <f t="shared" si="9"/>
        <v>0.2516293256676395</v>
      </c>
      <c r="E42" s="24">
        <f t="shared" si="9"/>
        <v>1.3620145763080604</v>
      </c>
      <c r="F42" s="24">
        <f t="shared" si="9"/>
        <v>1.2718547341115434</v>
      </c>
      <c r="G42" s="24">
        <f t="shared" si="9"/>
        <v>1.9768625438371397</v>
      </c>
      <c r="H42" s="24">
        <f t="shared" si="9"/>
        <v>1.8232381687242798</v>
      </c>
      <c r="I42" s="24">
        <f t="shared" si="9"/>
        <v>1.638393421884883</v>
      </c>
    </row>
    <row r="44" spans="1:9" ht="12.75">
      <c r="A44" s="21" t="s">
        <v>38</v>
      </c>
      <c r="B44" s="23">
        <v>0.7</v>
      </c>
      <c r="E44" s="24">
        <f>E42*0.7</f>
        <v>0.9534102034156422</v>
      </c>
      <c r="F44" s="24">
        <f>F42*0.7</f>
        <v>0.8902983138780803</v>
      </c>
      <c r="G44" s="24">
        <f>G42*0.7</f>
        <v>1.3838037806859977</v>
      </c>
      <c r="H44" s="24">
        <f>H42*0.7</f>
        <v>1.2762667181069958</v>
      </c>
      <c r="I44" s="24">
        <f>I42*0.7</f>
        <v>1.146875395319418</v>
      </c>
    </row>
    <row r="46" spans="1:9" ht="12.75">
      <c r="A46" s="21" t="s">
        <v>39</v>
      </c>
      <c r="C46" s="21">
        <v>0.28</v>
      </c>
      <c r="D46" s="21">
        <v>0.28</v>
      </c>
      <c r="E46" s="21">
        <v>0.51</v>
      </c>
      <c r="F46" s="21">
        <v>0.51</v>
      </c>
      <c r="G46" s="21">
        <v>0.51</v>
      </c>
      <c r="H46" s="21">
        <v>0.51</v>
      </c>
      <c r="I46" s="21">
        <v>0.51</v>
      </c>
    </row>
    <row r="48" spans="1:9" ht="12.75">
      <c r="A48" s="21" t="s">
        <v>33</v>
      </c>
      <c r="B48" s="23" t="s">
        <v>2</v>
      </c>
      <c r="E48" s="24">
        <f>E44-E46</f>
        <v>0.4434102034156422</v>
      </c>
      <c r="F48" s="24">
        <f>F44-F46</f>
        <v>0.38029831387808033</v>
      </c>
      <c r="G48" s="24">
        <f>G44-G46</f>
        <v>0.8738037806859977</v>
      </c>
      <c r="H48" s="24">
        <f>H44-H46</f>
        <v>0.7662667181069958</v>
      </c>
      <c r="I48" s="24">
        <f>I44-I46</f>
        <v>0.636875395319418</v>
      </c>
    </row>
    <row r="49" spans="3:7" ht="12.75">
      <c r="C49" s="21" t="s">
        <v>2</v>
      </c>
      <c r="D49" s="21" t="s">
        <v>2</v>
      </c>
      <c r="E49" s="21" t="s">
        <v>2</v>
      </c>
      <c r="F49" s="21" t="s">
        <v>2</v>
      </c>
      <c r="G49" s="21" t="s">
        <v>2</v>
      </c>
    </row>
    <row r="50" ht="12.75">
      <c r="H50" s="24"/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21" customWidth="1"/>
    <col min="2" max="2" width="13.28125" style="21" customWidth="1"/>
    <col min="3" max="3" width="13.421875" style="21" customWidth="1"/>
    <col min="4" max="4" width="11.140625" style="21" customWidth="1"/>
    <col min="5" max="5" width="12.00390625" style="21" customWidth="1"/>
    <col min="6" max="6" width="9.140625" style="21" customWidth="1"/>
    <col min="7" max="7" width="10.8515625" style="21" customWidth="1"/>
    <col min="8" max="16384" width="9.140625" style="21" customWidth="1"/>
  </cols>
  <sheetData>
    <row r="1" ht="12.75">
      <c r="A1" s="31" t="s">
        <v>51</v>
      </c>
    </row>
    <row r="2" ht="15.75">
      <c r="A2" s="32" t="s">
        <v>50</v>
      </c>
    </row>
    <row r="4" ht="12.75">
      <c r="E4" s="33" t="s">
        <v>40</v>
      </c>
    </row>
    <row r="5" spans="1:5" ht="12.75">
      <c r="A5" s="34">
        <v>38353</v>
      </c>
      <c r="B5" s="33" t="s">
        <v>41</v>
      </c>
      <c r="C5" s="33" t="s">
        <v>16</v>
      </c>
      <c r="D5" s="33" t="s">
        <v>42</v>
      </c>
      <c r="E5" s="35" t="s">
        <v>43</v>
      </c>
    </row>
    <row r="6" spans="1:7" ht="14.25">
      <c r="A6" s="36" t="s">
        <v>44</v>
      </c>
      <c r="B6" s="37">
        <f>19.77*2000</f>
        <v>39540</v>
      </c>
      <c r="C6" s="38">
        <f>B6/2000</f>
        <v>19.77</v>
      </c>
      <c r="D6" s="39">
        <f>C6*E6</f>
        <v>1037.925</v>
      </c>
      <c r="E6" s="40">
        <v>52.5</v>
      </c>
      <c r="F6" s="40"/>
      <c r="G6" s="41"/>
    </row>
    <row r="7" spans="1:7" ht="14.25">
      <c r="A7" s="36" t="s">
        <v>45</v>
      </c>
      <c r="B7" s="37">
        <f>0.02*2000</f>
        <v>40</v>
      </c>
      <c r="C7" s="38">
        <f aca="true" t="shared" si="0" ref="C7:C12">B7/2000</f>
        <v>0.02</v>
      </c>
      <c r="D7" s="39">
        <f aca="true" t="shared" si="1" ref="D7:D12">C7*E7</f>
        <v>10</v>
      </c>
      <c r="E7" s="40">
        <v>500</v>
      </c>
      <c r="F7" s="40"/>
      <c r="G7" s="41"/>
    </row>
    <row r="8" spans="1:7" ht="14.25">
      <c r="A8" s="36" t="s">
        <v>23</v>
      </c>
      <c r="B8" s="37">
        <f>0.02*2000</f>
        <v>40</v>
      </c>
      <c r="C8" s="38">
        <f t="shared" si="0"/>
        <v>0.02</v>
      </c>
      <c r="D8" s="39">
        <f t="shared" si="1"/>
        <v>0</v>
      </c>
      <c r="E8" s="40">
        <v>0</v>
      </c>
      <c r="F8" s="40"/>
      <c r="G8" s="41"/>
    </row>
    <row r="9" spans="1:7" ht="14.25">
      <c r="A9" s="36" t="s">
        <v>46</v>
      </c>
      <c r="B9" s="37">
        <f>0.62*2000</f>
        <v>1240</v>
      </c>
      <c r="C9" s="38">
        <f t="shared" si="0"/>
        <v>0.62</v>
      </c>
      <c r="D9" s="39">
        <f t="shared" si="1"/>
        <v>18.6</v>
      </c>
      <c r="E9" s="40">
        <v>30</v>
      </c>
      <c r="F9" s="40"/>
      <c r="G9" s="41"/>
    </row>
    <row r="10" spans="1:7" ht="14.25">
      <c r="A10" s="36" t="s">
        <v>47</v>
      </c>
      <c r="B10" s="37">
        <f>0.11*2000</f>
        <v>220</v>
      </c>
      <c r="C10" s="38">
        <f t="shared" si="0"/>
        <v>0.11</v>
      </c>
      <c r="D10" s="39">
        <f t="shared" si="1"/>
        <v>1.1</v>
      </c>
      <c r="E10" s="40">
        <v>10</v>
      </c>
      <c r="F10" s="40"/>
      <c r="G10" s="41"/>
    </row>
    <row r="11" spans="1:7" ht="14.25">
      <c r="A11" s="36" t="s">
        <v>19</v>
      </c>
      <c r="B11" s="37">
        <f>4.7*2000</f>
        <v>9400</v>
      </c>
      <c r="C11" s="38">
        <f t="shared" si="0"/>
        <v>4.7</v>
      </c>
      <c r="D11" s="39">
        <f t="shared" si="1"/>
        <v>70.5</v>
      </c>
      <c r="E11" s="40">
        <v>15</v>
      </c>
      <c r="F11" s="40"/>
      <c r="G11" s="41"/>
    </row>
    <row r="12" spans="1:7" ht="14.25">
      <c r="A12" s="36" t="s">
        <v>48</v>
      </c>
      <c r="B12" s="37">
        <f>0.55*2000</f>
        <v>1100</v>
      </c>
      <c r="C12" s="38">
        <f t="shared" si="0"/>
        <v>0.55</v>
      </c>
      <c r="D12" s="39">
        <f t="shared" si="1"/>
        <v>0</v>
      </c>
      <c r="E12" s="40">
        <f>D12/C12</f>
        <v>0</v>
      </c>
      <c r="F12" s="40"/>
      <c r="G12" s="41"/>
    </row>
    <row r="13" spans="1:7" ht="15">
      <c r="A13" s="42" t="s">
        <v>15</v>
      </c>
      <c r="B13" s="43">
        <v>1718834</v>
      </c>
      <c r="C13" s="44">
        <f>SUM(C6:C12)</f>
        <v>25.79</v>
      </c>
      <c r="D13" s="57">
        <f>SUM(D6:D12)</f>
        <v>1138.1249999999998</v>
      </c>
      <c r="E13" s="45"/>
      <c r="F13" s="44"/>
      <c r="G13" s="44"/>
    </row>
    <row r="14" spans="1:4" ht="14.25">
      <c r="A14" s="36"/>
      <c r="B14" s="36"/>
      <c r="C14" s="36"/>
      <c r="D14" s="46"/>
    </row>
    <row r="15" spans="1:4" ht="15">
      <c r="A15" s="47">
        <v>38384</v>
      </c>
      <c r="B15" s="48" t="s">
        <v>41</v>
      </c>
      <c r="C15" s="48" t="s">
        <v>16</v>
      </c>
      <c r="D15" s="49" t="s">
        <v>42</v>
      </c>
    </row>
    <row r="16" spans="1:7" ht="14.25">
      <c r="A16" s="36" t="s">
        <v>44</v>
      </c>
      <c r="B16" s="37">
        <f>18.68*2000</f>
        <v>37360</v>
      </c>
      <c r="C16" s="38">
        <f aca="true" t="shared" si="2" ref="C16:C22">B16/2000</f>
        <v>18.68</v>
      </c>
      <c r="D16" s="39">
        <f>C16*E16</f>
        <v>1074.1</v>
      </c>
      <c r="E16" s="40">
        <v>57.5</v>
      </c>
      <c r="F16" s="40"/>
      <c r="G16" s="41"/>
    </row>
    <row r="17" spans="1:7" ht="14.25">
      <c r="A17" s="36" t="s">
        <v>45</v>
      </c>
      <c r="B17" s="37">
        <f>0.03*2000</f>
        <v>60</v>
      </c>
      <c r="C17" s="38">
        <f t="shared" si="2"/>
        <v>0.03</v>
      </c>
      <c r="D17" s="39">
        <f aca="true" t="shared" si="3" ref="D17:D22">C17*E17</f>
        <v>15</v>
      </c>
      <c r="E17" s="40">
        <v>500</v>
      </c>
      <c r="F17" s="40"/>
      <c r="G17" s="41"/>
    </row>
    <row r="18" spans="1:7" ht="14.25">
      <c r="A18" s="36" t="s">
        <v>23</v>
      </c>
      <c r="B18" s="37">
        <f>0.03*2000</f>
        <v>60</v>
      </c>
      <c r="C18" s="38">
        <f t="shared" si="2"/>
        <v>0.03</v>
      </c>
      <c r="D18" s="39">
        <f t="shared" si="3"/>
        <v>0</v>
      </c>
      <c r="E18" s="40">
        <f>D18/C18</f>
        <v>0</v>
      </c>
      <c r="F18" s="40"/>
      <c r="G18" s="41"/>
    </row>
    <row r="19" spans="1:7" ht="14.25">
      <c r="A19" s="36" t="s">
        <v>46</v>
      </c>
      <c r="B19" s="37">
        <f>0.7*2000</f>
        <v>1400</v>
      </c>
      <c r="C19" s="38">
        <f t="shared" si="2"/>
        <v>0.7</v>
      </c>
      <c r="D19" s="39">
        <f t="shared" si="3"/>
        <v>22.75</v>
      </c>
      <c r="E19" s="40">
        <v>32.5</v>
      </c>
      <c r="F19" s="40"/>
      <c r="G19" s="41"/>
    </row>
    <row r="20" spans="1:7" ht="14.25">
      <c r="A20" s="36" t="s">
        <v>47</v>
      </c>
      <c r="B20" s="37">
        <f>0.18*2000</f>
        <v>360</v>
      </c>
      <c r="C20" s="38">
        <f t="shared" si="2"/>
        <v>0.18</v>
      </c>
      <c r="D20" s="39">
        <f t="shared" si="3"/>
        <v>2.6999999999999997</v>
      </c>
      <c r="E20" s="40">
        <v>15</v>
      </c>
      <c r="F20" s="40"/>
      <c r="G20" s="41"/>
    </row>
    <row r="21" spans="1:7" ht="14.25">
      <c r="A21" s="36" t="s">
        <v>19</v>
      </c>
      <c r="B21" s="37">
        <f>4.45*2000</f>
        <v>8900</v>
      </c>
      <c r="C21" s="38">
        <f t="shared" si="2"/>
        <v>4.45</v>
      </c>
      <c r="D21" s="39">
        <f t="shared" si="3"/>
        <v>77.875</v>
      </c>
      <c r="E21" s="40">
        <v>17.5</v>
      </c>
      <c r="F21" s="40"/>
      <c r="G21" s="41"/>
    </row>
    <row r="22" spans="1:7" ht="14.25">
      <c r="A22" s="36" t="s">
        <v>48</v>
      </c>
      <c r="B22" s="37">
        <f>0.93*2000</f>
        <v>1860</v>
      </c>
      <c r="C22" s="38">
        <f t="shared" si="2"/>
        <v>0.93</v>
      </c>
      <c r="D22" s="39">
        <f t="shared" si="3"/>
        <v>0</v>
      </c>
      <c r="E22" s="40">
        <f>D22/C22</f>
        <v>0</v>
      </c>
      <c r="F22" s="40"/>
      <c r="G22" s="41"/>
    </row>
    <row r="23" spans="1:7" ht="15">
      <c r="A23" s="42" t="s">
        <v>15</v>
      </c>
      <c r="B23" s="43">
        <f>SUM(B16:B22)</f>
        <v>50000</v>
      </c>
      <c r="C23" s="44">
        <f>SUM(C16:C22)</f>
        <v>25</v>
      </c>
      <c r="D23" s="57">
        <f>SUM(D16:D22)</f>
        <v>1192.425</v>
      </c>
      <c r="E23" s="45"/>
      <c r="F23" s="44"/>
      <c r="G23" s="44"/>
    </row>
    <row r="24" spans="1:4" ht="14.25">
      <c r="A24" s="36"/>
      <c r="B24" s="36"/>
      <c r="C24" s="36"/>
      <c r="D24" s="46"/>
    </row>
    <row r="25" spans="1:4" ht="15">
      <c r="A25" s="47">
        <v>38412</v>
      </c>
      <c r="B25" s="48" t="s">
        <v>41</v>
      </c>
      <c r="C25" s="48" t="s">
        <v>16</v>
      </c>
      <c r="D25" s="49" t="s">
        <v>42</v>
      </c>
    </row>
    <row r="26" spans="1:7" ht="14.25">
      <c r="A26" s="36" t="s">
        <v>44</v>
      </c>
      <c r="B26" s="50">
        <f>20.27*2000</f>
        <v>40540</v>
      </c>
      <c r="C26" s="38">
        <f aca="true" t="shared" si="4" ref="C26:C32">B26/2000</f>
        <v>20.27</v>
      </c>
      <c r="D26" s="39">
        <f aca="true" t="shared" si="5" ref="D26:D32">C26*E26</f>
        <v>1266.875</v>
      </c>
      <c r="E26" s="40">
        <v>62.5</v>
      </c>
      <c r="F26" s="40"/>
      <c r="G26" s="41"/>
    </row>
    <row r="27" spans="1:7" ht="14.25">
      <c r="A27" s="36" t="s">
        <v>45</v>
      </c>
      <c r="B27" s="51">
        <f>0.01*2000</f>
        <v>20</v>
      </c>
      <c r="C27" s="38">
        <f t="shared" si="4"/>
        <v>0.01</v>
      </c>
      <c r="D27" s="39">
        <f t="shared" si="5"/>
        <v>5.6000000000000005</v>
      </c>
      <c r="E27" s="40">
        <v>560</v>
      </c>
      <c r="F27" s="40"/>
      <c r="G27" s="41"/>
    </row>
    <row r="28" spans="1:7" ht="14.25">
      <c r="A28" s="36" t="s">
        <v>23</v>
      </c>
      <c r="B28" s="51">
        <f>0.02*2000</f>
        <v>40</v>
      </c>
      <c r="C28" s="38">
        <f t="shared" si="4"/>
        <v>0.02</v>
      </c>
      <c r="D28" s="39">
        <f t="shared" si="5"/>
        <v>0</v>
      </c>
      <c r="E28" s="40">
        <v>0</v>
      </c>
      <c r="F28" s="40"/>
      <c r="G28" s="41"/>
    </row>
    <row r="29" spans="1:7" ht="14.25">
      <c r="A29" s="36" t="s">
        <v>46</v>
      </c>
      <c r="B29" s="50">
        <f>0.5*2000</f>
        <v>1000</v>
      </c>
      <c r="C29" s="38">
        <f t="shared" si="4"/>
        <v>0.5</v>
      </c>
      <c r="D29" s="39">
        <f t="shared" si="5"/>
        <v>18.75</v>
      </c>
      <c r="E29" s="40">
        <v>37.5</v>
      </c>
      <c r="F29" s="40"/>
      <c r="G29" s="41"/>
    </row>
    <row r="30" spans="1:7" ht="14.25">
      <c r="A30" s="36" t="s">
        <v>47</v>
      </c>
      <c r="B30" s="51">
        <f>0.14*2000</f>
        <v>280</v>
      </c>
      <c r="C30" s="38">
        <f t="shared" si="4"/>
        <v>0.14</v>
      </c>
      <c r="D30" s="39">
        <f t="shared" si="5"/>
        <v>2.8000000000000003</v>
      </c>
      <c r="E30" s="40">
        <v>20</v>
      </c>
      <c r="F30" s="40"/>
      <c r="G30" s="41"/>
    </row>
    <row r="31" spans="1:7" ht="14.25">
      <c r="A31" s="36" t="s">
        <v>19</v>
      </c>
      <c r="B31" s="50">
        <f>5.83*2000</f>
        <v>11660</v>
      </c>
      <c r="C31" s="38">
        <f t="shared" si="4"/>
        <v>5.83</v>
      </c>
      <c r="D31" s="39">
        <f t="shared" si="5"/>
        <v>145.75</v>
      </c>
      <c r="E31" s="40">
        <v>25</v>
      </c>
      <c r="F31" s="40"/>
      <c r="G31" s="41"/>
    </row>
    <row r="32" spans="1:7" ht="14.25">
      <c r="A32" s="36" t="s">
        <v>48</v>
      </c>
      <c r="B32" s="51">
        <f>0.73*2000</f>
        <v>1460</v>
      </c>
      <c r="C32" s="38">
        <f t="shared" si="4"/>
        <v>0.73</v>
      </c>
      <c r="D32" s="39">
        <f t="shared" si="5"/>
        <v>0</v>
      </c>
      <c r="E32" s="40">
        <v>0</v>
      </c>
      <c r="F32" s="40"/>
      <c r="G32" s="41"/>
    </row>
    <row r="33" spans="1:7" ht="15">
      <c r="A33" s="42" t="s">
        <v>15</v>
      </c>
      <c r="B33" s="52">
        <f>SUM(B26:B32)</f>
        <v>55000</v>
      </c>
      <c r="C33" s="44">
        <f>SUM(C26:C32)</f>
        <v>27.500000000000004</v>
      </c>
      <c r="D33" s="57">
        <f>SUM(D26:D32)</f>
        <v>1439.7749999999999</v>
      </c>
      <c r="E33" s="45"/>
      <c r="F33" s="44"/>
      <c r="G33" s="44"/>
    </row>
    <row r="34" spans="1:4" ht="14.25">
      <c r="A34" s="36"/>
      <c r="B34" s="36"/>
      <c r="C34" s="36"/>
      <c r="D34" s="46"/>
    </row>
    <row r="35" spans="1:4" ht="15">
      <c r="A35" s="47">
        <v>38443</v>
      </c>
      <c r="B35" s="48" t="s">
        <v>41</v>
      </c>
      <c r="C35" s="48" t="s">
        <v>16</v>
      </c>
      <c r="D35" s="49" t="s">
        <v>42</v>
      </c>
    </row>
    <row r="36" spans="1:7" ht="14.25">
      <c r="A36" s="36" t="s">
        <v>44</v>
      </c>
      <c r="B36" s="37">
        <f>19.8*2000</f>
        <v>39600</v>
      </c>
      <c r="C36" s="38">
        <f aca="true" t="shared" si="6" ref="C36:C42">B36/2000</f>
        <v>19.8</v>
      </c>
      <c r="D36" s="39">
        <f aca="true" t="shared" si="7" ref="D36:D42">C36*E36</f>
        <v>1237.5</v>
      </c>
      <c r="E36" s="40">
        <v>62.5</v>
      </c>
      <c r="F36" s="40"/>
      <c r="G36" s="41"/>
    </row>
    <row r="37" spans="1:7" ht="14.25">
      <c r="A37" s="36" t="s">
        <v>45</v>
      </c>
      <c r="B37" s="37">
        <f>0.06*2000</f>
        <v>120</v>
      </c>
      <c r="C37" s="38">
        <f t="shared" si="6"/>
        <v>0.06</v>
      </c>
      <c r="D37" s="39">
        <f t="shared" si="7"/>
        <v>33.6</v>
      </c>
      <c r="E37" s="40">
        <v>560</v>
      </c>
      <c r="F37" s="40"/>
      <c r="G37" s="41"/>
    </row>
    <row r="38" spans="1:7" ht="14.25">
      <c r="A38" s="36" t="s">
        <v>23</v>
      </c>
      <c r="B38" s="53">
        <v>0</v>
      </c>
      <c r="C38" s="38">
        <f t="shared" si="6"/>
        <v>0</v>
      </c>
      <c r="D38" s="39">
        <f t="shared" si="7"/>
        <v>0</v>
      </c>
      <c r="E38" s="40"/>
      <c r="F38" s="40"/>
      <c r="G38" s="41"/>
    </row>
    <row r="39" spans="1:7" ht="14.25">
      <c r="A39" s="36" t="s">
        <v>46</v>
      </c>
      <c r="B39" s="37">
        <f>0.58*2000</f>
        <v>1160</v>
      </c>
      <c r="C39" s="38">
        <f t="shared" si="6"/>
        <v>0.58</v>
      </c>
      <c r="D39" s="39">
        <f t="shared" si="7"/>
        <v>21.75</v>
      </c>
      <c r="E39" s="40">
        <v>37.5</v>
      </c>
      <c r="F39" s="40"/>
      <c r="G39" s="41"/>
    </row>
    <row r="40" spans="1:7" ht="14.25">
      <c r="A40" s="36" t="s">
        <v>47</v>
      </c>
      <c r="B40" s="37">
        <f>0.12*2000</f>
        <v>240</v>
      </c>
      <c r="C40" s="38">
        <f t="shared" si="6"/>
        <v>0.12</v>
      </c>
      <c r="D40" s="39">
        <f t="shared" si="7"/>
        <v>2.4</v>
      </c>
      <c r="E40" s="40">
        <v>20</v>
      </c>
      <c r="F40" s="40"/>
      <c r="G40" s="41"/>
    </row>
    <row r="41" spans="1:7" ht="14.25">
      <c r="A41" s="36" t="s">
        <v>19</v>
      </c>
      <c r="B41" s="37">
        <f>4.32*2000</f>
        <v>8640</v>
      </c>
      <c r="C41" s="38">
        <f t="shared" si="6"/>
        <v>4.32</v>
      </c>
      <c r="D41" s="39">
        <f t="shared" si="7"/>
        <v>108</v>
      </c>
      <c r="E41" s="40">
        <v>25</v>
      </c>
      <c r="F41" s="40"/>
      <c r="G41" s="41"/>
    </row>
    <row r="42" spans="1:7" ht="14.25">
      <c r="A42" s="36" t="s">
        <v>48</v>
      </c>
      <c r="B42" s="37">
        <f>0.74*2000</f>
        <v>1480</v>
      </c>
      <c r="C42" s="38">
        <f t="shared" si="6"/>
        <v>0.74</v>
      </c>
      <c r="D42" s="39">
        <f t="shared" si="7"/>
        <v>0</v>
      </c>
      <c r="E42" s="40">
        <v>0</v>
      </c>
      <c r="F42" s="40"/>
      <c r="G42" s="41"/>
    </row>
    <row r="43" spans="1:7" ht="15">
      <c r="A43" s="42" t="s">
        <v>15</v>
      </c>
      <c r="B43" s="43">
        <f>SUM(B36:B42)</f>
        <v>51240</v>
      </c>
      <c r="C43" s="44">
        <f>SUM(C36:C42)</f>
        <v>25.619999999999997</v>
      </c>
      <c r="D43" s="57">
        <f>SUM(D36:D42)</f>
        <v>1403.25</v>
      </c>
      <c r="E43" s="45"/>
      <c r="F43" s="45"/>
      <c r="G43" s="52"/>
    </row>
    <row r="44" spans="1:4" ht="14.25">
      <c r="A44" s="36"/>
      <c r="B44" s="36"/>
      <c r="C44" s="36"/>
      <c r="D44" s="46"/>
    </row>
    <row r="45" spans="1:4" ht="15">
      <c r="A45" s="47">
        <v>38477</v>
      </c>
      <c r="B45" s="48" t="s">
        <v>41</v>
      </c>
      <c r="C45" s="48" t="s">
        <v>16</v>
      </c>
      <c r="D45" s="49" t="s">
        <v>42</v>
      </c>
    </row>
    <row r="46" spans="1:7" ht="14.25">
      <c r="A46" s="36" t="s">
        <v>44</v>
      </c>
      <c r="B46" s="37">
        <f>20.32*2000</f>
        <v>40640</v>
      </c>
      <c r="C46" s="38">
        <f aca="true" t="shared" si="8" ref="C46:C52">B46/2000</f>
        <v>20.32</v>
      </c>
      <c r="D46" s="39">
        <f aca="true" t="shared" si="9" ref="D46:D52">C46*E46</f>
        <v>1270</v>
      </c>
      <c r="E46" s="40">
        <v>62.5</v>
      </c>
      <c r="F46" s="40"/>
      <c r="G46" s="41"/>
    </row>
    <row r="47" spans="1:7" ht="14.25">
      <c r="A47" s="36" t="s">
        <v>45</v>
      </c>
      <c r="B47" s="37">
        <f>0.05*2000</f>
        <v>100</v>
      </c>
      <c r="C47" s="38">
        <f t="shared" si="8"/>
        <v>0.05</v>
      </c>
      <c r="D47" s="39">
        <f t="shared" si="9"/>
        <v>28</v>
      </c>
      <c r="E47" s="40">
        <v>560</v>
      </c>
      <c r="F47" s="40"/>
      <c r="G47" s="41"/>
    </row>
    <row r="48" spans="1:7" ht="14.25">
      <c r="A48" s="36" t="s">
        <v>23</v>
      </c>
      <c r="B48" s="54">
        <v>0</v>
      </c>
      <c r="C48" s="38">
        <f t="shared" si="8"/>
        <v>0</v>
      </c>
      <c r="D48" s="39">
        <f t="shared" si="9"/>
        <v>0</v>
      </c>
      <c r="E48" s="40">
        <v>0</v>
      </c>
      <c r="F48" s="40"/>
      <c r="G48" s="41"/>
    </row>
    <row r="49" spans="1:7" ht="14.25">
      <c r="A49" s="36" t="s">
        <v>46</v>
      </c>
      <c r="B49" s="37">
        <f>0.58*2000</f>
        <v>1160</v>
      </c>
      <c r="C49" s="38">
        <f t="shared" si="8"/>
        <v>0.58</v>
      </c>
      <c r="D49" s="39">
        <f t="shared" si="9"/>
        <v>21.75</v>
      </c>
      <c r="E49" s="40">
        <v>37.5</v>
      </c>
      <c r="F49" s="40"/>
      <c r="G49" s="41"/>
    </row>
    <row r="50" spans="1:7" ht="14.25">
      <c r="A50" s="36" t="s">
        <v>47</v>
      </c>
      <c r="B50" s="37">
        <f>0.15*2000</f>
        <v>300</v>
      </c>
      <c r="C50" s="38">
        <f t="shared" si="8"/>
        <v>0.15</v>
      </c>
      <c r="D50" s="39">
        <f t="shared" si="9"/>
        <v>3</v>
      </c>
      <c r="E50" s="40">
        <v>20</v>
      </c>
      <c r="F50" s="40"/>
      <c r="G50" s="41"/>
    </row>
    <row r="51" spans="1:7" ht="14.25">
      <c r="A51" s="36" t="s">
        <v>19</v>
      </c>
      <c r="B51" s="37">
        <f>4.87*2000</f>
        <v>9740</v>
      </c>
      <c r="C51" s="38">
        <f t="shared" si="8"/>
        <v>4.87</v>
      </c>
      <c r="D51" s="39">
        <f t="shared" si="9"/>
        <v>121.75</v>
      </c>
      <c r="E51" s="40">
        <v>25</v>
      </c>
      <c r="F51" s="40"/>
      <c r="G51" s="41"/>
    </row>
    <row r="52" spans="1:7" ht="14.25">
      <c r="A52" s="36" t="s">
        <v>48</v>
      </c>
      <c r="B52" s="37">
        <f>0.67*2000</f>
        <v>1340</v>
      </c>
      <c r="C52" s="38">
        <f t="shared" si="8"/>
        <v>0.67</v>
      </c>
      <c r="D52" s="39">
        <f t="shared" si="9"/>
        <v>0</v>
      </c>
      <c r="E52" s="40">
        <v>0</v>
      </c>
      <c r="F52" s="40"/>
      <c r="G52" s="41"/>
    </row>
    <row r="53" spans="1:7" ht="15">
      <c r="A53" s="42" t="s">
        <v>15</v>
      </c>
      <c r="B53" s="43">
        <f>SUM(B46:B52)</f>
        <v>53280</v>
      </c>
      <c r="C53" s="44">
        <f>SUM(C46:C52)</f>
        <v>26.64</v>
      </c>
      <c r="D53" s="57">
        <f>SUM(D46:D52)</f>
        <v>1444.5</v>
      </c>
      <c r="E53" s="45"/>
      <c r="F53" s="44"/>
      <c r="G53" s="43"/>
    </row>
    <row r="54" spans="1:4" ht="14.25">
      <c r="A54" s="36"/>
      <c r="B54" s="36"/>
      <c r="C54" s="36"/>
      <c r="D54" s="46"/>
    </row>
    <row r="55" spans="1:4" ht="15">
      <c r="A55" s="55">
        <v>38504</v>
      </c>
      <c r="B55" s="48" t="s">
        <v>41</v>
      </c>
      <c r="C55" s="48" t="s">
        <v>16</v>
      </c>
      <c r="D55" s="49" t="s">
        <v>42</v>
      </c>
    </row>
    <row r="56" spans="1:7" ht="14.25">
      <c r="A56" s="36" t="s">
        <v>44</v>
      </c>
      <c r="B56" s="37">
        <f>18.44*2000</f>
        <v>36880</v>
      </c>
      <c r="C56" s="38">
        <f aca="true" t="shared" si="10" ref="C56:C62">B56/2000</f>
        <v>18.44</v>
      </c>
      <c r="D56" s="39">
        <f aca="true" t="shared" si="11" ref="D56:D62">C56*E56</f>
        <v>1152.5</v>
      </c>
      <c r="E56" s="40">
        <v>62.5</v>
      </c>
      <c r="F56" s="40"/>
      <c r="G56" s="41"/>
    </row>
    <row r="57" spans="1:7" ht="14.25">
      <c r="A57" s="36" t="s">
        <v>45</v>
      </c>
      <c r="B57" s="37">
        <f>0.03*2000</f>
        <v>60</v>
      </c>
      <c r="C57" s="38">
        <f t="shared" si="10"/>
        <v>0.03</v>
      </c>
      <c r="D57" s="39">
        <f t="shared" si="11"/>
        <v>16.8</v>
      </c>
      <c r="E57" s="40">
        <f aca="true" t="shared" si="12" ref="E57:E62">D57/C57</f>
        <v>560</v>
      </c>
      <c r="F57" s="40"/>
      <c r="G57" s="41"/>
    </row>
    <row r="58" spans="1:7" ht="14.25">
      <c r="A58" s="36" t="s">
        <v>23</v>
      </c>
      <c r="B58" s="36">
        <v>0</v>
      </c>
      <c r="C58" s="38">
        <f t="shared" si="10"/>
        <v>0</v>
      </c>
      <c r="D58" s="39">
        <f t="shared" si="11"/>
        <v>0</v>
      </c>
      <c r="E58" s="40">
        <v>0</v>
      </c>
      <c r="F58" s="40"/>
      <c r="G58" s="41"/>
    </row>
    <row r="59" spans="1:7" ht="14.25">
      <c r="A59" s="36" t="s">
        <v>46</v>
      </c>
      <c r="B59" s="37">
        <f>0.32*2000</f>
        <v>640</v>
      </c>
      <c r="C59" s="38">
        <f t="shared" si="10"/>
        <v>0.32</v>
      </c>
      <c r="D59" s="39">
        <f t="shared" si="11"/>
        <v>12</v>
      </c>
      <c r="E59" s="40">
        <f t="shared" si="12"/>
        <v>37.5</v>
      </c>
      <c r="F59" s="40"/>
      <c r="G59" s="41"/>
    </row>
    <row r="60" spans="1:7" ht="14.25">
      <c r="A60" s="36" t="s">
        <v>47</v>
      </c>
      <c r="B60" s="37">
        <f>0.09*2000</f>
        <v>180</v>
      </c>
      <c r="C60" s="38">
        <f t="shared" si="10"/>
        <v>0.09</v>
      </c>
      <c r="D60" s="39">
        <f t="shared" si="11"/>
        <v>1.7999999999999998</v>
      </c>
      <c r="E60" s="40">
        <f t="shared" si="12"/>
        <v>20</v>
      </c>
      <c r="F60" s="40"/>
      <c r="G60" s="41"/>
    </row>
    <row r="61" spans="1:7" ht="14.25">
      <c r="A61" s="36" t="s">
        <v>19</v>
      </c>
      <c r="B61" s="37">
        <f>6.47*2000</f>
        <v>12940</v>
      </c>
      <c r="C61" s="38">
        <f t="shared" si="10"/>
        <v>6.47</v>
      </c>
      <c r="D61" s="39">
        <f t="shared" si="11"/>
        <v>161.75</v>
      </c>
      <c r="E61" s="40">
        <f t="shared" si="12"/>
        <v>25</v>
      </c>
      <c r="F61" s="40"/>
      <c r="G61" s="41"/>
    </row>
    <row r="62" spans="1:7" ht="14.25">
      <c r="A62" s="36" t="s">
        <v>48</v>
      </c>
      <c r="B62" s="37">
        <f>0.24*2000</f>
        <v>480</v>
      </c>
      <c r="C62" s="38">
        <f t="shared" si="10"/>
        <v>0.24</v>
      </c>
      <c r="D62" s="39">
        <f t="shared" si="11"/>
        <v>0</v>
      </c>
      <c r="E62" s="40">
        <f t="shared" si="12"/>
        <v>0</v>
      </c>
      <c r="F62" s="40"/>
      <c r="G62" s="41"/>
    </row>
    <row r="63" spans="1:7" ht="15">
      <c r="A63" s="42" t="s">
        <v>15</v>
      </c>
      <c r="B63" s="43">
        <f>SUM(B56:B62)</f>
        <v>51180</v>
      </c>
      <c r="C63" s="44">
        <f>SUM(C56:C62)</f>
        <v>25.59</v>
      </c>
      <c r="D63" s="57">
        <f>SUM(D56:D62)</f>
        <v>1344.85</v>
      </c>
      <c r="E63" s="45"/>
      <c r="F63" s="44"/>
      <c r="G63" s="43"/>
    </row>
    <row r="64" spans="1:4" ht="14.25">
      <c r="A64" s="36"/>
      <c r="B64" s="36"/>
      <c r="C64" s="36"/>
      <c r="D64" s="46"/>
    </row>
    <row r="65" spans="1:4" ht="15">
      <c r="A65" s="47">
        <v>38538</v>
      </c>
      <c r="B65" s="48" t="s">
        <v>41</v>
      </c>
      <c r="C65" s="48" t="s">
        <v>16</v>
      </c>
      <c r="D65" s="49" t="s">
        <v>42</v>
      </c>
    </row>
    <row r="66" spans="1:7" ht="14.25">
      <c r="A66" s="36" t="s">
        <v>44</v>
      </c>
      <c r="B66" s="54">
        <f>16.67*2000</f>
        <v>33340</v>
      </c>
      <c r="C66" s="38">
        <f aca="true" t="shared" si="13" ref="C66:C72">B66/2000</f>
        <v>16.67</v>
      </c>
      <c r="D66" s="39">
        <f aca="true" t="shared" si="14" ref="D66:D72">C66*E66</f>
        <v>1041.875</v>
      </c>
      <c r="E66" s="40">
        <v>62.5</v>
      </c>
      <c r="F66" s="40"/>
      <c r="G66" s="41"/>
    </row>
    <row r="67" spans="1:7" ht="14.25">
      <c r="A67" s="36" t="s">
        <v>45</v>
      </c>
      <c r="B67" s="54">
        <f>0.04*2000</f>
        <v>80</v>
      </c>
      <c r="C67" s="38">
        <f t="shared" si="13"/>
        <v>0.04</v>
      </c>
      <c r="D67" s="39">
        <f t="shared" si="14"/>
        <v>22.400000000000002</v>
      </c>
      <c r="E67" s="40">
        <v>560</v>
      </c>
      <c r="F67" s="40"/>
      <c r="G67" s="41"/>
    </row>
    <row r="68" spans="1:7" ht="14.25">
      <c r="A68" s="36" t="s">
        <v>23</v>
      </c>
      <c r="B68" s="54">
        <v>0</v>
      </c>
      <c r="C68" s="38">
        <f t="shared" si="13"/>
        <v>0</v>
      </c>
      <c r="D68" s="39">
        <f t="shared" si="14"/>
        <v>0</v>
      </c>
      <c r="E68" s="40">
        <v>0</v>
      </c>
      <c r="F68" s="40"/>
      <c r="G68" s="41"/>
    </row>
    <row r="69" spans="1:7" ht="14.25">
      <c r="A69" s="36" t="s">
        <v>46</v>
      </c>
      <c r="B69" s="54">
        <f>0.36*2000</f>
        <v>720</v>
      </c>
      <c r="C69" s="38">
        <f t="shared" si="13"/>
        <v>0.36</v>
      </c>
      <c r="D69" s="39">
        <f t="shared" si="14"/>
        <v>13.5</v>
      </c>
      <c r="E69" s="40">
        <v>37.5</v>
      </c>
      <c r="F69" s="40"/>
      <c r="G69" s="41"/>
    </row>
    <row r="70" spans="1:7" ht="14.25">
      <c r="A70" s="36" t="s">
        <v>47</v>
      </c>
      <c r="B70" s="54">
        <f>0.09*2000</f>
        <v>180</v>
      </c>
      <c r="C70" s="38">
        <f t="shared" si="13"/>
        <v>0.09</v>
      </c>
      <c r="D70" s="39">
        <f t="shared" si="14"/>
        <v>1.7999999999999998</v>
      </c>
      <c r="E70" s="40">
        <v>20</v>
      </c>
      <c r="F70" s="40"/>
      <c r="G70" s="41"/>
    </row>
    <row r="71" spans="1:7" ht="14.25">
      <c r="A71" s="36" t="s">
        <v>19</v>
      </c>
      <c r="B71" s="54">
        <f>3.89*2000</f>
        <v>7780</v>
      </c>
      <c r="C71" s="38">
        <f t="shared" si="13"/>
        <v>3.89</v>
      </c>
      <c r="D71" s="39">
        <f t="shared" si="14"/>
        <v>97.25</v>
      </c>
      <c r="E71" s="40">
        <v>25</v>
      </c>
      <c r="F71" s="40"/>
      <c r="G71" s="41"/>
    </row>
    <row r="72" spans="1:7" ht="14.25">
      <c r="A72" s="36" t="s">
        <v>48</v>
      </c>
      <c r="B72" s="54">
        <f>0.78*2000</f>
        <v>1560</v>
      </c>
      <c r="C72" s="38">
        <f t="shared" si="13"/>
        <v>0.78</v>
      </c>
      <c r="D72" s="39">
        <f t="shared" si="14"/>
        <v>0</v>
      </c>
      <c r="E72" s="40">
        <v>0</v>
      </c>
      <c r="F72" s="40"/>
      <c r="G72" s="41"/>
    </row>
    <row r="73" spans="1:7" ht="15">
      <c r="A73" s="42" t="s">
        <v>15</v>
      </c>
      <c r="B73" s="43">
        <f>SUM(B66:B72)</f>
        <v>43660</v>
      </c>
      <c r="C73" s="43">
        <f>SUM(C66:C72)</f>
        <v>21.830000000000002</v>
      </c>
      <c r="D73" s="57">
        <f>SUM(D66:D72)</f>
        <v>1176.825</v>
      </c>
      <c r="E73" s="45"/>
      <c r="F73" s="44"/>
      <c r="G73" s="43"/>
    </row>
    <row r="74" spans="1:4" ht="14.25">
      <c r="A74" s="36"/>
      <c r="B74" s="36"/>
      <c r="C74" s="36"/>
      <c r="D74" s="46"/>
    </row>
    <row r="75" spans="1:4" ht="14.25">
      <c r="A75" s="36"/>
      <c r="B75" s="36"/>
      <c r="C75" s="36"/>
      <c r="D75" s="46"/>
    </row>
    <row r="76" spans="1:7" ht="15">
      <c r="A76" s="56" t="s">
        <v>49</v>
      </c>
      <c r="B76" s="43">
        <f>B13+B23+B33+B43+B53+B63+B73</f>
        <v>2023194</v>
      </c>
      <c r="C76" s="43">
        <f>C13+C23+C33+C43+C53+C63+C73</f>
        <v>177.97000000000003</v>
      </c>
      <c r="D76" s="57">
        <f>D13+D23+D33+D43+D53+D63+D73</f>
        <v>9139.75</v>
      </c>
      <c r="E76" s="43"/>
      <c r="F76" s="45"/>
      <c r="G76" s="43"/>
    </row>
    <row r="77" ht="12.75">
      <c r="D77" s="21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Mike Sommerville, Customer Service Specialist 3</cp:lastModifiedBy>
  <cp:lastPrinted>2005-08-10T16:22:35Z</cp:lastPrinted>
  <dcterms:created xsi:type="dcterms:W3CDTF">2005-06-05T19:45:05Z</dcterms:created>
  <dcterms:modified xsi:type="dcterms:W3CDTF">2005-08-19T17:27:23Z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050075</vt:lpwstr>
  </property>
  <property fmtid="{D5CDD505-2E9C-101B-9397-08002B2CF9AE}" pid="6" name="IsConfidenti">
    <vt:lpwstr>0</vt:lpwstr>
  </property>
  <property fmtid="{D5CDD505-2E9C-101B-9397-08002B2CF9AE}" pid="7" name="Dat">
    <vt:lpwstr>2005-08-19T00:00:00Z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2005-01-14T00:00:00Z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