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9.xml" ContentType="application/vnd.openxmlformats-officedocument.spreadsheetml.worksheet+xml"/>
  <Override PartName="/xl/worksheets/sheet21.xml" ContentType="application/vnd.openxmlformats-officedocument.spreadsheetml.worksheet+xml"/>
  <Override PartName="/xl/worksheets/sheet5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0.xml" ContentType="application/vnd.openxmlformats-officedocument.spreadsheetml.worksheet+xml"/>
  <Override PartName="/xl/worksheets/sheet27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2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2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1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" yWindow="1680" windowWidth="28800" windowHeight="12975" tabRatio="837"/>
  </bookViews>
  <sheets>
    <sheet name="Exh. JAP-8 Page 1" sheetId="9" r:id="rId1"/>
    <sheet name="Exh. JAP-8 Page 2" sheetId="54" r:id="rId2"/>
    <sheet name="Exh. JAP-8 Page 3" sheetId="55" r:id="rId3"/>
    <sheet name="Exh. JAP-8 Page 4" sheetId="5" r:id="rId4"/>
    <sheet name="Work Papers--&gt;" sheetId="51" r:id="rId5"/>
    <sheet name="Rider Revenue Calculation ==&gt;" sheetId="28" r:id="rId6"/>
    <sheet name="Schedule 106 Revenue" sheetId="24" r:id="rId7"/>
    <sheet name="Schedule 120 Revenue" sheetId="25" r:id="rId8"/>
    <sheet name="Schedule 129 Revenue" sheetId="11" r:id="rId9"/>
    <sheet name="Schedule 132 Revenue" sheetId="26" r:id="rId10"/>
    <sheet name="Schedule 140 Revenue" sheetId="21" r:id="rId11"/>
    <sheet name="Schedule 141 Revenue" sheetId="18" r:id="rId12"/>
    <sheet name="Sch 142 Revenue (Decoupling)" sheetId="48" r:id="rId13"/>
    <sheet name="Sch 142 Revenue (Rate Plan)" sheetId="16" r:id="rId14"/>
    <sheet name="Schedule X Revenue" sheetId="53" r:id="rId15"/>
    <sheet name="Schedule 149 Revenue" sheetId="22" r:id="rId16"/>
    <sheet name="Forecast==&gt;" sheetId="42" r:id="rId17"/>
    <sheet name="Normalized Therms" sheetId="10" r:id="rId18"/>
    <sheet name="Data==&gt;" sheetId="36" r:id="rId19"/>
    <sheet name="12ME Jun18 Bill Freq" sheetId="13" r:id="rId20"/>
    <sheet name="12ME Jun18 Norm Therms" sheetId="39" r:id="rId21"/>
    <sheet name="12ME Jun18 Cal Bill Freq" sheetId="40" r:id="rId22"/>
    <sheet name="12ME Jun18 Weather Adj" sheetId="52" r:id="rId23"/>
    <sheet name="12ME Jun18 Data" sheetId="15" r:id="rId24"/>
    <sheet name="12ME Jun18 Rentals" sheetId="37" r:id="rId25"/>
    <sheet name="Rate Design Res" sheetId="44" r:id="rId26"/>
    <sheet name="Rate Design C&amp;I" sheetId="45" r:id="rId27"/>
    <sheet name="Rate Design Int &amp; Trans" sheetId="46" r:id="rId28"/>
    <sheet name="Rate Design Rental" sheetId="47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123Graph_ABUDG6_DSCRPR">[5]Quant!$D$71:$O$71</definedName>
    <definedName name="__123Graph_ABUDG6_ESCRPR1">[5]Quant!$D$100:$O$100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 localSheetId="21">[3]BS!$T$7:$T$3582</definedName>
    <definedName name="__Dec03">[3]BS!$T$7:$T$3582</definedName>
    <definedName name="__Dec04" localSheetId="21">[1]BS!$AC$7:$AC$3580</definedName>
    <definedName name="__Dec04">[1]BS!$AC$7:$AC$3580</definedName>
    <definedName name="__Feb04" localSheetId="12">[1]BS!$S$7:$S$3582</definedName>
    <definedName name="__Feb04" localSheetId="13">[1]BS!$S$7:$S$3582</definedName>
    <definedName name="__Feb04" localSheetId="8">[1]BS!$S$7:$S$3582</definedName>
    <definedName name="__Jan04" localSheetId="12">[1]BS!$R$7:$R$3582</definedName>
    <definedName name="__Jan04" localSheetId="13">[1]BS!$R$7:$R$3582</definedName>
    <definedName name="__Jan04" localSheetId="8">[1]BS!$R$7:$R$3582</definedName>
    <definedName name="__Jul04" localSheetId="21">[1]BS!$X$7:$X$3582</definedName>
    <definedName name="__Jul04">[1]BS!$X$7:$X$3582</definedName>
    <definedName name="__Jul09" xml:space="preserve"> [2]BS!$X$7:$X$1726</definedName>
    <definedName name="__Jun04" localSheetId="21">[1]BS!$W$7:$W$3582</definedName>
    <definedName name="__Jun04">[1]BS!$W$7:$W$3582</definedName>
    <definedName name="__Jun09">" BS!$AI$7:$AI$1643"</definedName>
    <definedName name="__Mar04" localSheetId="12">[1]BS!$T$7:$T$3582</definedName>
    <definedName name="__Mar04" localSheetId="13">[1]BS!$T$7:$T$3582</definedName>
    <definedName name="__Mar04" localSheetId="8">[1]BS!$T$7:$T$3582</definedName>
    <definedName name="__May04" localSheetId="21">[1]BS!$V$7:$V$3582</definedName>
    <definedName name="__May04">[1]BS!$V$7:$V$3582</definedName>
    <definedName name="__Nov03" localSheetId="21">[3]BS!$S$7:$S$3582</definedName>
    <definedName name="__Nov03">[3]BS!$S$7:$S$3582</definedName>
    <definedName name="__Nov04" localSheetId="21">[1]BS!$AB$7:$AB$3582</definedName>
    <definedName name="__Nov04">[1]BS!$AB$7:$AB$3582</definedName>
    <definedName name="__Oct03" localSheetId="21">[3]BS!$R$7:$R$3582</definedName>
    <definedName name="__Oct03">[3]BS!$R$7:$R$3582</definedName>
    <definedName name="__Oct04" localSheetId="21">[1]BS!$AA$7:$AA$3582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 localSheetId="21">[3]BS!$Q$7:$Q$3582</definedName>
    <definedName name="__Sep03">[3]BS!$Q$7:$Q$3582</definedName>
    <definedName name="__Sep04" localSheetId="21">[1]BS!$Z$7:$Z$3582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 localSheetId="21">[1]BS!$U$7:$U$3582</definedName>
    <definedName name="_Apr04">[1]BS!$U$7:$U$3582</definedName>
    <definedName name="_Apr09" xml:space="preserve"> [2]BS!$U$7:$U$1726</definedName>
    <definedName name="_Aug04" localSheetId="21">[1]BS!$Y$7:$Y$3582</definedName>
    <definedName name="_Aug04">[1]BS!$Y$7:$Y$3582</definedName>
    <definedName name="_Aug09" xml:space="preserve"> [2]BS!$Y$7:$Y$1726</definedName>
    <definedName name="_Dec03" localSheetId="21">[3]BS!$T$7:$T$3582</definedName>
    <definedName name="_Dec03">[3]BS!$T$7:$T$3582</definedName>
    <definedName name="_Dec04" localSheetId="21">[1]BS!$AC$7:$AC$3580</definedName>
    <definedName name="_Dec04">[1]BS!$AC$7:$AC$3580</definedName>
    <definedName name="_Dec08" xml:space="preserve"> [2]BS!$Q$7:$Q$1726</definedName>
    <definedName name="_Feb04" localSheetId="21">[1]BS!$S$7:$S$3582</definedName>
    <definedName name="_Feb04">[1]BS!$S$7:$S$3582</definedName>
    <definedName name="_FEB09" xml:space="preserve"> [2]BS!$S$7:$S$1726</definedName>
    <definedName name="_FEDERAL_INCOME_TAX">'[6]MJS-7'!$N$21</definedName>
    <definedName name="_Jan04" localSheetId="21">[1]BS!$R$7:$R$3582</definedName>
    <definedName name="_Jan04">[1]BS!$R$7:$R$3582</definedName>
    <definedName name="_Jul04" localSheetId="21">[1]BS!$X$7:$X$3582</definedName>
    <definedName name="_Jul04">[1]BS!$X$7:$X$3582</definedName>
    <definedName name="_Jul09" xml:space="preserve"> [2]BS!$X$7:$X$1726</definedName>
    <definedName name="_Jun04" localSheetId="21">[1]BS!$W$7:$W$3582</definedName>
    <definedName name="_Jun04">[1]BS!$W$7:$W$3582</definedName>
    <definedName name="_Jun09" xml:space="preserve"> [2]BS!$W$7:$W$1726</definedName>
    <definedName name="_Mar04" localSheetId="21">[1]BS!$T$7:$T$3582</definedName>
    <definedName name="_Mar04">[1]BS!$T$7:$T$3582</definedName>
    <definedName name="_May04" localSheetId="21">[1]BS!$V$7:$V$3582</definedName>
    <definedName name="_May04">[1]BS!$V$7:$V$3582</definedName>
    <definedName name="_May09" xml:space="preserve"> [2]BS!$V$7:$V$1726</definedName>
    <definedName name="_Nov03" localSheetId="21">[3]BS!$S$7:$S$3582</definedName>
    <definedName name="_Nov03">[3]BS!$S$7:$S$3582</definedName>
    <definedName name="_Nov04" localSheetId="21">[1]BS!$AB$7:$AB$3582</definedName>
    <definedName name="_Nov04">[1]BS!$AB$7:$AB$3582</definedName>
    <definedName name="_Oct03" localSheetId="21">[3]BS!$R$7:$R$3582</definedName>
    <definedName name="_Oct03">[3]BS!$R$7:$R$3582</definedName>
    <definedName name="_Oct04" localSheetId="21">[1]BS!$AA$7:$AA$3582</definedName>
    <definedName name="_Oct04">[1]BS!$AA$7:$AA$3582</definedName>
    <definedName name="_Oct09" xml:space="preserve"> [2]BS!$AA$7:$AA$1726</definedName>
    <definedName name="_Order1" localSheetId="3">0</definedName>
    <definedName name="_Order1" localSheetId="17">0</definedName>
    <definedName name="_Order1" localSheetId="12">255</definedName>
    <definedName name="_Order1" localSheetId="13">255</definedName>
    <definedName name="_Order1" localSheetId="8">0</definedName>
    <definedName name="_Order1" localSheetId="11">0</definedName>
    <definedName name="_Order1" localSheetId="14">0</definedName>
    <definedName name="_Order1">255</definedName>
    <definedName name="_Order2" localSheetId="3">0</definedName>
    <definedName name="_Order2" localSheetId="17">0</definedName>
    <definedName name="_Order2" localSheetId="12">255</definedName>
    <definedName name="_Order2" localSheetId="13">255</definedName>
    <definedName name="_Order2" localSheetId="8">0</definedName>
    <definedName name="_Order2" localSheetId="11">0</definedName>
    <definedName name="_Order2" localSheetId="14">0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 localSheetId="21">[3]BS!$Q$7:$Q$3582</definedName>
    <definedName name="_Sep03">[3]BS!$Q$7:$Q$3582</definedName>
    <definedName name="_Sep04" localSheetId="21">[1]BS!$Z$7:$Z$3582</definedName>
    <definedName name="_Sep04">[1]BS!$Z$7:$Z$3582</definedName>
    <definedName name="AccessDatabase">"I:\COMTREL\FINICLE\TradeSummary.mdb"</definedName>
    <definedName name="Acct2281SO">'[7]Func Study'!$H$2190</definedName>
    <definedName name="Acct2283SO">'[7]Func Study'!$H$2198</definedName>
    <definedName name="Acct228SO">'[7]Func Study'!$H$2194</definedName>
    <definedName name="Acct350">'[7]Func Study'!$H$1628</definedName>
    <definedName name="Acct352">'[7]Func Study'!$H$1635</definedName>
    <definedName name="Acct353">'[7]Func Study'!$H$1641</definedName>
    <definedName name="Acct354">'[7]Func Study'!$H$1647</definedName>
    <definedName name="Acct355">'[7]Func Study'!$H$1654</definedName>
    <definedName name="Acct356">'[7]Func Study'!$H$1660</definedName>
    <definedName name="Acct357">'[7]Func Study'!$H$1666</definedName>
    <definedName name="Acct358">'[7]Func Study'!$H$1672</definedName>
    <definedName name="Acct359">'[7]Func Study'!$H$1678</definedName>
    <definedName name="Acct360">'[7]Func Study'!$H$1698</definedName>
    <definedName name="Acct361">'[7]Func Study'!$H$1704</definedName>
    <definedName name="Acct362">'[7]Func Study'!$H$1710</definedName>
    <definedName name="Acct364">'[7]Func Study'!$H$1717</definedName>
    <definedName name="Acct365">'[7]Func Study'!$H$1724</definedName>
    <definedName name="Acct366">'[7]Func Study'!$H$1731</definedName>
    <definedName name="Acct367">'[7]Func Study'!$H$1738</definedName>
    <definedName name="Acct368">'[7]Func Study'!$H$1744</definedName>
    <definedName name="Acct369">'[7]Func Study'!$H$1751</definedName>
    <definedName name="Acct370">'[7]Func Study'!$H$1762</definedName>
    <definedName name="Acct371">'[7]Func Study'!$H$1769</definedName>
    <definedName name="Acct372">'[7]Func Study'!$H$1776</definedName>
    <definedName name="Acct372A">'[7]Func Study'!$H$1775</definedName>
    <definedName name="Acct372DP">'[7]Func Study'!$H$1773</definedName>
    <definedName name="Acct372DS">'[7]Func Study'!$H$1774</definedName>
    <definedName name="Acct373">'[7]Func Study'!$H$1782</definedName>
    <definedName name="Acct448S">'[7]Func Study'!$H$274</definedName>
    <definedName name="Acct450S">'[7]Func Study'!$H$302</definedName>
    <definedName name="Acct451S">'[7]Func Study'!$H$307</definedName>
    <definedName name="Acct454S">'[7]Func Study'!$H$318</definedName>
    <definedName name="Acct456S">'[7]Func Study'!$H$325</definedName>
    <definedName name="ACCT557CAGE">'[7]Func Study'!$H$683</definedName>
    <definedName name="Acct557CT">'[7]Func Study'!$H$681</definedName>
    <definedName name="Acct580">'[7]Func Study'!$H$791</definedName>
    <definedName name="Acct581">'[7]Func Study'!$H$796</definedName>
    <definedName name="Acct582">'[7]Func Study'!$H$801</definedName>
    <definedName name="Acct583">'[7]Func Study'!$H$806</definedName>
    <definedName name="Acct584">'[7]Func Study'!$H$811</definedName>
    <definedName name="Acct585">'[7]Func Study'!$H$816</definedName>
    <definedName name="Acct586">'[7]Func Study'!$H$821</definedName>
    <definedName name="Acct587">'[7]Func Study'!$H$826</definedName>
    <definedName name="Acct588">'[7]Func Study'!$H$831</definedName>
    <definedName name="Acct589">'[7]Func Study'!$H$836</definedName>
    <definedName name="Acct590">'[7]Func Study'!$H$841</definedName>
    <definedName name="Acct591">'[7]Func Study'!$H$846</definedName>
    <definedName name="Acct592">'[7]Func Study'!$H$851</definedName>
    <definedName name="Acct593">'[7]Func Study'!$H$856</definedName>
    <definedName name="Acct594">'[7]Func Study'!$H$861</definedName>
    <definedName name="Acct595">'[7]Func Study'!$H$866</definedName>
    <definedName name="Acct596">'[7]Func Study'!$H$876</definedName>
    <definedName name="Acct597">'[7]Func Study'!$H$881</definedName>
    <definedName name="Acct598">'[7]Func Study'!$H$886</definedName>
    <definedName name="AcctAGA">'[7]Func Study'!$H$296</definedName>
    <definedName name="AcctTable">[8]Variables!$AK$42:$AK$396</definedName>
    <definedName name="AcctTS0">'[7]Func Study'!$H$1686</definedName>
    <definedName name="Acq1Plant" localSheetId="21">'[9]Acquisition Inputs'!$C$8</definedName>
    <definedName name="Acq1Plant">'[9]Acquisition Inputs'!$C$8</definedName>
    <definedName name="Acq2Plant" localSheetId="21">'[9]Acquisition Inputs'!$C$70</definedName>
    <definedName name="Acq2Plant">'[9]Acquisition Inputs'!$C$70</definedName>
    <definedName name="ActualROR">'[10]G+T+D+R+M'!$H$61</definedName>
    <definedName name="ADJPTDCE.T">[4]INTERNAL!$A$31:$IV$33</definedName>
    <definedName name="Adjs2avg">[11]Inputs!$L$255:'[11]Inputs'!$T$505</definedName>
    <definedName name="After_Tax_Cash_Discount">'[12]Assumptions (Input)'!$D$37</definedName>
    <definedName name="afudc_flag">'[12]Assumptions (Input)'!$B$13</definedName>
    <definedName name="ANCIL">[4]EXTERNAL!$A$163:$IV$165</definedName>
    <definedName name="Apr04AMA" localSheetId="21">[1]BS!$AG$7:$AG$3582</definedName>
    <definedName name="Apr04AMA">[1]BS!$AG$7:$AG$3582</definedName>
    <definedName name="APR09AMA">[2]BS!$AN$7:$AN$1725</definedName>
    <definedName name="Apr10AMA">[2]BS!$AZ$7:$AZ$1726</definedName>
    <definedName name="aquila_lookup">'[13]Cabot Gas Replacement'!$B$8:$F$16</definedName>
    <definedName name="AS2DocOpenMode">"AS2DocumentEdit"</definedName>
    <definedName name="Assessment_Rate">'[12]Assumptions (Input)'!$B$7</definedName>
    <definedName name="Asset_Class_Switch">[14]Assumptions!$D$5</definedName>
    <definedName name="Aug04AMA" localSheetId="21">[1]BS!$AK$7:$AK$3582</definedName>
    <definedName name="Aug04AMA">[1]BS!$AK$7:$AK$3582</definedName>
    <definedName name="Aug09AMA">[2]BS!$AR$7:$AR$1726</definedName>
    <definedName name="Aurora_Prices">"Monthly Price Summary'!$C$4:$H$63"</definedName>
    <definedName name="AvgFactors">[8]Factors!$B$3:$P$99</definedName>
    <definedName name="Beg_Unb_KWHs" localSheetId="22">[15]LeadSht!$L$10</definedName>
    <definedName name="Beg_Unb_KWHs">[15]LeadSht!$L$10</definedName>
    <definedName name="BOOK_LIFE">'[16]Lvl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[17]Readings!$B$2</definedName>
    <definedName name="Capital_Inflation">'[12]Assumptions (Input)'!$B$11</definedName>
    <definedName name="CASE" localSheetId="12">[18]INPUTS!$C$8</definedName>
    <definedName name="CASE" localSheetId="13">[18]INPUTS!$C$8</definedName>
    <definedName name="CASE" localSheetId="8">[18]INPUTS!$C$8</definedName>
    <definedName name="CASE">[19]INPUTS!$C$11</definedName>
    <definedName name="Case_Name">'[20]KJB-6,13 Cmn Adj'!$B$8</definedName>
    <definedName name="CaseDescription" localSheetId="21">'[9]Dispatch Cases'!$C$11</definedName>
    <definedName name="CaseDescription">'[9]Dispatch Cases'!$C$11</definedName>
    <definedName name="CBWorkbookPriority">-2060790043</definedName>
    <definedName name="CCGT_HeatRate" localSheetId="21">[9]Assumptions!$H$23</definedName>
    <definedName name="CCGT_HeatRate">[9]Assumptions!$H$23</definedName>
    <definedName name="CCGTPrice" localSheetId="21">[9]Assumptions!$H$22</definedName>
    <definedName name="CCGTPrice">[9]Assumptions!$H$22</definedName>
    <definedName name="CL_RT2">'[21]Transp Data'!$A$6:$C$81</definedName>
    <definedName name="Close_Date">'[12]Capital Projects(Input)'!$D$7:$D$53</definedName>
    <definedName name="Construction_OH">'[22]Virtual 49 Back-Up'!$E$54</definedName>
    <definedName name="ConversionFactor" localSheetId="21">[9]Assumptions!$I$65</definedName>
    <definedName name="ConversionFactor">[9]Assumptions!$I$65</definedName>
    <definedName name="COSFacVal">[7]Inputs!$R$5</definedName>
    <definedName name="CurrQtr">'[23]Inc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" localSheetId="22">'[24]Mix Variance'!$B$1:$N$31</definedName>
    <definedName name="Data">'[25]Mix Variance'!$B$1:$N$31</definedName>
    <definedName name="Data.Avg">'[23]Avg Amts'!$A$5:$BP$34</definedName>
    <definedName name="Data.Qtrs.Avg">'[23]Avg Amts'!$A$5:$IV$5</definedName>
    <definedName name="data1" localSheetId="22">'[26]Mix Variance'!$O$5:$T$25</definedName>
    <definedName name="data1">'[27]Mix Variance'!$O$5:$T$25</definedName>
    <definedName name="DebtPerc" localSheetId="21">[9]Assumptions!$I$58</definedName>
    <definedName name="DebtPerc">[9]Assumptions!$I$58</definedName>
    <definedName name="Dec03AMA" localSheetId="21">[3]BS!$AJ$7:$AJ$3582</definedName>
    <definedName name="Dec03AMA">[3]BS!$AJ$7:$AJ$3582</definedName>
    <definedName name="Dec04AMA" localSheetId="21">[1]BS!$AO$7:$AO$3582</definedName>
    <definedName name="Dec04AMA">[1]BS!$AO$7:$AO$3582</definedName>
    <definedName name="Dec08AMA">[2]BS!$AJ$7:$AJ$1726</definedName>
    <definedName name="Dec09AMA">[2]BS!$AV$7:$AV$1726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[28]Inputs!$D$11</definedName>
    <definedName name="DES1.T">[4]INTERNAL!$A$40:$IV$42</definedName>
    <definedName name="DES2.T">[4]INTERNAL!$A$43:$IV$45</definedName>
    <definedName name="DF_HeatRate" localSheetId="21">[9]Assumptions!$L$23</definedName>
    <definedName name="DF_HeatRate">[9]Assumptions!$L$23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'[7]Func Study'!$AB$250</definedName>
    <definedName name="Discount_for_Revenue_Reqmt">'[29]Assumptions of Purchase'!$B$45</definedName>
    <definedName name="DisFac">'[7]Func Dist Factor Table'!$A$11:$G$25</definedName>
    <definedName name="DocketNumber">'[30]JHS-4'!$AP$2</definedName>
    <definedName name="DP.T">[4]INTERNAL!$A$46:$IV$48</definedName>
    <definedName name="EBFIT.T">[4]INTERNAL!$A$88:$IV$90</definedName>
    <definedName name="EffTax" localSheetId="12">[4]INPUTS!$F$31</definedName>
    <definedName name="EffTax" localSheetId="13">[4]INPUTS!$F$31</definedName>
    <definedName name="EffTax" localSheetId="8">[4]INPUTS!$F$31</definedName>
    <definedName name="EffTax">[19]INPUTS!$F$36</definedName>
    <definedName name="Electric_Prices" localSheetId="21">'[31]Monthly Price Summary'!$B$4:$E$27</definedName>
    <definedName name="Electric_Prices">'[31]Monthly Price Summary'!$B$4:$E$27</definedName>
    <definedName name="ElRBLine" localSheetId="21">[1]BS!$AQ$7:$AQ$3303</definedName>
    <definedName name="ElRBLine">[1]BS!$AQ$7:$AQ$3303</definedName>
    <definedName name="EndDate" localSheetId="21">[9]Assumptions!$C$11</definedName>
    <definedName name="EndDate">[9]Assumptions!$C$11</definedName>
    <definedName name="ENERGY_1">[4]EXTERNAL!$A$4:$IV$6</definedName>
    <definedName name="ENERGY_2">[4]EXTERNAL!$A$145:$IV$147</definedName>
    <definedName name="Engy">[10]Inputs!$D$9</definedName>
    <definedName name="Engy2">[28]Inputs!$D$12</definedName>
    <definedName name="EPIS.T">[4]INTERNAL!$A$49:$IV$51</definedName>
    <definedName name="Escalator">1.025</definedName>
    <definedName name="Exhibit_No.______MJS_4">'[6]MJS-4'!$O$3</definedName>
    <definedName name="Exhibit_No.______MJS_5">'[6]MJS-5'!$E$3</definedName>
    <definedName name="Exhibit_No.______MJS_6">'[6]MJS-6'!$F$3</definedName>
    <definedName name="Factorck">'[7]COS Factor Table'!$O$15:$O$113</definedName>
    <definedName name="FactorType">[8]Variables!$AK$2:$AL$12</definedName>
    <definedName name="FactSum">'[7]COS Factor Table'!$A$14:$O$113</definedName>
    <definedName name="FCR">'[22]Virtual 49 Back-Up'!$B$20</definedName>
    <definedName name="Feb04AMA" localSheetId="21">[1]BS!$AE$7:$AE$3582</definedName>
    <definedName name="Feb04AMA">[1]BS!$AE$7:$AE$3582</definedName>
    <definedName name="Feb09AMA">[2]BS!$AL$7:$AL$1725</definedName>
    <definedName name="Feb10AMA">[2]BS!$AX$7:$AX$1726</definedName>
    <definedName name="Fed_Cap_Tax" localSheetId="21">[32]Inputs!$E$112</definedName>
    <definedName name="Fed_Cap_Tax">[32]Inputs!$E$112</definedName>
    <definedName name="FedTaxRate" localSheetId="21">[9]Assumptions!$C$33</definedName>
    <definedName name="FedTaxRate">[9]Assumptions!$C$33</definedName>
    <definedName name="FERC_Lookup">'[33]Map Table'!$E$2:$F$58</definedName>
    <definedName name="FIT">'[34]ROR &amp; CONV FACTOR'!$J$20</definedName>
    <definedName name="FIT_Tax_Rate">'[12]Assumptions (Input)'!$B$5</definedName>
    <definedName name="FranchiseTax">[11]Variables!$D$26</definedName>
    <definedName name="FTAX" localSheetId="12">[4]INPUTS!$F$30</definedName>
    <definedName name="FTAX" localSheetId="13">[4]INPUTS!$F$30</definedName>
    <definedName name="FTAX" localSheetId="8">[4]INPUTS!$F$30</definedName>
    <definedName name="FTAX">[19]INPUTS!$F$35</definedName>
    <definedName name="Func">'[7]Func Factor Table'!$A$10:$H$77</definedName>
    <definedName name="Function">'[7]Func Study'!$AB$250</definedName>
    <definedName name="GasRBLine" localSheetId="21">[1]BS!$AS$7:$AS$3631</definedName>
    <definedName name="GasRBLine">[1]BS!$AS$7:$AS$3631</definedName>
    <definedName name="GasWC_LineItem" localSheetId="21">[1]BS!$AR$7:$AR$3631</definedName>
    <definedName name="GasWC_LineItem">[1]BS!$AR$7:$AR$3631</definedName>
    <definedName name="GP.T">[4]INTERNAL!$A$52:$IV$54</definedName>
    <definedName name="HTML_CodePage">1252</definedName>
    <definedName name="HTML_Control" localSheetId="19">{"'Sheet1'!$A$1:$J$121"}</definedName>
    <definedName name="HTML_Control" localSheetId="21">{"'Sheet1'!$A$1:$J$121"}</definedName>
    <definedName name="HTML_Control" localSheetId="20">{"'Sheet1'!$A$1:$J$121"}</definedName>
    <definedName name="HTML_Control" localSheetId="22">{"'Sheet1'!$A$1:$J$121"}</definedName>
    <definedName name="HTML_Control" localSheetId="3">{"'Sheet1'!$A$1:$J$121"}</definedName>
    <definedName name="HTML_Control" localSheetId="12">{"'Sheet1'!$A$1:$J$121"}</definedName>
    <definedName name="HTML_Control" localSheetId="13">{"'Sheet1'!$A$1:$J$121"}</definedName>
    <definedName name="HTML_Control" localSheetId="8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nctaxrate">0.4</definedName>
    <definedName name="Insurance_Rate">'[12]Assumptions (Input)'!$B$9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 localSheetId="21">[1]BS!$AD$7:$AD$3582</definedName>
    <definedName name="Jan04AMA">[1]BS!$AD$7:$AD$3582</definedName>
    <definedName name="Jan09AMA">[2]BS!$AK$7:$AK$1743</definedName>
    <definedName name="Jan10AMA">[2]BS!$AW$7:$AW$1726</definedName>
    <definedName name="jjj">[35]Inputs!$N$18</definedName>
    <definedName name="JP_Bal" localSheetId="22">[36]ACCOUNTS!$AG$31</definedName>
    <definedName name="JP_Bal">[37]ACCOUNTS!$AG$31</definedName>
    <definedName name="Jul04AMA" localSheetId="21">[1]BS!$AJ$7:$AJ$3582</definedName>
    <definedName name="Jul04AMA">[1]BS!$AJ$7:$AJ$3582</definedName>
    <definedName name="Jul09AMA">[2]BS!$AQ$7:$AQ$1726</definedName>
    <definedName name="Jun04AMA" localSheetId="21">[1]BS!$AI$7:$AI$3582</definedName>
    <definedName name="Jun04AMA">[1]BS!$AI$7:$AI$3582</definedName>
    <definedName name="Jun09AMA">[2]BS!$AP$7:$AP$1726</definedName>
    <definedName name="Jun10AMA">[2]BS!$BB$7:$BB$1726</definedName>
    <definedName name="Jurisdiction">[8]Variables!$AK$15</definedName>
    <definedName name="JurisNumber">[8]Variables!$AL$15</definedName>
    <definedName name="k_Docket_Number">'[20]KJB-12 Sum'!$AS$2</definedName>
    <definedName name="k_FITrate">'[20]KJB-3,11 Def'!$L$20</definedName>
    <definedName name="keep_Docket_Number">'[38]KJB-3 Sum'!$AQ$2</definedName>
    <definedName name="keep_FIT">'[38]KJB-7 Def'!$L$20</definedName>
    <definedName name="keep_KJB_3_Rate_Increase">'[38]KJB-7 Def'!$C$3</definedName>
    <definedName name="keep_KJB_4_Electric_Summary">'[38]KJB-3 Sum'!$AQ$3</definedName>
    <definedName name="keep_KJB_8_Common_Adjs">'[38]KJB-5 Cmn Adj'!$L$3</definedName>
    <definedName name="keep_KJB_9_Electric_Only">'[38]KJB-5 El Adj'!$E$3</definedName>
    <definedName name="keep_PSE">'[39]Gas Summary'!$I$5</definedName>
    <definedName name="keep_TESTYEAR">'[39]Gas Detail Pages'!$A$8</definedName>
    <definedName name="kp_DOCKET">'[39]Gas Detail Pages'!$A$9</definedName>
    <definedName name="Last_Row" localSheetId="22">IF('12ME Jun18 Weather Adj'!Values_Entered,Header_Row+'12ME Jun18 Weather Adj'!Number_of_Payments,Header_Row)</definedName>
    <definedName name="Last_Row" localSheetId="1">IF('Exh. JAP-8 Page 2'!Values_Entered,Header_Row+'Exh. JAP-8 Page 2'!Number_of_Payments,Header_Row)</definedName>
    <definedName name="Last_Row" localSheetId="2">IF('Exh. JAP-8 Page 3'!Values_Entered,Header_Row+'Exh. JAP-8 Page 3'!Number_of_Payments,Header_Row)</definedName>
    <definedName name="Last_Row" localSheetId="12">IF('Sch 142 Revenue (Decoupling)'!Values_Entered,Header_Row+'Sch 142 Revenue (Decoupling)'!Number_of_Payments,Header_Row)</definedName>
    <definedName name="Last_Row" localSheetId="13">IF('Sch 142 Revenue (Rate Plan)'!Values_Entered,Header_Row+'Sch 142 Revenue (Rate Plan)'!Number_of_Payments,Header_Row)</definedName>
    <definedName name="Last_Row" localSheetId="9">IF('Schedule 132 Revenue'!Values_Entered,Header_Row+'Schedule 132 Revenue'!Number_of_Payments,Header_Row)</definedName>
    <definedName name="Last_Row" localSheetId="10">IF('Schedule 140 Revenue'!Values_Entered,Header_Row+'Schedule 140 Revenue'!Number_of_Payments,Header_Row)</definedName>
    <definedName name="Last_Row" localSheetId="15">IF('Schedule 149 Revenue'!Values_Entered,Header_Row+'Schedule 149 Revenue'!Number_of_Payments,Header_Row)</definedName>
    <definedName name="Last_Row" localSheetId="14">IF('Schedule X Revenue'!Values_Entered,Header_Row+'Schedule X Revenue'!Number_of_Payments,Header_Row)</definedName>
    <definedName name="Last_Row">IF([0]!Values_Entered,Header_Row+[0]!Number_of_Payments,Header_Row)</definedName>
    <definedName name="Levy_Rate">'[12]Assumptions (Input)'!$B$6</definedName>
    <definedName name="limcount">1</definedName>
    <definedName name="LINE.T">[4]INTERNAL!$A$55:$IV$57</definedName>
    <definedName name="LinkCos">'[7]JAM Download'!$K$4</definedName>
    <definedName name="Load_Factor" localSheetId="22">[36]ACCOUNTS!$AG$167</definedName>
    <definedName name="Load_Factor">[37]ACCOUNTS!$AG$167</definedName>
    <definedName name="LoadArray">'[40]Load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[41]M9100F4!$A$1:$V$99</definedName>
    <definedName name="MACRS">'[12]MACRS RATES'!$A$3:$AT$10</definedName>
    <definedName name="Mar04AMA" localSheetId="21">[1]BS!$AF$7:$AF$3582</definedName>
    <definedName name="Mar04AMA">[1]BS!$AF$7:$AF$3582</definedName>
    <definedName name="MAR09AMA">[2]BS!$AM$7:$AM$1725</definedName>
    <definedName name="Mar10AMA">[2]BS!$AY$7:$AY$1726</definedName>
    <definedName name="May04AMA" localSheetId="21">[1]BS!$AH$7:$AH$3582</definedName>
    <definedName name="May04AMA">[1]BS!$AH$7:$AH$3582</definedName>
    <definedName name="MAY09AMA">[2]BS!$AO$7:$AO$1726</definedName>
    <definedName name="May10AMA">[2]BS!$BA$7:$BA$1726</definedName>
    <definedName name="menu1_Button5_Click" localSheetId="1">[42]!menu1_Button5_Click</definedName>
    <definedName name="menu1_Button5_Click" localSheetId="2">[42]!menu1_Button5_Click</definedName>
    <definedName name="menu1_Button5_Click" localSheetId="13">[42]!menu1_Button5_Click</definedName>
    <definedName name="menu1_Button5_Click" localSheetId="9">[42]!menu1_Button5_Click</definedName>
    <definedName name="menu1_Button5_Click" localSheetId="10">[42]!menu1_Button5_Click</definedName>
    <definedName name="menu1_Button5_Click" localSheetId="15">[42]!menu1_Button5_Click</definedName>
    <definedName name="menu1_Button5_Click" localSheetId="14">[42]!menu1_Button5_Click</definedName>
    <definedName name="menu1_Button5_Click">[42]!menu1_Button5_Click</definedName>
    <definedName name="menu1_Button6_Click" localSheetId="1">[42]!menu1_Button6_Click</definedName>
    <definedName name="menu1_Button6_Click" localSheetId="2">[42]!menu1_Button6_Click</definedName>
    <definedName name="menu1_Button6_Click" localSheetId="13">[42]!menu1_Button6_Click</definedName>
    <definedName name="menu1_Button6_Click" localSheetId="9">[42]!menu1_Button6_Click</definedName>
    <definedName name="menu1_Button6_Click" localSheetId="10">[42]!menu1_Button6_Click</definedName>
    <definedName name="menu1_Button6_Click" localSheetId="15">[42]!menu1_Button6_Click</definedName>
    <definedName name="menu1_Button6_Click" localSheetId="14">[42]!menu1_Button6_Click</definedName>
    <definedName name="menu1_Button6_Click">[42]!menu1_Button6_Click</definedName>
    <definedName name="MERGER_COST" localSheetId="12">[43]Sheet1!$AF$3:$AJ$28</definedName>
    <definedName name="MERGER_COST" localSheetId="13">[43]Sheet1!$AF$3:$AJ$28</definedName>
    <definedName name="MERGER_COST" localSheetId="8">[43]Sheet1!$AF$3:$AJ$28</definedName>
    <definedName name="MERGER_COST">[44]Sheet1!$AF$3:$AJ$28</definedName>
    <definedName name="METER">[4]EXTERNAL!$A$34:$IV$36</definedName>
    <definedName name="Method">[10]Inputs!$C$6</definedName>
    <definedName name="monthlist">[45]Table!$R$2:$S$13</definedName>
    <definedName name="monthtotals">'[45]WA SBC'!$D$40:$O$40</definedName>
    <definedName name="MTD_Format" localSheetId="21">[46]Mthly!$B$11:$D$11,[46]Mthly!$B$32:$D$32</definedName>
    <definedName name="MTD_Format" localSheetId="12">[47]Mthly!$B$11:$D$11,[47]Mthly!$B$35:$D$35</definedName>
    <definedName name="MTD_Format" localSheetId="13">[47]Mthly!$B$11:$D$11,[47]Mthly!$B$35:$D$35</definedName>
    <definedName name="MTD_Format" localSheetId="8">[47]Mthly!$B$11:$D$11,[47]Mthly!$B$35:$D$35</definedName>
    <definedName name="MTD_Format">[46]Mthly!$B$11:$D$11,[46]Mthly!$B$32:$D$32</definedName>
    <definedName name="MTR_YR3">[48]Variables!$E$14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[7]Inputs!$G$8</definedName>
    <definedName name="NetToGross">[11]Variables!$D$23</definedName>
    <definedName name="Nov03AMA" localSheetId="21">[3]BS!$AI$7:$AI$3582</definedName>
    <definedName name="Nov03AMA">[3]BS!$AI$7:$AI$3582</definedName>
    <definedName name="Nov04AMA" localSheetId="21">[1]BS!$AN$7:$AN$3582</definedName>
    <definedName name="Nov04AMA">[1]BS!$AN$7:$AN$3582</definedName>
    <definedName name="Nov09AMA">[2]BS!$AU$7:$AU$1726</definedName>
    <definedName name="NPC">[49]Inputs!$N$18</definedName>
    <definedName name="NRG">[4]CLASSIFIERS!$A$5:$IV$5</definedName>
    <definedName name="Number_of_Payments" localSheetId="22">MATCH(0.01,End_Bal,-1)+1</definedName>
    <definedName name="Number_of_Payments" localSheetId="1">MATCH(0.01,End_Bal,-1)+1</definedName>
    <definedName name="Number_of_Payments" localSheetId="2">MATCH(0.01,End_Bal,-1)+1</definedName>
    <definedName name="Number_of_Payments" localSheetId="12">MATCH(0.01,End_Bal,-1)+1</definedName>
    <definedName name="Number_of_Payments" localSheetId="13">MATCH(0.01,End_Bal,-1)+1</definedName>
    <definedName name="Number_of_Payments" localSheetId="9">MATCH(0.01,End_Bal,-1)+1</definedName>
    <definedName name="Number_of_Payments" localSheetId="10">MATCH(0.01,End_Bal,-1)+1</definedName>
    <definedName name="Number_of_Payments" localSheetId="15">MATCH(0.01,End_Bal,-1)+1</definedName>
    <definedName name="Number_of_Payments" localSheetId="14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'[12]MiscItems(Input)'!$B$5:$AO$8,'[12]MiscItems(Input)'!$B$13:$AO$13,'[12]MiscItems(Input)'!$B$15:$B$17,'[12]MiscItems(Input)'!$B$17:$AO$17,'[12]MiscItems(Input)'!$B$15:$AO$15</definedName>
    <definedName name="O_M_Rate">'[22]Virtual 49 Back-Up'!$B$21</definedName>
    <definedName name="Oct03AMA" localSheetId="21">[3]BS!$AH$7:$AH$3582</definedName>
    <definedName name="Oct03AMA">[3]BS!$AH$7:$AH$3582</definedName>
    <definedName name="Oct04AMA" localSheetId="21">[1]BS!$AM$7:$AM$3582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'[50]Dist Misc'!$F$120</definedName>
    <definedName name="OthRCF">[18]INPUTS!$F$41</definedName>
    <definedName name="OthUnc">[4]INPUTS!$F$36</definedName>
    <definedName name="outlookdata">'[51]pivoted data'!$D$3:$Q$90</definedName>
    <definedName name="peak_new_table">'[52]2008 Extreme Peaks - 080403'!$E$5:$AD$8</definedName>
    <definedName name="peak_table">'[52]Peaks-F01'!$C$5:$E$243</definedName>
    <definedName name="PeakMethod">[10]Inputs!$T$5</definedName>
    <definedName name="Percent_debt" localSheetId="21">[32]Inputs!$E$129</definedName>
    <definedName name="Percent_debt">[32]Inputs!$E$129</definedName>
    <definedName name="Plant_Input">'[12]Plant(Input)'!$B$7:$AP$9,'[12]Plant(Input)'!$B$11,'[12]Plant(Input)'!$B$15:$AP$15,'[12]Plant(Input)'!$B$18,'[12]Plant(Input)'!$B$20:$AP$20</definedName>
    <definedName name="POWER.T">[4]INTERNAL!$A$58:$IV$60</definedName>
    <definedName name="PP.T">[4]INTERNAL!$A$61:$IV$63</definedName>
    <definedName name="PreTaxDebtCost" localSheetId="21">[9]Assumptions!$I$56</definedName>
    <definedName name="PreTaxDebtCost">[9]Assumptions!$I$56</definedName>
    <definedName name="PreTaxWACC" localSheetId="21">[9]Assumptions!$I$62</definedName>
    <definedName name="PreTaxWACC">[9]Assumptions!$I$62</definedName>
    <definedName name="Prices_Aurora" localSheetId="21">'[31]Monthly Price Summary'!$C$4:$H$63</definedName>
    <definedName name="Prices_Aurora">'[31]Monthly Price Summary'!$C$4:$H$63</definedName>
    <definedName name="_xlnm.Print_Area" localSheetId="19">'12ME Jun18 Bill Freq'!$A$1:$N$63</definedName>
    <definedName name="_xlnm.Print_Area" localSheetId="21">'12ME Jun18 Cal Bill Freq'!$A$1:$N$116</definedName>
    <definedName name="_xlnm.Print_Area" localSheetId="20">'12ME Jun18 Norm Therms'!$A$1:$M$118,'12ME Jun18 Norm Therms'!$O$1:$AB$63</definedName>
    <definedName name="_xlnm.Print_Area" localSheetId="0">'Exh. JAP-8 Page 1'!$B$1:$T$43</definedName>
    <definedName name="_xlnm.Print_Area" localSheetId="1">'Exh. JAP-8 Page 2'!$B$1:$R$43</definedName>
    <definedName name="_xlnm.Print_Area" localSheetId="2">'Exh. JAP-8 Page 3'!$B$1:$R$43</definedName>
    <definedName name="_xlnm.Print_Area" localSheetId="3">'Exh. JAP-8 Page 4'!$B$1:$N$41</definedName>
    <definedName name="_xlnm.Print_Area" localSheetId="26">'Rate Design C&amp;I'!$B$2:$Q$127</definedName>
    <definedName name="_xlnm.Print_Area" localSheetId="27">'Rate Design Int &amp; Trans'!$B$1:$Q$225</definedName>
    <definedName name="_xlnm.Print_Area" localSheetId="28">'Rate Design Rental'!$B$2:$L$33</definedName>
    <definedName name="_xlnm.Print_Area" localSheetId="25">'Rate Design Res'!$B$1:$Q$55</definedName>
    <definedName name="_xlnm.Print_Area" localSheetId="8">'Schedule 129 Revenue'!$A$1:$I$49</definedName>
    <definedName name="_xlnm.Print_Area" localSheetId="10">'Schedule 140 Revenue'!$A$1:$H$24</definedName>
    <definedName name="_xlnm.Print_Area" localSheetId="11">'Schedule 141 Revenue'!$A$1:$H$139</definedName>
    <definedName name="_xlnm.Print_Area" localSheetId="15">'Schedule 149 Revenue'!$A$1:$H$24</definedName>
    <definedName name="_xlnm.Print_Area" localSheetId="14">'Schedule X Revenue'!$A$1:$H$139</definedName>
    <definedName name="_xlnm.Print_Titles" localSheetId="19">'12ME Jun18 Bill Freq'!$1:$3</definedName>
    <definedName name="_xlnm.Print_Titles" localSheetId="21">'12ME Jun18 Cal Bill Freq'!$1:$3</definedName>
    <definedName name="_xlnm.Print_Titles" localSheetId="20">'12ME Jun18 Norm Therms'!$1:$3</definedName>
    <definedName name="_xlnm.Print_Titles" localSheetId="22">'12ME Jun18 Weather Adj'!$1:$6</definedName>
    <definedName name="_xlnm.Print_Titles" localSheetId="26">'Rate Design C&amp;I'!$1:$8</definedName>
    <definedName name="_xlnm.Print_Titles" localSheetId="27">'Rate Design Int &amp; Trans'!$1:$8</definedName>
    <definedName name="_xlnm.Print_Titles" localSheetId="25">'Rate Design Res'!$2:$8</definedName>
    <definedName name="_xlnm.Print_Titles" localSheetId="12">'Sch 142 Revenue (Decoupling)'!$1:$8</definedName>
    <definedName name="_xlnm.Print_Titles" localSheetId="13">'Sch 142 Revenue (Rate Plan)'!$1:$8</definedName>
    <definedName name="_xlnm.Print_Titles" localSheetId="11">'Schedule 141 Revenue'!$1:$7</definedName>
    <definedName name="_xlnm.Print_Titles" localSheetId="14">'Schedule X Revenue'!$1:$7</definedName>
    <definedName name="Prior_Month" localSheetId="22">[15]Sch_120!$I$21</definedName>
    <definedName name="Prior_Month">[53]Sch_120!$I$21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[54]Sheet1!$A$1147:$B$1887</definedName>
    <definedName name="Prov_Cap_Tax" localSheetId="21">[32]Inputs!$E$111</definedName>
    <definedName name="Prov_Cap_Tax">[32]Inputs!$E$111</definedName>
    <definedName name="PSE">'[55]4.04'!$A$6</definedName>
    <definedName name="PSE_Pre_Tax_Equity_Rate">'[29]Assumptions of Purchase'!$B$42</definedName>
    <definedName name="PTDGP.T">[4]INTERNAL!$A$64:$IV$66</definedName>
    <definedName name="PTDP.T">[4]INTERNAL!$A$67:$IV$69</definedName>
    <definedName name="QTD_Format">[47]QTD!$B$11:$D$11,[47]QTD!$B$35:$D$35</definedName>
    <definedName name="RATE2">'[21]Transp Data'!$A$8:$I$112</definedName>
    <definedName name="Rates">[56]Codes!$A$1:$C$500</definedName>
    <definedName name="RB.T">[4]INTERNAL!$A$70:$IV$72</definedName>
    <definedName name="RCF" localSheetId="22">[36]INPUTS!$F$48</definedName>
    <definedName name="RCF">[37]INPUTS!$F$48</definedName>
    <definedName name="Requlated_scenario">'[12]Assumptions (Input)'!$B$12</definedName>
    <definedName name="ResExchCrRate" localSheetId="22">[15]Sch_194!$M$31</definedName>
    <definedName name="ResExchCrRate" localSheetId="12">[53]Sch_194!$M$31</definedName>
    <definedName name="ResExchCrRate" localSheetId="13">[53]Sch_194!$M$31</definedName>
    <definedName name="ResExchCrRate" localSheetId="8">[53]Sch_194!$M$31</definedName>
    <definedName name="ResExchCrRate">[57]Sch_194!$M$31</definedName>
    <definedName name="RESID">[4]EXTERNAL!$A$88:$IV$90</definedName>
    <definedName name="resource_lookup">'[58]#REF'!$B$3:$C$112</definedName>
    <definedName name="ResourceSupplier">[11]Variables!$D$28</definedName>
    <definedName name="ResRCF" localSheetId="12">[18]INPUTS!$F$39</definedName>
    <definedName name="ResRCF" localSheetId="13">[18]INPUTS!$F$39</definedName>
    <definedName name="ResRCF" localSheetId="8">[18]INPUTS!$F$39</definedName>
    <definedName name="ResRCF">[19]INPUTS!$F$44</definedName>
    <definedName name="ResUnc" localSheetId="12">[4]INPUTS!$F$34</definedName>
    <definedName name="ResUnc" localSheetId="13">[4]INPUTS!$F$34</definedName>
    <definedName name="ResUnc" localSheetId="8">[4]INPUTS!$F$34</definedName>
    <definedName name="ResUnc">[19]INPUTS!$F$39</definedName>
    <definedName name="RevClass">[56]Codes!$F$2:$G$10</definedName>
    <definedName name="revenue_flag">'[12]Assumptions (Input)'!$C$12</definedName>
    <definedName name="Revenue_Taxes">'[12]Assumptions (Input)'!$B$8</definedName>
    <definedName name="REVFAC1.T">[4]INTERNAL!$A$73:$IV$75</definedName>
    <definedName name="ROD" localSheetId="12">[59]INPUTS!$F$25</definedName>
    <definedName name="ROD" localSheetId="13">[59]INPUTS!$F$25</definedName>
    <definedName name="ROD" localSheetId="8">[59]INPUTS!$F$25</definedName>
    <definedName name="ROD">[19]INPUTS!$F$30</definedName>
    <definedName name="ROR">[19]INPUTS!$F$29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[18]INPUTS!$F$40</definedName>
    <definedName name="SbUnc">[4]INPUTS!$F$35</definedName>
    <definedName name="Sch194Rlfwd">'[60]Sch94 Rlfwd'!$B$11</definedName>
    <definedName name="Schedule">[49]Inputs!$N$14</definedName>
    <definedName name="Sep03AMA" localSheetId="21">[3]BS!$AG$7:$AG$3582</definedName>
    <definedName name="Sep03AMA">[3]BS!$AG$7:$AG$3582</definedName>
    <definedName name="Sep04AMA" localSheetId="21">[1]BS!$AL$7:$AL$3582</definedName>
    <definedName name="Sep04AMA">[1]BS!$AL$7:$AL$3582</definedName>
    <definedName name="Sep09AMA">[2]BS!$AS$7:$AS$1726</definedName>
    <definedName name="solver_eval">0</definedName>
    <definedName name="solver_ntri">1000</definedName>
    <definedName name="solver_rsmp">1</definedName>
    <definedName name="solver_seed">0</definedName>
    <definedName name="StartDate" localSheetId="21">[9]Assumptions!$C$9</definedName>
    <definedName name="StartDate">[9]Assumptions!$C$9</definedName>
    <definedName name="STATE_UTILITY_TAX">'[6]MJS-7'!$N$16</definedName>
    <definedName name="STAX" localSheetId="12">[4]INPUTS!$F$29</definedName>
    <definedName name="STAX" localSheetId="13">[4]INPUTS!$F$29</definedName>
    <definedName name="STAX" localSheetId="8">[4]INPUTS!$F$29</definedName>
    <definedName name="STAX">[19]INPUTS!$F$34</definedName>
    <definedName name="SW.T">[4]INTERNAL!$A$76:$IV$78</definedName>
    <definedName name="SWPTD.T">[4]INTERNAL!$A$79:$IV$81</definedName>
    <definedName name="TableName">"Dummy"</definedName>
    <definedName name="TargetROR">[10]Inputs!$G$29</definedName>
    <definedName name="TDP.T">[4]INTERNAL!$A$82:$IV$84</definedName>
    <definedName name="TestPeriod">[7]Inputs!$C$5</definedName>
    <definedName name="TESTYEAR">'[30]JHS-6'!$A$7</definedName>
    <definedName name="TFR">[4]CLASSIFIERS!$A$11:$IV$11</definedName>
    <definedName name="ThermalBookLife" localSheetId="21">[9]Assumptions!$C$25</definedName>
    <definedName name="ThermalBookLife">[9]Assumptions!$C$25</definedName>
    <definedName name="Title" localSheetId="21">[9]Assumptions!$A$1</definedName>
    <definedName name="Title">[9]Assumptions!$A$1</definedName>
    <definedName name="Total_Payment" localSheetId="1">Scheduled_Payment+Extra_Payment</definedName>
    <definedName name="Total_Payment" localSheetId="2">Scheduled_Payment+Extra_Payment</definedName>
    <definedName name="Total_Payment" localSheetId="12">Scheduled_Payment+Extra_Payment</definedName>
    <definedName name="Total_Payment" localSheetId="14">Scheduled_Payment+Extra_Payment</definedName>
    <definedName name="Total_Payment">Scheduled_Payment+Extra_Payment</definedName>
    <definedName name="TotalRateBase">'[7]G+T+D+R+M'!$H$58</definedName>
    <definedName name="TP.T">[4]INTERNAL!$A$91:$IV$93</definedName>
    <definedName name="transdb" localSheetId="21">'[61]Transp Unbilled'!$A$8:$E$174</definedName>
    <definedName name="transdb">'[61]Transp Unbilled'!$A$8:$E$174</definedName>
    <definedName name="TRANSM_2">[62]Transm2!$A$1:$M$461:'[62]10 Yr FC'!$M$47</definedName>
    <definedName name="UAcct103">'[7]Func Study'!$AB$1613</definedName>
    <definedName name="UAcct105Dnpg">'[7]Func Study'!$AB$2010</definedName>
    <definedName name="UAcct105S">'[7]Func Study'!$AB$2005</definedName>
    <definedName name="UAcct105Seu">'[7]Func Study'!$AB$2009</definedName>
    <definedName name="UAcct105Snppo">'[7]Func Study'!$AB$2008</definedName>
    <definedName name="UAcct105Snpps">'[7]Func Study'!$AB$2006</definedName>
    <definedName name="UAcct105Snpt">'[7]Func Study'!$AB$2007</definedName>
    <definedName name="UAcct1081390">'[7]Func Study'!$AB$2451</definedName>
    <definedName name="UAcct1081390Rcl">'[7]Func Study'!$AB$2450</definedName>
    <definedName name="UAcct1081399">'[7]Func Study'!$AB$2459</definedName>
    <definedName name="UAcct1081399Rcl">'[7]Func Study'!$AB$2458</definedName>
    <definedName name="UAcct108360">'[7]Func Study'!$AB$2355</definedName>
    <definedName name="UAcct108361">'[7]Func Study'!$AB$2359</definedName>
    <definedName name="UAcct108362">'[7]Func Study'!$AB$2363</definedName>
    <definedName name="UAcct108364">'[7]Func Study'!$AB$2367</definedName>
    <definedName name="UAcct108365">'[7]Func Study'!$AB$2371</definedName>
    <definedName name="UAcct108366">'[7]Func Study'!$AB$2375</definedName>
    <definedName name="UAcct108367">'[7]Func Study'!$AB$2379</definedName>
    <definedName name="UAcct108368">'[7]Func Study'!$AB$2383</definedName>
    <definedName name="UAcct108369">'[7]Func Study'!$AB$2387</definedName>
    <definedName name="UAcct108370">'[7]Func Study'!$AB$2391</definedName>
    <definedName name="UAcct108371">'[7]Func Study'!$AB$2395</definedName>
    <definedName name="UAcct108372">'[7]Func Study'!$AB$2399</definedName>
    <definedName name="UAcct108373">'[7]Func Study'!$AB$2403</definedName>
    <definedName name="UAcct108D">'[7]Func Study'!$AB$2415</definedName>
    <definedName name="UAcct108D00">'[7]Func Study'!$AB$2407</definedName>
    <definedName name="UAcct108Ds">'[7]Func Study'!$AB$2411</definedName>
    <definedName name="UAcct108Ep">'[7]Func Study'!$AB$2327</definedName>
    <definedName name="UAcct108Gpcn">'[7]Func Study'!$AB$2429</definedName>
    <definedName name="UAcct108Gps">'[7]Func Study'!$AB$2425</definedName>
    <definedName name="UAcct108Gpse">'[7]Func Study'!$AB$2431</definedName>
    <definedName name="UAcct108Gpsg">'[7]Func Study'!$AB$2428</definedName>
    <definedName name="UAcct108Gpsgp">'[7]Func Study'!$AB$2426</definedName>
    <definedName name="UAcct108Gpsgu">'[7]Func Study'!$AB$2427</definedName>
    <definedName name="UAcct108Gpso">'[7]Func Study'!$AB$2430</definedName>
    <definedName name="UACCT108GPSSGCH">'[7]Func Study'!$AB$2434</definedName>
    <definedName name="UACCT108GPSSGCT">'[7]Func Study'!$AB$2433</definedName>
    <definedName name="UAcct108Hp">'[7]Func Study'!$AB$2313</definedName>
    <definedName name="UAcct108Mp">'[7]Func Study'!$AB$2444</definedName>
    <definedName name="UAcct108Np">'[7]Func Study'!$AB$2305</definedName>
    <definedName name="UAcct108Op">'[7]Func Study'!$AB$2322</definedName>
    <definedName name="UACCT108OPSSCCT">'[7]Func Study'!$AB$2321</definedName>
    <definedName name="UAcct108Sp">'[7]Func Study'!$AB$2299</definedName>
    <definedName name="UACCT108SPSSGCH">'[7]Func Study'!$AB$2298</definedName>
    <definedName name="UAcct108Tp">'[7]Func Study'!$AB$2346</definedName>
    <definedName name="UAcct111Clg">'[7]Func Study'!$AB$2487</definedName>
    <definedName name="UAcct111Clgsou">'[7]Func Study'!$AB$2485</definedName>
    <definedName name="UAcct111Clh">'[7]Func Study'!$AB$2493</definedName>
    <definedName name="UAcct111Cls">'[7]Func Study'!$AB$2478</definedName>
    <definedName name="UAcct111Ipcn">'[7]Func Study'!$AB$2502</definedName>
    <definedName name="UAcct111Ips">'[7]Func Study'!$AB$2497</definedName>
    <definedName name="UAcct111Ipse">'[7]Func Study'!$AB$2500</definedName>
    <definedName name="UAcct111Ipsg">'[7]Func Study'!$AB$2501</definedName>
    <definedName name="UAcct111Ipsgp">'[7]Func Study'!$AB$2498</definedName>
    <definedName name="UAcct111Ipsgu">'[7]Func Study'!$AB$2499</definedName>
    <definedName name="UAcct111Ipso">'[7]Func Study'!$AB$2506</definedName>
    <definedName name="UACCT111IPSSGCH">'[7]Func Study'!$AB$2505</definedName>
    <definedName name="UACCT111IPSSGCT">'[7]Func Study'!$AB$2504</definedName>
    <definedName name="UAcct114">'[7]Func Study'!$AB$2017</definedName>
    <definedName name="UAcct120">'[7]Func Study'!$AB$2021</definedName>
    <definedName name="UAcct124">'[7]Func Study'!$AB$2026</definedName>
    <definedName name="UAcct141">'[7]Func Study'!$AB$2173</definedName>
    <definedName name="UAcct151">'[7]Func Study'!$AB$2049</definedName>
    <definedName name="Uacct151SSECT">'[7]Func Study'!$AB$2047</definedName>
    <definedName name="UAcct154">'[7]Func Study'!$AB$2083</definedName>
    <definedName name="Uacct154SSGCT">'[7]Func Study'!$AB$2080</definedName>
    <definedName name="UAcct163">'[7]Func Study'!$AB$2093</definedName>
    <definedName name="UAcct165">'[7]Func Study'!$AB$2108</definedName>
    <definedName name="UAcct165Gps">'[7]Func Study'!$AB$2104</definedName>
    <definedName name="UAcct182">'[7]Func Study'!$AB$2033</definedName>
    <definedName name="UAcct18222">'[7]Func Study'!$AB$2163</definedName>
    <definedName name="UAcct182M">'[7]Func Study'!$AB$2118</definedName>
    <definedName name="UAcct182MSSGCH">'[7]Func Study'!$AB$2113</definedName>
    <definedName name="UAcct186">'[7]Func Study'!$AB$2041</definedName>
    <definedName name="UAcct1869">'[7]Func Study'!$AB$2168</definedName>
    <definedName name="UAcct186M">'[7]Func Study'!$AB$2129</definedName>
    <definedName name="UAcct190">'[7]Func Study'!$AB$2243</definedName>
    <definedName name="UAcct190Baddebt">'[7]Func Study'!$AB$2237</definedName>
    <definedName name="UAcct190Dop">'[7]Func Study'!$AB$2235</definedName>
    <definedName name="UAcct2281">'[7]Func Study'!$AB$2191</definedName>
    <definedName name="UAcct2282">'[7]Func Study'!$AB$2195</definedName>
    <definedName name="UAcct2283">'[7]Func Study'!$AB$2200</definedName>
    <definedName name="UACCT22841SG">'[7]Func Study'!$AB$2205</definedName>
    <definedName name="UAcct22842">'[7]Func Study'!$AB$2211</definedName>
    <definedName name="UAcct235">'[7]Func Study'!$AB$2187</definedName>
    <definedName name="UACCT235CN">'[7]Func Study'!$AB$2186</definedName>
    <definedName name="UAcct252">'[7]Func Study'!$AB$2219</definedName>
    <definedName name="UAcct25316">'[7]Func Study'!$AB$2057</definedName>
    <definedName name="UAcct25317">'[7]Func Study'!$AB$2061</definedName>
    <definedName name="UAcct25318">'[7]Func Study'!$AB$2098</definedName>
    <definedName name="UAcct25319">'[7]Func Study'!$AB$2065</definedName>
    <definedName name="uacct25398">'[7]Func Study'!$AB$2222</definedName>
    <definedName name="UAcct25399">'[7]Func Study'!$AB$2230</definedName>
    <definedName name="UACCT254SO">'[7]Func Study'!$AB$2202</definedName>
    <definedName name="UAcct255">'[7]Func Study'!$AB$2284</definedName>
    <definedName name="UAcct281">'[7]Func Study'!$AB$2249</definedName>
    <definedName name="UAcct282">'[7]Func Study'!$AB$2259</definedName>
    <definedName name="UAcct282Cn">'[7]Func Study'!$AB$2256</definedName>
    <definedName name="UAcct282So">'[7]Func Study'!$AB$2255</definedName>
    <definedName name="UAcct283">'[7]Func Study'!$AB$2271</definedName>
    <definedName name="UAcct283So">'[7]Func Study'!$AB$2265</definedName>
    <definedName name="UAcct301S">'[7]Func Study'!$AB$1964</definedName>
    <definedName name="UAcct301Sg">'[7]Func Study'!$AB$1966</definedName>
    <definedName name="UAcct301So">'[7]Func Study'!$AB$1965</definedName>
    <definedName name="UAcct302S">'[7]Func Study'!$AB$1969</definedName>
    <definedName name="UAcct302Sg">'[7]Func Study'!$AB$1970</definedName>
    <definedName name="UAcct302Sgp">'[7]Func Study'!$AB$1971</definedName>
    <definedName name="UAcct302Sgu">'[7]Func Study'!$AB$1972</definedName>
    <definedName name="UAcct303Cn">'[7]Func Study'!$AB$1980</definedName>
    <definedName name="UAcct303S">'[7]Func Study'!$AB$1976</definedName>
    <definedName name="UAcct303Se">'[7]Func Study'!$AB$1979</definedName>
    <definedName name="UAcct303Sg">'[7]Func Study'!$AB$1977</definedName>
    <definedName name="UAcct303Sgu">'[7]Func Study'!$AB$1981</definedName>
    <definedName name="UAcct303So">'[7]Func Study'!$AB$1978</definedName>
    <definedName name="UACCT303SSGCH">'[7]Func Study'!$AB$1983</definedName>
    <definedName name="UAcct310">'[7]Func Study'!$AB$1414</definedName>
    <definedName name="UAcct310JBG">'[7]Func Study'!$AB$1413</definedName>
    <definedName name="UAcct311">'[7]Func Study'!$AB$1421</definedName>
    <definedName name="UAcct311JBG">'[7]Func Study'!$AB$1420</definedName>
    <definedName name="UAcct312">'[7]Func Study'!$AB$1428</definedName>
    <definedName name="UAcct312JBG">'[7]Func Study'!$AB$1427</definedName>
    <definedName name="UAcct314">'[7]Func Study'!$AB$1435</definedName>
    <definedName name="UAcct314JBG">'[7]Func Study'!$AB$1434</definedName>
    <definedName name="UAcct315">'[7]Func Study'!$AB$1442</definedName>
    <definedName name="UAcct315JBG">'[7]Func Study'!$AB$1441</definedName>
    <definedName name="UAcct316">'[7]Func Study'!$AB$1450</definedName>
    <definedName name="UAcct316JBG">'[7]Func Study'!$AB$1449</definedName>
    <definedName name="UAcct320">'[7]Func Study'!$AB$1466</definedName>
    <definedName name="UAcct321">'[7]Func Study'!$AB$1471</definedName>
    <definedName name="UAcct322">'[7]Func Study'!$AB$1476</definedName>
    <definedName name="UAcct323">'[7]Func Study'!$AB$1481</definedName>
    <definedName name="UAcct324">'[7]Func Study'!$AB$1486</definedName>
    <definedName name="UAcct325">'[7]Func Study'!$AB$1491</definedName>
    <definedName name="UAcct33">'[7]Func Study'!$AB$295</definedName>
    <definedName name="UAcct330">'[7]Func Study'!$AB$1508</definedName>
    <definedName name="UAcct331">'[7]Func Study'!$AB$1513</definedName>
    <definedName name="UAcct332">'[7]Func Study'!$AB$1518</definedName>
    <definedName name="UAcct333">'[7]Func Study'!$AB$1523</definedName>
    <definedName name="UAcct334">'[7]Func Study'!$AB$1528</definedName>
    <definedName name="UAcct335">'[7]Func Study'!$AB$1533</definedName>
    <definedName name="UAcct336">'[7]Func Study'!$AB$1539</definedName>
    <definedName name="UAcct340Dgu">'[7]Func Study'!$AB$1564</definedName>
    <definedName name="UAcct340Sgu">'[7]Func Study'!$AB$1565</definedName>
    <definedName name="UAcct341Dgu">'[7]Func Study'!$AB$1569</definedName>
    <definedName name="UAcct341Sgu">'[7]Func Study'!$AB$1570</definedName>
    <definedName name="UAcct342Dgu">'[7]Func Study'!$AB$1574</definedName>
    <definedName name="UAcct342Sgu">'[7]Func Study'!$AB$1575</definedName>
    <definedName name="UAcct343">'[7]Func Study'!$AB$1584</definedName>
    <definedName name="UAcct344S">'[7]Func Study'!$AB$1587</definedName>
    <definedName name="UAcct344Sgp">'[7]Func Study'!$AB$1588</definedName>
    <definedName name="UAcct345Dgu">'[7]Func Study'!$AB$1594</definedName>
    <definedName name="UAcct345Sgu">'[7]Func Study'!$AB$1595</definedName>
    <definedName name="UAcct346">'[7]Func Study'!$AB$1601</definedName>
    <definedName name="UAcct350">'[7]Func Study'!$AB$1628</definedName>
    <definedName name="UAcct352">'[7]Func Study'!$AB$1635</definedName>
    <definedName name="UAcct353">'[7]Func Study'!$AB$1641</definedName>
    <definedName name="UAcct354">'[7]Func Study'!$AB$1647</definedName>
    <definedName name="UAcct355">'[7]Func Study'!$AB$1654</definedName>
    <definedName name="UAcct356">'[7]Func Study'!$AB$1660</definedName>
    <definedName name="UAcct357">'[7]Func Study'!$AB$1666</definedName>
    <definedName name="UAcct358">'[7]Func Study'!$AB$1672</definedName>
    <definedName name="UAcct359">'[7]Func Study'!$AB$1678</definedName>
    <definedName name="UAcct360">'[7]Func Study'!$AB$1698</definedName>
    <definedName name="UAcct361">'[7]Func Study'!$AB$1704</definedName>
    <definedName name="UAcct362">'[7]Func Study'!$AB$1710</definedName>
    <definedName name="UAcct368">'[7]Func Study'!$AB$1744</definedName>
    <definedName name="UAcct369">'[7]Func Study'!$AB$1751</definedName>
    <definedName name="UAcct370">'[7]Func Study'!$AB$1762</definedName>
    <definedName name="UAcct372A">'[7]Func Study'!$AB$1775</definedName>
    <definedName name="UAcct372Dp">'[7]Func Study'!$AB$1773</definedName>
    <definedName name="UAcct372Ds">'[7]Func Study'!$AB$1774</definedName>
    <definedName name="UAcct373">'[7]Func Study'!$AB$1782</definedName>
    <definedName name="UAcct389Cn">'[7]Func Study'!$AB$1800</definedName>
    <definedName name="UAcct389S">'[7]Func Study'!$AB$1799</definedName>
    <definedName name="UAcct389Sg">'[7]Func Study'!$AB$1802</definedName>
    <definedName name="UAcct389Sgu">'[7]Func Study'!$AB$1801</definedName>
    <definedName name="UAcct389So">'[7]Func Study'!$AB$1803</definedName>
    <definedName name="UAcct390Cn">'[7]Func Study'!$AB$1810</definedName>
    <definedName name="UAcct390JBG">'[7]Func Study'!$AB$1812</definedName>
    <definedName name="UAcct390L">'[7]Func Study'!$AB$1927</definedName>
    <definedName name="UACCT390LRCL">'[7]Func Study'!$AB$1929</definedName>
    <definedName name="UAcct390S">'[7]Func Study'!$AB$1807</definedName>
    <definedName name="UAcct390Sgp">'[7]Func Study'!$AB$1808</definedName>
    <definedName name="UAcct390Sgu">'[7]Func Study'!$AB$1809</definedName>
    <definedName name="UAcct390Sop">'[7]Func Study'!$AB$1811</definedName>
    <definedName name="UAcct390Sou">'[7]Func Study'!$AB$1813</definedName>
    <definedName name="UAcct391Cn">'[7]Func Study'!$AB$1820</definedName>
    <definedName name="UACCT391JBE">'[7]Func Study'!$AB$1825</definedName>
    <definedName name="UAcct391S">'[7]Func Study'!$AB$1817</definedName>
    <definedName name="UAcct391Sg">'[7]Func Study'!$AB$1821</definedName>
    <definedName name="UAcct391Sgp">'[7]Func Study'!$AB$1818</definedName>
    <definedName name="UAcct391Sgu">'[7]Func Study'!$AB$1819</definedName>
    <definedName name="UAcct391So">'[7]Func Study'!$AB$1823</definedName>
    <definedName name="UACCT391SSGCH">'[7]Func Study'!$AB$1824</definedName>
    <definedName name="UAcct392Cn">'[7]Func Study'!$AB$1832</definedName>
    <definedName name="UAcct392L">'[7]Func Study'!$AB$1935</definedName>
    <definedName name="UAcct392Lrcl">'[7]Func Study'!$AB$1937</definedName>
    <definedName name="UAcct392S">'[7]Func Study'!$AB$1829</definedName>
    <definedName name="UAcct392Se">'[7]Func Study'!$AB$1834</definedName>
    <definedName name="UAcct392Sg">'[7]Func Study'!$AB$1831</definedName>
    <definedName name="UAcct392Sgp">'[7]Func Study'!$AB$1835</definedName>
    <definedName name="UAcct392Sgu">'[7]Func Study'!$AB$1833</definedName>
    <definedName name="UAcct392So">'[7]Func Study'!$AB$1830</definedName>
    <definedName name="UACCT392SSGCH">'[7]Func Study'!$AB$1836</definedName>
    <definedName name="UAcct393S">'[7]Func Study'!$AB$1841</definedName>
    <definedName name="UAcct393Sg">'[7]Func Study'!$AB$1845</definedName>
    <definedName name="UAcct393Sgp">'[7]Func Study'!$AB$1842</definedName>
    <definedName name="UAcct393Sgu">'[7]Func Study'!$AB$1843</definedName>
    <definedName name="UAcct393So">'[7]Func Study'!$AB$1844</definedName>
    <definedName name="UACCT393SSGCT">'[7]Func Study'!$AB$1846</definedName>
    <definedName name="UAcct394S">'[7]Func Study'!$AB$1850</definedName>
    <definedName name="UAcct394Se">'[7]Func Study'!$AB$1854</definedName>
    <definedName name="UAcct394Sg">'[7]Func Study'!$AB$1855</definedName>
    <definedName name="UAcct394Sgp">'[7]Func Study'!$AB$1851</definedName>
    <definedName name="UAcct394Sgu">'[7]Func Study'!$AB$1852</definedName>
    <definedName name="UAcct394So">'[7]Func Study'!$AB$1853</definedName>
    <definedName name="UACCT394SSGCH">'[7]Func Study'!$AB$1856</definedName>
    <definedName name="UAcct395S">'[7]Func Study'!$AB$1861</definedName>
    <definedName name="UAcct395Se">'[7]Func Study'!$AB$1865</definedName>
    <definedName name="UAcct395Sg">'[7]Func Study'!$AB$1866</definedName>
    <definedName name="UAcct395Sgp">'[7]Func Study'!$AB$1862</definedName>
    <definedName name="UAcct395Sgu">'[7]Func Study'!$AB$1863</definedName>
    <definedName name="UAcct395So">'[7]Func Study'!$AB$1864</definedName>
    <definedName name="UACCT395SSGCH">'[7]Func Study'!$AB$1867</definedName>
    <definedName name="UAcct396S">'[7]Func Study'!$AB$1872</definedName>
    <definedName name="UAcct396Se">'[7]Func Study'!$AB$1877</definedName>
    <definedName name="UAcct396Sg">'[7]Func Study'!$AB$1874</definedName>
    <definedName name="UAcct396Sgp">'[7]Func Study'!$AB$1873</definedName>
    <definedName name="UAcct396Sgu">'[7]Func Study'!$AB$1876</definedName>
    <definedName name="UAcct396So">'[7]Func Study'!$AB$1875</definedName>
    <definedName name="UACCT396SSGCH">'[7]Func Study'!$AB$1879</definedName>
    <definedName name="UACCT396SSGCT">'[7]Func Study'!$AB$1878</definedName>
    <definedName name="UAcct397Cn">'[7]Func Study'!$AB$1890</definedName>
    <definedName name="UAcct397JBG">'[7]Func Study'!$AB$1893</definedName>
    <definedName name="UAcct397S">'[7]Func Study'!$AB$1886</definedName>
    <definedName name="UAcct397Se">'[7]Func Study'!$AB$1892</definedName>
    <definedName name="UAcct397Sg">'[7]Func Study'!$AB$1891</definedName>
    <definedName name="UAcct397Sgp">'[7]Func Study'!$AB$1887</definedName>
    <definedName name="UAcct397Sgu">'[7]Func Study'!$AB$1888</definedName>
    <definedName name="UAcct397So">'[7]Func Study'!$AB$1889</definedName>
    <definedName name="UAcct398Cn">'[7]Func Study'!$AB$1902</definedName>
    <definedName name="UAcct398S">'[7]Func Study'!$AB$1899</definedName>
    <definedName name="UAcct398Se">'[7]Func Study'!$AB$1904</definedName>
    <definedName name="UAcct398Sg">'[7]Func Study'!$AB$1905</definedName>
    <definedName name="UAcct398Sgp">'[7]Func Study'!$AB$1900</definedName>
    <definedName name="UAcct398Sgu">'[7]Func Study'!$AB$1901</definedName>
    <definedName name="UAcct398So">'[7]Func Study'!$AB$1903</definedName>
    <definedName name="UACCT398SSGCT">'[7]Func Study'!$AB$1906</definedName>
    <definedName name="UAcct399">'[7]Func Study'!$AB$1913</definedName>
    <definedName name="UAcct399G">'[7]Func Study'!$AB$1955</definedName>
    <definedName name="UAcct399L">'[7]Func Study'!$AB$1917</definedName>
    <definedName name="UAcct399Lrcl">'[7]Func Study'!$AB$1919</definedName>
    <definedName name="UAcct403360">'[7]Func Study'!$AB$1090</definedName>
    <definedName name="UAcct403361">'[7]Func Study'!$AB$1091</definedName>
    <definedName name="UAcct403362">'[7]Func Study'!$AB$1092</definedName>
    <definedName name="UAcct403364">'[7]Func Study'!$AB$1094</definedName>
    <definedName name="UAcct403365">'[7]Func Study'!$AB$1095</definedName>
    <definedName name="UAcct403366">'[7]Func Study'!$AB$1096</definedName>
    <definedName name="UAcct403367">'[7]Func Study'!$AB$1097</definedName>
    <definedName name="UAcct403368">'[7]Func Study'!$AB$1098</definedName>
    <definedName name="UAcct403369">'[7]Func Study'!$AB$1099</definedName>
    <definedName name="UAcct403370">'[7]Func Study'!$AB$1100</definedName>
    <definedName name="UAcct403371">'[7]Func Study'!$AB$1101</definedName>
    <definedName name="UAcct403372">'[7]Func Study'!$AB$1102</definedName>
    <definedName name="UAcct403373">'[7]Func Study'!$AB$1103</definedName>
    <definedName name="UAcct403Ep">'[7]Func Study'!$AB$1130</definedName>
    <definedName name="UAcct403Gpcn">'[7]Func Study'!$AB$1111</definedName>
    <definedName name="UAcct403GPDGP">'[7]Func Study'!$AB$1108</definedName>
    <definedName name="UAcct403GPDGU">'[7]Func Study'!$AB$1109</definedName>
    <definedName name="UAcct403GPJBG">'[7]Func Study'!$AB$1115</definedName>
    <definedName name="UAcct403Gps">'[7]Func Study'!$AB$1107</definedName>
    <definedName name="UAcct403Gpsg">'[7]Func Study'!$AB$1112</definedName>
    <definedName name="UAcct403Gpso">'[7]Func Study'!$AB$1113</definedName>
    <definedName name="UAcct403Gv0">'[7]Func Study'!$AB$1121</definedName>
    <definedName name="UAcct403Hp">'[7]Func Study'!$AB$1072</definedName>
    <definedName name="UACCT403JBE">'[7]Func Study'!$AB$1116</definedName>
    <definedName name="UAcct403Mp">'[7]Func Study'!$AB$1125</definedName>
    <definedName name="UAcct403Np">'[7]Func Study'!$AB$1065</definedName>
    <definedName name="UAcct403Op">'[7]Func Study'!$AB$1080</definedName>
    <definedName name="UAcct403OPCAGE">'[7]Func Study'!$AB$1078</definedName>
    <definedName name="UAcct403Sp">'[7]Func Study'!$AB$1061</definedName>
    <definedName name="UAcct403SPJBG">'[7]Func Study'!$AB$1058</definedName>
    <definedName name="UAcct403Tp">'[7]Func Study'!$AB$1087</definedName>
    <definedName name="UAcct404330">'[7]Func Study'!$AB$1177</definedName>
    <definedName name="UACCT404GP">'[7]Func Study'!$AB$1146</definedName>
    <definedName name="UACCT404GPCN">'[7]Func Study'!$AB$1143</definedName>
    <definedName name="UACCT404GPSO">'[7]Func Study'!$AB$1141</definedName>
    <definedName name="UAcct404Ipcn">'[7]Func Study'!$AB$1158</definedName>
    <definedName name="UAcct404IPJBG">'[7]Func Study'!$AB$1163</definedName>
    <definedName name="UAcct404Ips">'[7]Func Study'!$AB$1154</definedName>
    <definedName name="UAcct404Ipse">'[7]Func Study'!$AB$1155</definedName>
    <definedName name="UAcct404Ipsg">'[7]Func Study'!$AB$1156</definedName>
    <definedName name="UAcct404Ipsg1">'[7]Func Study'!$AB$1159</definedName>
    <definedName name="UAcct404Ipsg2">'[7]Func Study'!$AB$1160</definedName>
    <definedName name="UAcct404Ipso">'[7]Func Study'!$AB$1157</definedName>
    <definedName name="UAcct404M">'[7]Func Study'!$AB$1168</definedName>
    <definedName name="UACCT404OP">'[7]Func Study'!$AB$1172</definedName>
    <definedName name="UACCT404SP">'[7]Func Study'!$AB$1151</definedName>
    <definedName name="UAcct405">'[7]Func Study'!$AB$1185</definedName>
    <definedName name="UAcct406">'[7]Func Study'!$AB$1193</definedName>
    <definedName name="UAcct407">'[7]Func Study'!$AB$1202</definedName>
    <definedName name="UAcct408">'[7]Func Study'!$AB$1221</definedName>
    <definedName name="UAcct408S">'[7]Func Study'!$AB$1213</definedName>
    <definedName name="UAcct41010">'[7]Func Study'!$AB$1294</definedName>
    <definedName name="UAcct41011">'[7]Func Study'!$AB$1309</definedName>
    <definedName name="UAcct41110">'[7]Func Study'!$AB$1325</definedName>
    <definedName name="UAcct41140">'[7]Func Study'!$AB$1232</definedName>
    <definedName name="UAcct41141">'[7]Func Study'!$AB$1237</definedName>
    <definedName name="UAcct41160">'[7]Func Study'!$AB$369</definedName>
    <definedName name="UAcct41170">'[7]Func Study'!$AB$374</definedName>
    <definedName name="UAcct4118">'[7]Func Study'!$AB$378</definedName>
    <definedName name="UAcct41181">'[7]Func Study'!$AB$381</definedName>
    <definedName name="UAcct4194">'[7]Func Study'!$AB$385</definedName>
    <definedName name="UAcct421">'[7]Func Study'!$AB$394</definedName>
    <definedName name="UAcct4311">'[7]Func Study'!$AB$401</definedName>
    <definedName name="UAcct442Se">'[7]Func Study'!$AB$259</definedName>
    <definedName name="UAcct442Sg">'[7]Func Study'!$AB$260</definedName>
    <definedName name="UAcct447">'[7]Func Study'!$AB$281</definedName>
    <definedName name="UACCT447NPC">'[7]Func Study'!$AB$289</definedName>
    <definedName name="UACCT447NPCCAEW">'[7]Func Study'!$AB$286</definedName>
    <definedName name="UACCT447NPCCAGW">'[7]Func Study'!$AB$287</definedName>
    <definedName name="UACCT447NPCDGP">'[7]Func Study'!$AB$288</definedName>
    <definedName name="UAcct447S">'[7]Func Study'!$AB$280</definedName>
    <definedName name="UAcct448S">'[7]Func Study'!$AB$274</definedName>
    <definedName name="UAcct448So">'[7]Func Study'!$AB$275</definedName>
    <definedName name="UAcct449">'[7]Func Study'!$AB$294</definedName>
    <definedName name="UAcct450">'[7]Func Study'!$AB$304</definedName>
    <definedName name="UAcct450S">'[7]Func Study'!$AB$302</definedName>
    <definedName name="UAcct450So">'[7]Func Study'!$AB$303</definedName>
    <definedName name="UAcct451S">'[7]Func Study'!$AB$307</definedName>
    <definedName name="UAcct451Sg">'[7]Func Study'!$AB$308</definedName>
    <definedName name="UAcct451So">'[7]Func Study'!$AB$309</definedName>
    <definedName name="UAcct453">'[7]Func Study'!$AB$315</definedName>
    <definedName name="UAcct454">'[7]Func Study'!$AB$322</definedName>
    <definedName name="UAcct454JBG">'[7]Func Study'!$AB$319</definedName>
    <definedName name="UAcct454S">'[7]Func Study'!$AB$318</definedName>
    <definedName name="UAcct454Sg">'[7]Func Study'!$AB$320</definedName>
    <definedName name="UAcct454So">'[7]Func Study'!$AB$321</definedName>
    <definedName name="UAcct456">'[7]Func Study'!$AB$332</definedName>
    <definedName name="UAcct456CAEW">'[7]Func Study'!$AB$331</definedName>
    <definedName name="UAcct456S">'[7]Func Study'!$AB$325</definedName>
    <definedName name="UAcct456So">'[7]Func Study'!$AB$329</definedName>
    <definedName name="UAcct500">'[7]Func Study'!$AB$416</definedName>
    <definedName name="UAcct500JBG">'[7]Func Study'!$AB$414</definedName>
    <definedName name="UAcct501">'[7]Func Study'!$AB$423</definedName>
    <definedName name="UAcct501CAEW">'[7]Func Study'!$AB$420</definedName>
    <definedName name="UAcct501JBE">'[7]Func Study'!$AB$421</definedName>
    <definedName name="UACCT501NPCCAEW">'[7]Func Study'!$AB$426</definedName>
    <definedName name="UAcct502">'[7]Func Study'!$AB$433</definedName>
    <definedName name="UAcct502CAGE">'[7]Func Study'!$AB$431</definedName>
    <definedName name="UAcct503">'[7]Func Study'!$AB$437</definedName>
    <definedName name="UACCT503NPC">'[7]Func Study'!$AB$443</definedName>
    <definedName name="UAcct505">'[7]Func Study'!$AB$449</definedName>
    <definedName name="UAcct505CAGE">'[7]Func Study'!$AB$447</definedName>
    <definedName name="UAcct506">'[7]Func Study'!$AB$455</definedName>
    <definedName name="UAcct506CAGE">'[7]Func Study'!$AB$452</definedName>
    <definedName name="UAcct507">'[7]Func Study'!$AB$464</definedName>
    <definedName name="UAcct507CAGE">'[7]Func Study'!$AB$462</definedName>
    <definedName name="UAcct510">'[7]Func Study'!$AB$469</definedName>
    <definedName name="UAcct510CAGE">'[7]Func Study'!$AB$467</definedName>
    <definedName name="UAcct511">'[7]Func Study'!$AB$474</definedName>
    <definedName name="UAcct511CAGE">'[7]Func Study'!$AB$472</definedName>
    <definedName name="UAcct512">'[7]Func Study'!$AB$479</definedName>
    <definedName name="UAcct512CAGE">'[7]Func Study'!$AB$477</definedName>
    <definedName name="UAcct513">'[7]Func Study'!$AB$484</definedName>
    <definedName name="UAcct513CAGE">'[7]Func Study'!$AB$482</definedName>
    <definedName name="UAcct514">'[7]Func Study'!$AB$489</definedName>
    <definedName name="UAcct514CAGE">'[7]Func Study'!$AB$487</definedName>
    <definedName name="UAcct517">'[7]Func Study'!$AB$498</definedName>
    <definedName name="UAcct518">'[7]Func Study'!$AB$502</definedName>
    <definedName name="UAcct519">'[7]Func Study'!$AB$507</definedName>
    <definedName name="UAcct520">'[7]Func Study'!$AB$511</definedName>
    <definedName name="UAcct523">'[7]Func Study'!$AB$515</definedName>
    <definedName name="UAcct524">'[7]Func Study'!$AB$519</definedName>
    <definedName name="UAcct528">'[7]Func Study'!$AB$523</definedName>
    <definedName name="UAcct529">'[7]Func Study'!$AB$527</definedName>
    <definedName name="UAcct530">'[7]Func Study'!$AB$531</definedName>
    <definedName name="UAcct531">'[7]Func Study'!$AB$535</definedName>
    <definedName name="UAcct532">'[7]Func Study'!$AB$539</definedName>
    <definedName name="UAcct535">'[7]Func Study'!$AB$551</definedName>
    <definedName name="UAcct536">'[7]Func Study'!$AB$555</definedName>
    <definedName name="UAcct537">'[7]Func Study'!$AB$559</definedName>
    <definedName name="UAcct538">'[7]Func Study'!$AB$563</definedName>
    <definedName name="UAcct539">'[7]Func Study'!$AB$568</definedName>
    <definedName name="UAcct540">'[7]Func Study'!$AB$572</definedName>
    <definedName name="UAcct541">'[7]Func Study'!$AB$576</definedName>
    <definedName name="UAcct542">'[7]Func Study'!$AB$580</definedName>
    <definedName name="UAcct543">'[7]Func Study'!$AB$584</definedName>
    <definedName name="UAcct544">'[7]Func Study'!$AB$588</definedName>
    <definedName name="UAcct545">'[7]Func Study'!$AB$592</definedName>
    <definedName name="UAcct546">'[7]Func Study'!$AB$606</definedName>
    <definedName name="UAcct546CAGE">'[7]Func Study'!$AB$605</definedName>
    <definedName name="UAcct547CAEW">'[7]Func Study'!$AB$610</definedName>
    <definedName name="UACCT547NPCCAEW">'[7]Func Study'!$AB$613</definedName>
    <definedName name="UAcct547Se">'[7]Func Study'!$AB$609</definedName>
    <definedName name="UAcct548">'[7]Func Study'!$AB$621</definedName>
    <definedName name="UACCT548CAGE">'[7]Func Study'!$AB$620</definedName>
    <definedName name="UAcct549">'[7]Func Study'!$AB$626</definedName>
    <definedName name="Uacct549CAGE">'[7]Func Study'!$AB$625</definedName>
    <definedName name="UAcct551CAGE">'[7]Func Study'!$AB$634</definedName>
    <definedName name="UACCT551SG">'[7]Func Study'!$AB$635</definedName>
    <definedName name="UACCT552CAGE">'[7]Func Study'!$AB$640</definedName>
    <definedName name="UAcct552SG">'[7]Func Study'!$AB$639</definedName>
    <definedName name="UACCT553CAGE">'[7]Func Study'!$AB$646</definedName>
    <definedName name="UAcct553SG">'[7]Func Study'!$AB$645</definedName>
    <definedName name="UACCT554CAGE">'[7]Func Study'!$AB$651</definedName>
    <definedName name="UAcct554SG">'[7]Func Study'!$AB$650</definedName>
    <definedName name="UAcct555CAEW">'[7]Func Study'!$AB$665</definedName>
    <definedName name="UAcct555CAGW">'[7]Func Study'!$AB$664</definedName>
    <definedName name="UACCT555DGP">'[7]Func Study'!$AB$670</definedName>
    <definedName name="UACCT555NPCCAEW">'[7]Func Study'!$AB$669</definedName>
    <definedName name="UACCT555NPCCAGW">'[7]Func Study'!$AB$668</definedName>
    <definedName name="UAcct555S">'[7]Func Study'!$AB$663</definedName>
    <definedName name="UAcct555Se">'[7]Func Study'!$AB$665</definedName>
    <definedName name="UACCT555SG">'[7]Func Study'!$AB$664</definedName>
    <definedName name="UAcct556">'[7]Func Study'!$AB$676</definedName>
    <definedName name="UAcct557">'[7]Func Study'!$AB$685</definedName>
    <definedName name="UAcct560">'[7]Func Study'!$AB$715</definedName>
    <definedName name="UAcct561">'[7]Func Study'!$AB$720</definedName>
    <definedName name="UAcct562">'[7]Func Study'!$AB$726</definedName>
    <definedName name="UAcct563">'[7]Func Study'!$AB$731</definedName>
    <definedName name="UAcct564">'[7]Func Study'!$AB$735</definedName>
    <definedName name="UAcct565">'[7]Func Study'!$AB$739</definedName>
    <definedName name="UACCT565NPC">'[7]Func Study'!$AB$744</definedName>
    <definedName name="UACCT565NPCCAGW">'[7]Func Study'!$AB$742</definedName>
    <definedName name="UAcct566">'[7]Func Study'!$AB$748</definedName>
    <definedName name="UAcct567">'[7]Func Study'!$AB$752</definedName>
    <definedName name="UAcct568">'[7]Func Study'!$AB$756</definedName>
    <definedName name="UAcct569">'[7]Func Study'!$AB$760</definedName>
    <definedName name="UAcct570">'[7]Func Study'!$AB$765</definedName>
    <definedName name="UAcct571">'[7]Func Study'!$AB$770</definedName>
    <definedName name="UAcct572">'[7]Func Study'!$AB$774</definedName>
    <definedName name="UAcct573">'[7]Func Study'!$AB$778</definedName>
    <definedName name="UAcct580">'[7]Func Study'!$AB$791</definedName>
    <definedName name="UAcct581">'[7]Func Study'!$AB$796</definedName>
    <definedName name="UAcct582">'[7]Func Study'!$AB$801</definedName>
    <definedName name="UAcct583">'[7]Func Study'!$AB$806</definedName>
    <definedName name="UAcct584">'[7]Func Study'!$AB$811</definedName>
    <definedName name="UAcct585">'[7]Func Study'!$AB$816</definedName>
    <definedName name="UAcct586">'[7]Func Study'!$AB$821</definedName>
    <definedName name="UAcct587">'[7]Func Study'!$AB$826</definedName>
    <definedName name="UAcct588">'[7]Func Study'!$AB$831</definedName>
    <definedName name="UAcct589">'[7]Func Study'!$AB$836</definedName>
    <definedName name="UAcct590">'[7]Func Study'!$AB$841</definedName>
    <definedName name="UAcct591">'[7]Func Study'!$AB$846</definedName>
    <definedName name="UAcct592">'[7]Func Study'!$AB$851</definedName>
    <definedName name="UAcct593">'[7]Func Study'!$AB$856</definedName>
    <definedName name="UAcct594">'[7]Func Study'!$AB$861</definedName>
    <definedName name="UAcct595">'[7]Func Study'!$AB$866</definedName>
    <definedName name="UAcct596">'[7]Func Study'!$AB$876</definedName>
    <definedName name="UAcct597">'[7]Func Study'!$AB$881</definedName>
    <definedName name="UAcct598">'[7]Func Study'!$AB$886</definedName>
    <definedName name="UAcct901">'[7]Func Study'!$AB$898</definedName>
    <definedName name="UAcct902">'[7]Func Study'!$AB$903</definedName>
    <definedName name="UAcct903">'[7]Func Study'!$AB$908</definedName>
    <definedName name="UAcct904">'[7]Func Study'!$AB$914</definedName>
    <definedName name="UAcct905">'[7]Func Study'!$AB$919</definedName>
    <definedName name="UAcct907">'[7]Func Study'!$AB$933</definedName>
    <definedName name="UAcct908">'[7]Func Study'!$AB$938</definedName>
    <definedName name="UAcct909">'[7]Func Study'!$AB$943</definedName>
    <definedName name="UAcct910">'[7]Func Study'!$AB$948</definedName>
    <definedName name="UAcct911">'[7]Func Study'!$AB$959</definedName>
    <definedName name="UAcct912">'[7]Func Study'!$AB$964</definedName>
    <definedName name="UAcct913">'[7]Func Study'!$AB$969</definedName>
    <definedName name="UAcct916">'[7]Func Study'!$AB$974</definedName>
    <definedName name="UAcct920">'[7]Func Study'!$AB$985</definedName>
    <definedName name="UAcct920Cn">'[7]Func Study'!$AB$983</definedName>
    <definedName name="UAcct921">'[7]Func Study'!$AB$991</definedName>
    <definedName name="UAcct921Cn">'[7]Func Study'!$AB$989</definedName>
    <definedName name="UAcct923">'[7]Func Study'!$AB$997</definedName>
    <definedName name="UAcct923CAGW">'[7]Func Study'!$AB$995</definedName>
    <definedName name="UAcct924">'[7]Func Study'!$AB$1001</definedName>
    <definedName name="UAcct925">'[7]Func Study'!$AB$1005</definedName>
    <definedName name="UAcct926">'[7]Func Study'!$AB$1011</definedName>
    <definedName name="UAcct927">'[7]Func Study'!$AB$1016</definedName>
    <definedName name="UAcct928">'[7]Func Study'!$AB$1023</definedName>
    <definedName name="UAcct929">'[7]Func Study'!$AB$1028</definedName>
    <definedName name="UAcct930">'[7]Func Study'!$AB$1034</definedName>
    <definedName name="UAcct931">'[7]Func Study'!$AB$1039</definedName>
    <definedName name="UAcct935">'[7]Func Study'!$AB$1045</definedName>
    <definedName name="UAcctAGA">'[7]Func Study'!$AB$296</definedName>
    <definedName name="UAcctcwc">'[7]Func Study'!$AB$2136</definedName>
    <definedName name="UAcctd00">'[7]Func Study'!$AB$1786</definedName>
    <definedName name="UAcctds0">'[7]Func Study'!$AB$1790</definedName>
    <definedName name="UACCTECDDGP">'[7]Func Study'!$AB$687</definedName>
    <definedName name="UACCTECDMC">'[7]Func Study'!$AB$689</definedName>
    <definedName name="UACCTECDS">'[7]Func Study'!$AB$691</definedName>
    <definedName name="UACCTECDSG1">'[7]Func Study'!$AB$688</definedName>
    <definedName name="UACCTECDSG2">'[7]Func Study'!$AB$690</definedName>
    <definedName name="UACCTECDSG3">'[7]Func Study'!$AB$692</definedName>
    <definedName name="UAcctfit">'[7]Func Study'!$AB$1395</definedName>
    <definedName name="UAcctg00">'[7]Func Study'!$AB$1947</definedName>
    <definedName name="UAccth00">'[7]Func Study'!$AB$1545</definedName>
    <definedName name="UAccti00">'[7]Func Study'!$AB$1993</definedName>
    <definedName name="UAcctn00">'[7]Func Study'!$AB$1496</definedName>
    <definedName name="UAccto00">'[7]Func Study'!$AB$1606</definedName>
    <definedName name="UAcctowc">'[7]Func Study'!$AB$2149</definedName>
    <definedName name="UACCTOWCSSECH">'[7]Func Study'!$AB$2148</definedName>
    <definedName name="UAccts00">'[7]Func Study'!$AB$1455</definedName>
    <definedName name="UAcctsttax">'[7]Func Study'!$AB$1377</definedName>
    <definedName name="UAcctt00">'[7]Func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[11]Variables!$D$25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[11]Variables!$D$29</definedName>
    <definedName name="ValidAccount">[8]Variables!$AK$43:$AK$369</definedName>
    <definedName name="Values_Entered" localSheetId="22">IF(Loan_Amount*Interest_Rate*Loan_Years*Loan_Start&gt;0,1,0)</definedName>
    <definedName name="Values_Entered" localSheetId="1">IF(Loan_Amount*Interest_Rate*Loan_Years*Loan_Start&gt;0,1,0)</definedName>
    <definedName name="Values_Entered" localSheetId="2">IF(Loan_Amount*Interest_Rate*Loan_Years*Loan_Start&gt;0,1,0)</definedName>
    <definedName name="Values_Entered" localSheetId="12">IF(Loan_Amount*Interest_Rate*Loan_Years*Loan_Start&gt;0,1,0)</definedName>
    <definedName name="Values_Entered" localSheetId="13">IF(Loan_Amount*Interest_Rate*Loan_Years*Loan_Start&gt;0,1,0)</definedName>
    <definedName name="Values_Entered" localSheetId="9">IF(Loan_Amount*Interest_Rate*Loan_Years*Loan_Start&gt;0,1,0)</definedName>
    <definedName name="Values_Entered" localSheetId="10">IF(Loan_Amount*Interest_Rate*Loan_Years*Loan_Start&gt;0,1,0)</definedName>
    <definedName name="Values_Entered" localSheetId="15">IF(Loan_Amount*Interest_Rate*Loan_Years*Loan_Start&gt;0,1,0)</definedName>
    <definedName name="Values_Entered" localSheetId="14">IF(Loan_Amount*Interest_Rate*Loan_Years*Loan_Start&gt;0,1,0)</definedName>
    <definedName name="Values_Entered">IF(Loan_Amount*Interest_Rate*Loan_Years*Loan_Start&gt;0,1,0)</definedName>
    <definedName name="VOMEsc" localSheetId="21">[9]Assumptions!$C$21</definedName>
    <definedName name="VOMEsc">[9]Assumptions!$C$21</definedName>
    <definedName name="WACC" localSheetId="21">[9]Assumptions!$I$61</definedName>
    <definedName name="WACC">[9]Assumptions!$I$61</definedName>
    <definedName name="WaRevenueTax">[11]Variables!$D$27</definedName>
    <definedName name="Winter">'[63]Input Tab'!$B$11</definedName>
    <definedName name="WinterPeak">'[64]Load Data'!$D$9:$H$12,'[64]Load Data'!$D$20:$H$22</definedName>
    <definedName name="WUTC_Docket_No._UG_11____">'[6]MJS-6'!$F$2</definedName>
    <definedName name="WUTC_FILING_FEE">'[6]MJS-7'!$O$15</definedName>
    <definedName name="Years_evaluated">'[65]Revison Inputs'!$B$6</definedName>
    <definedName name="YEFactors">[8]Factors!$S$3:$AG$99</definedName>
    <definedName name="YTD_Format">[47]YTD!$B$13:$D$13,[47]YTD!$B$36:$D$36</definedName>
  </definedNames>
  <calcPr calcId="145621"/>
</workbook>
</file>

<file path=xl/calcChain.xml><?xml version="1.0" encoding="utf-8"?>
<calcChain xmlns="http://schemas.openxmlformats.org/spreadsheetml/2006/main">
  <c r="F137" i="53" l="1"/>
  <c r="F136" i="53"/>
  <c r="F135" i="53"/>
  <c r="F134" i="53"/>
  <c r="F131" i="53"/>
  <c r="F130" i="53"/>
  <c r="F129" i="53"/>
  <c r="F128" i="53"/>
  <c r="F127" i="53"/>
  <c r="F126" i="53"/>
  <c r="F125" i="53"/>
  <c r="F122" i="53"/>
  <c r="F121" i="53"/>
  <c r="F120" i="53"/>
  <c r="F119" i="53"/>
  <c r="F118" i="53"/>
  <c r="F117" i="53"/>
  <c r="F114" i="53"/>
  <c r="F113" i="53"/>
  <c r="F112" i="53"/>
  <c r="F111" i="53"/>
  <c r="F110" i="53"/>
  <c r="F109" i="53"/>
  <c r="F105" i="53"/>
  <c r="F104" i="53"/>
  <c r="F101" i="53"/>
  <c r="F100" i="53"/>
  <c r="F99" i="53"/>
  <c r="F98" i="53"/>
  <c r="F97" i="53"/>
  <c r="F96" i="53"/>
  <c r="F93" i="53"/>
  <c r="F92" i="53"/>
  <c r="F91" i="53"/>
  <c r="F88" i="53"/>
  <c r="F87" i="53"/>
  <c r="F83" i="53"/>
  <c r="F82" i="53"/>
  <c r="F79" i="53"/>
  <c r="F78" i="53"/>
  <c r="F75" i="53"/>
  <c r="F74" i="53"/>
  <c r="F73" i="53"/>
  <c r="F70" i="53"/>
  <c r="F69" i="53"/>
  <c r="F68" i="53"/>
  <c r="F65" i="53"/>
  <c r="F64" i="53"/>
  <c r="F61" i="53"/>
  <c r="F60" i="53"/>
  <c r="F59" i="53"/>
  <c r="F56" i="53"/>
  <c r="F55" i="53"/>
  <c r="F54" i="53"/>
  <c r="F51" i="53"/>
  <c r="F50" i="53"/>
  <c r="F49" i="53"/>
  <c r="F46" i="53"/>
  <c r="F45" i="53"/>
  <c r="F44" i="53"/>
  <c r="F41" i="53"/>
  <c r="F39" i="53"/>
  <c r="F38" i="53"/>
  <c r="F37" i="53"/>
  <c r="F34" i="53"/>
  <c r="F33" i="53"/>
  <c r="F32" i="53"/>
  <c r="F29" i="53"/>
  <c r="F26" i="53"/>
  <c r="F25" i="53"/>
  <c r="F22" i="53"/>
  <c r="F21" i="53"/>
  <c r="F20" i="53"/>
  <c r="F17" i="53"/>
  <c r="F14" i="53"/>
  <c r="F13" i="53"/>
  <c r="F10" i="53"/>
  <c r="F9" i="53"/>
  <c r="H139" i="53"/>
  <c r="H139" i="18"/>
  <c r="F137" i="18"/>
  <c r="F136" i="18"/>
  <c r="F135" i="18"/>
  <c r="F134" i="18"/>
  <c r="F131" i="18"/>
  <c r="F130" i="18"/>
  <c r="F129" i="18"/>
  <c r="F128" i="18"/>
  <c r="F127" i="18"/>
  <c r="F126" i="18"/>
  <c r="F125" i="18"/>
  <c r="F122" i="18"/>
  <c r="F121" i="18"/>
  <c r="F120" i="18"/>
  <c r="F119" i="18"/>
  <c r="F118" i="18"/>
  <c r="F117" i="18"/>
  <c r="F114" i="18"/>
  <c r="F113" i="18"/>
  <c r="F112" i="18"/>
  <c r="F111" i="18"/>
  <c r="F110" i="18"/>
  <c r="F109" i="18"/>
  <c r="F105" i="18"/>
  <c r="F104" i="18"/>
  <c r="F101" i="18"/>
  <c r="F100" i="18"/>
  <c r="F99" i="18"/>
  <c r="F98" i="18"/>
  <c r="F97" i="18"/>
  <c r="F96" i="18"/>
  <c r="F93" i="18"/>
  <c r="F92" i="18"/>
  <c r="F91" i="18"/>
  <c r="F88" i="18"/>
  <c r="F87" i="18"/>
  <c r="F83" i="18"/>
  <c r="F82" i="18"/>
  <c r="F79" i="18"/>
  <c r="F78" i="18"/>
  <c r="F75" i="18"/>
  <c r="F74" i="18"/>
  <c r="F73" i="18"/>
  <c r="F70" i="18"/>
  <c r="F69" i="18"/>
  <c r="F68" i="18"/>
  <c r="F65" i="18"/>
  <c r="F64" i="18"/>
  <c r="F61" i="18"/>
  <c r="F60" i="18"/>
  <c r="F59" i="18"/>
  <c r="F56" i="18"/>
  <c r="F55" i="18"/>
  <c r="F54" i="18"/>
  <c r="F51" i="18"/>
  <c r="F50" i="18"/>
  <c r="F49" i="18"/>
  <c r="F46" i="18"/>
  <c r="F45" i="18"/>
  <c r="F44" i="18"/>
  <c r="F41" i="18"/>
  <c r="F39" i="18"/>
  <c r="F38" i="18"/>
  <c r="F37" i="18"/>
  <c r="F34" i="18"/>
  <c r="F33" i="18"/>
  <c r="F32" i="18"/>
  <c r="F29" i="18"/>
  <c r="F26" i="18"/>
  <c r="F25" i="18"/>
  <c r="F22" i="18"/>
  <c r="F21" i="18"/>
  <c r="F20" i="18"/>
  <c r="F17" i="18"/>
  <c r="F14" i="18"/>
  <c r="F13" i="18"/>
  <c r="F10" i="18"/>
  <c r="F9" i="18"/>
  <c r="M31" i="5" l="1"/>
  <c r="M30" i="5"/>
  <c r="M28" i="5"/>
  <c r="M26" i="5"/>
  <c r="M23" i="5"/>
  <c r="M21" i="5"/>
  <c r="M20" i="5"/>
  <c r="M18" i="5"/>
  <c r="M17" i="5"/>
  <c r="M11" i="5"/>
  <c r="J31" i="5"/>
  <c r="J30" i="5"/>
  <c r="J28" i="5"/>
  <c r="J26" i="5"/>
  <c r="J23" i="5"/>
  <c r="J21" i="5"/>
  <c r="J20" i="5"/>
  <c r="J18" i="5"/>
  <c r="J17" i="5"/>
  <c r="J11" i="5"/>
  <c r="N28" i="5"/>
  <c r="N26" i="5"/>
  <c r="N11" i="5"/>
  <c r="J32" i="5"/>
  <c r="K32" i="5" s="1"/>
  <c r="K28" i="5"/>
  <c r="K26" i="5"/>
  <c r="K12" i="5"/>
  <c r="J12" i="5"/>
  <c r="H13" i="5"/>
  <c r="E14" i="5"/>
  <c r="E13" i="5"/>
  <c r="D14" i="5"/>
  <c r="O25" i="55"/>
  <c r="M25" i="55"/>
  <c r="L25" i="55"/>
  <c r="K25" i="55"/>
  <c r="J25" i="55"/>
  <c r="E39" i="55"/>
  <c r="D25" i="55"/>
  <c r="O22" i="55"/>
  <c r="L22" i="55"/>
  <c r="K22" i="55"/>
  <c r="J22" i="55"/>
  <c r="E36" i="55"/>
  <c r="D22" i="55"/>
  <c r="O21" i="55"/>
  <c r="M21" i="55"/>
  <c r="L21" i="55"/>
  <c r="K21" i="55"/>
  <c r="J21" i="55"/>
  <c r="I21" i="55"/>
  <c r="D21" i="55"/>
  <c r="O20" i="55"/>
  <c r="N20" i="55"/>
  <c r="L20" i="55"/>
  <c r="K20" i="55"/>
  <c r="J20" i="55"/>
  <c r="I20" i="55"/>
  <c r="D20" i="55"/>
  <c r="O19" i="55"/>
  <c r="M19" i="55"/>
  <c r="L19" i="55"/>
  <c r="K19" i="55"/>
  <c r="J19" i="55"/>
  <c r="I19" i="55"/>
  <c r="D19" i="55"/>
  <c r="O18" i="55"/>
  <c r="N18" i="55"/>
  <c r="L18" i="55"/>
  <c r="K18" i="55"/>
  <c r="J18" i="55"/>
  <c r="I18" i="55"/>
  <c r="P18" i="55"/>
  <c r="D18" i="55"/>
  <c r="O17" i="55"/>
  <c r="N17" i="55"/>
  <c r="L17" i="55"/>
  <c r="K17" i="55"/>
  <c r="J17" i="55"/>
  <c r="I17" i="55"/>
  <c r="D17" i="55"/>
  <c r="O16" i="55"/>
  <c r="M16" i="55"/>
  <c r="L16" i="55"/>
  <c r="K16" i="55"/>
  <c r="J16" i="55"/>
  <c r="I16" i="55"/>
  <c r="H16" i="55"/>
  <c r="G16" i="55"/>
  <c r="E35" i="55"/>
  <c r="D16" i="55"/>
  <c r="O15" i="55"/>
  <c r="N15" i="55"/>
  <c r="L15" i="55"/>
  <c r="K15" i="55"/>
  <c r="J15" i="55"/>
  <c r="I15" i="55"/>
  <c r="H15" i="55"/>
  <c r="G15" i="55"/>
  <c r="D15" i="55"/>
  <c r="O14" i="55"/>
  <c r="M14" i="55"/>
  <c r="L14" i="55"/>
  <c r="K14" i="55"/>
  <c r="J14" i="55"/>
  <c r="I14" i="55"/>
  <c r="H14" i="55"/>
  <c r="G14" i="55"/>
  <c r="E33" i="55"/>
  <c r="D14" i="55"/>
  <c r="O13" i="55"/>
  <c r="N13" i="55"/>
  <c r="L13" i="55"/>
  <c r="K13" i="55"/>
  <c r="J13" i="55"/>
  <c r="I13" i="55"/>
  <c r="H13" i="55"/>
  <c r="G13" i="55"/>
  <c r="D13" i="55"/>
  <c r="O12" i="55"/>
  <c r="N12" i="55"/>
  <c r="L12" i="55"/>
  <c r="K12" i="55"/>
  <c r="J12" i="55"/>
  <c r="I12" i="55"/>
  <c r="H12" i="55"/>
  <c r="G12" i="55"/>
  <c r="E31" i="55"/>
  <c r="D12" i="55"/>
  <c r="O11" i="55"/>
  <c r="M11" i="55"/>
  <c r="L11" i="55"/>
  <c r="K11" i="55"/>
  <c r="J11" i="55"/>
  <c r="H11" i="55"/>
  <c r="G11" i="55"/>
  <c r="D11" i="55"/>
  <c r="O10" i="55"/>
  <c r="N10" i="55"/>
  <c r="L10" i="55"/>
  <c r="K10" i="55"/>
  <c r="J10" i="55"/>
  <c r="I10" i="55"/>
  <c r="H10" i="55"/>
  <c r="G10" i="55"/>
  <c r="D10" i="55"/>
  <c r="O25" i="54"/>
  <c r="M25" i="54"/>
  <c r="L25" i="54"/>
  <c r="K25" i="54"/>
  <c r="J25" i="54"/>
  <c r="D25" i="54"/>
  <c r="O22" i="54"/>
  <c r="L22" i="54"/>
  <c r="K22" i="54"/>
  <c r="J22" i="54"/>
  <c r="D22" i="54"/>
  <c r="O21" i="54"/>
  <c r="M21" i="54"/>
  <c r="L21" i="54"/>
  <c r="K21" i="54"/>
  <c r="J21" i="54"/>
  <c r="I21" i="54"/>
  <c r="D21" i="54"/>
  <c r="O20" i="54"/>
  <c r="N20" i="54"/>
  <c r="L20" i="54"/>
  <c r="K20" i="54"/>
  <c r="J20" i="54"/>
  <c r="I20" i="54"/>
  <c r="D20" i="54"/>
  <c r="O19" i="54"/>
  <c r="M19" i="54"/>
  <c r="L19" i="54"/>
  <c r="K19" i="54"/>
  <c r="J19" i="54"/>
  <c r="I19" i="54"/>
  <c r="D19" i="54"/>
  <c r="O18" i="54"/>
  <c r="N18" i="54"/>
  <c r="L18" i="54"/>
  <c r="K18" i="54"/>
  <c r="J18" i="54"/>
  <c r="I18" i="54"/>
  <c r="D18" i="54"/>
  <c r="O17" i="54"/>
  <c r="N17" i="54"/>
  <c r="L17" i="54"/>
  <c r="K17" i="54"/>
  <c r="J17" i="54"/>
  <c r="I17" i="54"/>
  <c r="D17" i="54"/>
  <c r="O16" i="54"/>
  <c r="M16" i="54"/>
  <c r="L16" i="54"/>
  <c r="K16" i="54"/>
  <c r="J16" i="54"/>
  <c r="I16" i="54"/>
  <c r="H16" i="54"/>
  <c r="G16" i="54"/>
  <c r="E35" i="54"/>
  <c r="D16" i="54"/>
  <c r="O15" i="54"/>
  <c r="N15" i="54"/>
  <c r="L15" i="54"/>
  <c r="K15" i="54"/>
  <c r="J15" i="54"/>
  <c r="I15" i="54"/>
  <c r="H15" i="54"/>
  <c r="G15" i="54"/>
  <c r="D15" i="54"/>
  <c r="O14" i="54"/>
  <c r="M14" i="54"/>
  <c r="L14" i="54"/>
  <c r="K14" i="54"/>
  <c r="J14" i="54"/>
  <c r="I14" i="54"/>
  <c r="H14" i="54"/>
  <c r="G14" i="54"/>
  <c r="E33" i="54"/>
  <c r="D14" i="54"/>
  <c r="O13" i="54"/>
  <c r="N13" i="54"/>
  <c r="L13" i="54"/>
  <c r="K13" i="54"/>
  <c r="J13" i="54"/>
  <c r="I13" i="54"/>
  <c r="H13" i="54"/>
  <c r="G13" i="54"/>
  <c r="D13" i="54"/>
  <c r="O12" i="54"/>
  <c r="N12" i="54"/>
  <c r="L12" i="54"/>
  <c r="K12" i="54"/>
  <c r="J12" i="54"/>
  <c r="I12" i="54"/>
  <c r="H12" i="54"/>
  <c r="G12" i="54"/>
  <c r="E31" i="54"/>
  <c r="D12" i="54"/>
  <c r="O11" i="54"/>
  <c r="M11" i="54"/>
  <c r="M23" i="54" s="1"/>
  <c r="L11" i="54"/>
  <c r="K11" i="54"/>
  <c r="J11" i="54"/>
  <c r="H11" i="54"/>
  <c r="G11" i="54"/>
  <c r="D11" i="54"/>
  <c r="O10" i="54"/>
  <c r="N10" i="54"/>
  <c r="L10" i="54"/>
  <c r="K10" i="54"/>
  <c r="J10" i="54"/>
  <c r="I10" i="54"/>
  <c r="H10" i="54"/>
  <c r="G10" i="54"/>
  <c r="E30" i="54"/>
  <c r="D10" i="54"/>
  <c r="L25" i="9"/>
  <c r="L22" i="9"/>
  <c r="L21" i="9"/>
  <c r="L20" i="9"/>
  <c r="L19" i="9"/>
  <c r="L18" i="9"/>
  <c r="L17" i="9"/>
  <c r="L16" i="9"/>
  <c r="L15" i="9"/>
  <c r="L14" i="9"/>
  <c r="L13" i="9"/>
  <c r="L12" i="9"/>
  <c r="L11" i="9"/>
  <c r="L10" i="9"/>
  <c r="E32" i="54" l="1"/>
  <c r="P17" i="54"/>
  <c r="M32" i="5"/>
  <c r="N32" i="5" s="1"/>
  <c r="K11" i="5"/>
  <c r="G23" i="55"/>
  <c r="G26" i="55" s="1"/>
  <c r="K23" i="55"/>
  <c r="K26" i="55" s="1"/>
  <c r="L23" i="55"/>
  <c r="L26" i="55" s="1"/>
  <c r="E32" i="55"/>
  <c r="P15" i="55"/>
  <c r="P20" i="55"/>
  <c r="P10" i="55"/>
  <c r="I23" i="55"/>
  <c r="I26" i="55" s="1"/>
  <c r="N23" i="55"/>
  <c r="N26" i="55" s="1"/>
  <c r="P11" i="55"/>
  <c r="P19" i="55"/>
  <c r="P22" i="55"/>
  <c r="P36" i="55" s="1"/>
  <c r="D23" i="55"/>
  <c r="H23" i="55"/>
  <c r="H26" i="55" s="1"/>
  <c r="M23" i="55"/>
  <c r="M26" i="55" s="1"/>
  <c r="P17" i="55"/>
  <c r="F23" i="55"/>
  <c r="F26" i="55" s="1"/>
  <c r="J23" i="55"/>
  <c r="J26" i="55" s="1"/>
  <c r="O23" i="55"/>
  <c r="O26" i="55" s="1"/>
  <c r="P21" i="55"/>
  <c r="P25" i="55"/>
  <c r="E23" i="55"/>
  <c r="E26" i="55" s="1"/>
  <c r="E30" i="55"/>
  <c r="E34" i="55"/>
  <c r="P12" i="55"/>
  <c r="P13" i="55"/>
  <c r="P32" i="55" s="1"/>
  <c r="P14" i="55"/>
  <c r="P33" i="55" s="1"/>
  <c r="P16" i="55"/>
  <c r="P10" i="54"/>
  <c r="J23" i="54"/>
  <c r="J26" i="54" s="1"/>
  <c r="O23" i="54"/>
  <c r="O26" i="54" s="1"/>
  <c r="P21" i="54"/>
  <c r="P11" i="54"/>
  <c r="P12" i="54"/>
  <c r="P13" i="54"/>
  <c r="P14" i="54"/>
  <c r="P15" i="54"/>
  <c r="P16" i="54"/>
  <c r="N23" i="54"/>
  <c r="N26" i="54" s="1"/>
  <c r="P18" i="54"/>
  <c r="P20" i="54"/>
  <c r="E36" i="54"/>
  <c r="P22" i="54"/>
  <c r="F23" i="54"/>
  <c r="F26" i="54" s="1"/>
  <c r="G23" i="54"/>
  <c r="G26" i="54" s="1"/>
  <c r="K23" i="54"/>
  <c r="K26" i="54" s="1"/>
  <c r="P19" i="54"/>
  <c r="E39" i="54"/>
  <c r="P25" i="54"/>
  <c r="D23" i="54"/>
  <c r="H23" i="54"/>
  <c r="H26" i="54" s="1"/>
  <c r="L23" i="54"/>
  <c r="L26" i="54" s="1"/>
  <c r="M26" i="54"/>
  <c r="E34" i="54"/>
  <c r="I23" i="54"/>
  <c r="I26" i="54" s="1"/>
  <c r="E23" i="54"/>
  <c r="E26" i="54" s="1"/>
  <c r="M19" i="5"/>
  <c r="M12" i="5"/>
  <c r="N12" i="5" s="1"/>
  <c r="P31" i="55" l="1"/>
  <c r="P31" i="54"/>
  <c r="P39" i="55"/>
  <c r="P30" i="55"/>
  <c r="P34" i="55"/>
  <c r="P35" i="55"/>
  <c r="E37" i="55"/>
  <c r="E40" i="55" s="1"/>
  <c r="P23" i="55"/>
  <c r="P26" i="55" s="1"/>
  <c r="P30" i="54"/>
  <c r="P35" i="54"/>
  <c r="P39" i="54"/>
  <c r="P36" i="54"/>
  <c r="P32" i="54"/>
  <c r="E37" i="54"/>
  <c r="E40" i="54" s="1"/>
  <c r="P23" i="54"/>
  <c r="P26" i="54" s="1"/>
  <c r="P34" i="54"/>
  <c r="P33" i="54"/>
  <c r="J13" i="5" l="1"/>
  <c r="M13" i="5"/>
  <c r="M22" i="5"/>
  <c r="M24" i="5" s="1"/>
  <c r="J22" i="5"/>
  <c r="J24" i="5" s="1"/>
  <c r="P37" i="54"/>
  <c r="P40" i="54" s="1"/>
  <c r="P37" i="55"/>
  <c r="P40" i="55" s="1"/>
  <c r="D139" i="53"/>
  <c r="G137" i="53"/>
  <c r="H137" i="53"/>
  <c r="D137" i="53"/>
  <c r="G136" i="53"/>
  <c r="H136" i="53"/>
  <c r="D136" i="53"/>
  <c r="G135" i="53"/>
  <c r="H135" i="53"/>
  <c r="D135" i="53"/>
  <c r="G134" i="53"/>
  <c r="H134" i="53"/>
  <c r="D134" i="53"/>
  <c r="G131" i="53"/>
  <c r="H131" i="53"/>
  <c r="D131" i="53"/>
  <c r="G130" i="53"/>
  <c r="H130" i="53"/>
  <c r="D130" i="53"/>
  <c r="G129" i="53"/>
  <c r="H129" i="53"/>
  <c r="D129" i="53"/>
  <c r="G128" i="53"/>
  <c r="H128" i="53"/>
  <c r="D128" i="53"/>
  <c r="G127" i="53"/>
  <c r="H127" i="53"/>
  <c r="D127" i="53"/>
  <c r="G126" i="53"/>
  <c r="H126" i="53"/>
  <c r="D126" i="53"/>
  <c r="G125" i="53"/>
  <c r="H125" i="53"/>
  <c r="D125" i="53"/>
  <c r="G122" i="53"/>
  <c r="H122" i="53"/>
  <c r="D122" i="53"/>
  <c r="G121" i="53"/>
  <c r="H121" i="53"/>
  <c r="D121" i="53"/>
  <c r="G120" i="53"/>
  <c r="H120" i="53"/>
  <c r="D120" i="53"/>
  <c r="G119" i="53"/>
  <c r="H119" i="53"/>
  <c r="D119" i="53"/>
  <c r="G118" i="53"/>
  <c r="H118" i="53"/>
  <c r="D118" i="53"/>
  <c r="G117" i="53"/>
  <c r="H117" i="53"/>
  <c r="D117" i="53"/>
  <c r="G114" i="53"/>
  <c r="H114" i="53"/>
  <c r="D114" i="53"/>
  <c r="G113" i="53"/>
  <c r="H113" i="53"/>
  <c r="D113" i="53"/>
  <c r="G112" i="53"/>
  <c r="H112" i="53"/>
  <c r="D112" i="53"/>
  <c r="G111" i="53"/>
  <c r="H111" i="53"/>
  <c r="D111" i="53"/>
  <c r="G110" i="53"/>
  <c r="H110" i="53"/>
  <c r="D110" i="53"/>
  <c r="G109" i="53"/>
  <c r="H109" i="53"/>
  <c r="D109" i="53"/>
  <c r="G105" i="53"/>
  <c r="H105" i="53"/>
  <c r="D105" i="53"/>
  <c r="G104" i="53"/>
  <c r="H104" i="53"/>
  <c r="D104" i="53"/>
  <c r="G101" i="53"/>
  <c r="H101" i="53"/>
  <c r="D101" i="53"/>
  <c r="G100" i="53"/>
  <c r="H100" i="53"/>
  <c r="D100" i="53"/>
  <c r="G99" i="53"/>
  <c r="H99" i="53"/>
  <c r="D99" i="53"/>
  <c r="G98" i="53"/>
  <c r="H98" i="53"/>
  <c r="D98" i="53"/>
  <c r="G97" i="53"/>
  <c r="H97" i="53"/>
  <c r="D97" i="53"/>
  <c r="G96" i="53"/>
  <c r="H96" i="53"/>
  <c r="D96" i="53"/>
  <c r="G93" i="53"/>
  <c r="H93" i="53"/>
  <c r="D93" i="53"/>
  <c r="G92" i="53"/>
  <c r="H92" i="53"/>
  <c r="D92" i="53"/>
  <c r="G91" i="53"/>
  <c r="H91" i="53"/>
  <c r="D91" i="53"/>
  <c r="G88" i="53"/>
  <c r="H88" i="53"/>
  <c r="D88" i="53"/>
  <c r="G87" i="53"/>
  <c r="H87" i="53"/>
  <c r="D87" i="53"/>
  <c r="G83" i="53"/>
  <c r="H83" i="53"/>
  <c r="D83" i="53"/>
  <c r="G82" i="53"/>
  <c r="H82" i="53"/>
  <c r="D82" i="53"/>
  <c r="G79" i="53"/>
  <c r="H79" i="53"/>
  <c r="D79" i="53"/>
  <c r="G78" i="53"/>
  <c r="H78" i="53"/>
  <c r="D78" i="53"/>
  <c r="G75" i="53"/>
  <c r="H75" i="53"/>
  <c r="D75" i="53"/>
  <c r="G74" i="53"/>
  <c r="H74" i="53"/>
  <c r="D74" i="53"/>
  <c r="G73" i="53"/>
  <c r="H73" i="53"/>
  <c r="D73" i="53"/>
  <c r="G70" i="53"/>
  <c r="H70" i="53"/>
  <c r="D70" i="53"/>
  <c r="G69" i="53"/>
  <c r="H69" i="53"/>
  <c r="D69" i="53"/>
  <c r="G68" i="53"/>
  <c r="H68" i="53"/>
  <c r="D68" i="53"/>
  <c r="G65" i="53"/>
  <c r="H65" i="53"/>
  <c r="D65" i="53"/>
  <c r="G64" i="53"/>
  <c r="H64" i="53"/>
  <c r="D64" i="53"/>
  <c r="G61" i="53"/>
  <c r="H61" i="53"/>
  <c r="D61" i="53"/>
  <c r="G60" i="53"/>
  <c r="H60" i="53"/>
  <c r="D60" i="53"/>
  <c r="G59" i="53"/>
  <c r="H59" i="53"/>
  <c r="D59" i="53"/>
  <c r="G56" i="53"/>
  <c r="H56" i="53"/>
  <c r="D56" i="53"/>
  <c r="G55" i="53"/>
  <c r="H55" i="53"/>
  <c r="D55" i="53"/>
  <c r="G54" i="53"/>
  <c r="H54" i="53"/>
  <c r="D54" i="53"/>
  <c r="G51" i="53"/>
  <c r="H51" i="53"/>
  <c r="D51" i="53"/>
  <c r="G50" i="53"/>
  <c r="H50" i="53"/>
  <c r="D50" i="53"/>
  <c r="D49" i="53"/>
  <c r="G49" i="53" s="1"/>
  <c r="H46" i="53"/>
  <c r="D46" i="53"/>
  <c r="G46" i="53" s="1"/>
  <c r="H45" i="53"/>
  <c r="D45" i="53"/>
  <c r="G45" i="53" s="1"/>
  <c r="H44" i="53"/>
  <c r="D44" i="53"/>
  <c r="G44" i="53" s="1"/>
  <c r="H41" i="53"/>
  <c r="D41" i="53"/>
  <c r="G41" i="53" s="1"/>
  <c r="H39" i="53"/>
  <c r="D39" i="53"/>
  <c r="G39" i="53" s="1"/>
  <c r="H38" i="53"/>
  <c r="D38" i="53"/>
  <c r="G38" i="53" s="1"/>
  <c r="D37" i="53"/>
  <c r="G37" i="53" s="1"/>
  <c r="H34" i="53"/>
  <c r="D34" i="53"/>
  <c r="G34" i="53" s="1"/>
  <c r="H33" i="53"/>
  <c r="D33" i="53"/>
  <c r="G33" i="53" s="1"/>
  <c r="H32" i="53"/>
  <c r="D32" i="53"/>
  <c r="G32" i="53" s="1"/>
  <c r="H29" i="53"/>
  <c r="G29" i="53"/>
  <c r="H26" i="53"/>
  <c r="G26" i="53"/>
  <c r="D26" i="53"/>
  <c r="H25" i="53"/>
  <c r="G25" i="53"/>
  <c r="D25" i="53"/>
  <c r="H22" i="53"/>
  <c r="G22" i="53"/>
  <c r="D22" i="53"/>
  <c r="H21" i="53"/>
  <c r="G21" i="53"/>
  <c r="D21" i="53"/>
  <c r="H20" i="53"/>
  <c r="G20" i="53"/>
  <c r="D20" i="53"/>
  <c r="H17" i="53"/>
  <c r="G17" i="53"/>
  <c r="D17" i="53"/>
  <c r="H14" i="53"/>
  <c r="G14" i="53"/>
  <c r="D14" i="53"/>
  <c r="H13" i="53"/>
  <c r="G13" i="53"/>
  <c r="D13" i="53"/>
  <c r="H10" i="53"/>
  <c r="G10" i="53"/>
  <c r="D10" i="53"/>
  <c r="H9" i="53"/>
  <c r="G9" i="53"/>
  <c r="D9" i="53"/>
  <c r="D144" i="53" s="1"/>
  <c r="D7" i="53"/>
  <c r="Q12" i="55" l="1"/>
  <c r="R12" i="9"/>
  <c r="R13" i="9"/>
  <c r="Q13" i="55"/>
  <c r="Q10" i="55"/>
  <c r="R10" i="9"/>
  <c r="R11" i="9"/>
  <c r="Q11" i="55"/>
  <c r="R11" i="55" s="1"/>
  <c r="Q17" i="55"/>
  <c r="R17" i="55" s="1"/>
  <c r="R17" i="9"/>
  <c r="R18" i="9"/>
  <c r="Q18" i="55"/>
  <c r="R18" i="55" s="1"/>
  <c r="Q21" i="55"/>
  <c r="R21" i="55" s="1"/>
  <c r="R21" i="9"/>
  <c r="R25" i="9"/>
  <c r="R39" i="9" s="1"/>
  <c r="Q25" i="55"/>
  <c r="N24" i="5"/>
  <c r="N33" i="5" s="1"/>
  <c r="M39" i="5"/>
  <c r="M33" i="5"/>
  <c r="Q19" i="55"/>
  <c r="R19" i="55" s="1"/>
  <c r="R19" i="9"/>
  <c r="R14" i="9"/>
  <c r="Q14" i="55"/>
  <c r="R20" i="9"/>
  <c r="Q20" i="55"/>
  <c r="R20" i="55" s="1"/>
  <c r="R16" i="9"/>
  <c r="R35" i="9" s="1"/>
  <c r="Q16" i="55"/>
  <c r="M14" i="5"/>
  <c r="N13" i="5"/>
  <c r="N14" i="5" s="1"/>
  <c r="J33" i="5"/>
  <c r="J39" i="5"/>
  <c r="K24" i="5"/>
  <c r="K33" i="5" s="1"/>
  <c r="R15" i="9"/>
  <c r="Q15" i="55"/>
  <c r="K13" i="5"/>
  <c r="K14" i="5" s="1"/>
  <c r="J14" i="5"/>
  <c r="D142" i="53"/>
  <c r="D143" i="53"/>
  <c r="R34" i="9" l="1"/>
  <c r="N35" i="5"/>
  <c r="N36" i="5" s="1"/>
  <c r="N37" i="5" s="1"/>
  <c r="K35" i="5"/>
  <c r="K36" i="5" s="1"/>
  <c r="K37" i="5" s="1"/>
  <c r="R31" i="9"/>
  <c r="R33" i="9"/>
  <c r="Q34" i="55"/>
  <c r="R34" i="55" s="1"/>
  <c r="R15" i="55"/>
  <c r="Q39" i="55"/>
  <c r="R25" i="55"/>
  <c r="Q32" i="55"/>
  <c r="R32" i="55" s="1"/>
  <c r="R13" i="55"/>
  <c r="R30" i="9"/>
  <c r="R32" i="9"/>
  <c r="Q35" i="55"/>
  <c r="R35" i="55" s="1"/>
  <c r="R16" i="55"/>
  <c r="Q33" i="55"/>
  <c r="R33" i="55" s="1"/>
  <c r="R14" i="55"/>
  <c r="Q30" i="55"/>
  <c r="R10" i="55"/>
  <c r="Q31" i="55"/>
  <c r="R31" i="55" s="1"/>
  <c r="R12" i="55"/>
  <c r="E9" i="24"/>
  <c r="D9" i="24"/>
  <c r="R39" i="55" l="1"/>
  <c r="R30" i="55"/>
  <c r="H9" i="18"/>
  <c r="D142" i="18"/>
  <c r="C118" i="39" l="1"/>
  <c r="D118" i="39"/>
  <c r="E118" i="39"/>
  <c r="F118" i="39"/>
  <c r="G118" i="39"/>
  <c r="H118" i="39"/>
  <c r="I118" i="39"/>
  <c r="J118" i="39"/>
  <c r="K118" i="39"/>
  <c r="L118" i="39"/>
  <c r="M118" i="39"/>
  <c r="C63" i="39"/>
  <c r="D63" i="39"/>
  <c r="E63" i="39"/>
  <c r="F63" i="39"/>
  <c r="G63" i="39"/>
  <c r="H63" i="39"/>
  <c r="I63" i="39"/>
  <c r="J63" i="39"/>
  <c r="K63" i="39"/>
  <c r="L63" i="39"/>
  <c r="M63" i="39"/>
  <c r="B63" i="39"/>
  <c r="B118" i="39"/>
  <c r="C106" i="39"/>
  <c r="D106" i="39"/>
  <c r="E106" i="39"/>
  <c r="F106" i="39"/>
  <c r="G106" i="39"/>
  <c r="H106" i="39"/>
  <c r="I106" i="39"/>
  <c r="J106" i="39"/>
  <c r="K106" i="39"/>
  <c r="L106" i="39"/>
  <c r="M106" i="39"/>
  <c r="B106" i="39"/>
  <c r="C96" i="39"/>
  <c r="D96" i="39"/>
  <c r="E96" i="39"/>
  <c r="F96" i="39"/>
  <c r="G96" i="39"/>
  <c r="H96" i="39"/>
  <c r="I96" i="39"/>
  <c r="J96" i="39"/>
  <c r="K96" i="39"/>
  <c r="L96" i="39"/>
  <c r="M96" i="39"/>
  <c r="B96" i="39"/>
  <c r="C90" i="39"/>
  <c r="D90" i="39"/>
  <c r="E90" i="39"/>
  <c r="F90" i="39"/>
  <c r="G90" i="39"/>
  <c r="H90" i="39"/>
  <c r="I90" i="39"/>
  <c r="J90" i="39"/>
  <c r="K90" i="39"/>
  <c r="L90" i="39"/>
  <c r="M90" i="39"/>
  <c r="B90" i="39"/>
  <c r="C84" i="39"/>
  <c r="D84" i="39"/>
  <c r="E84" i="39"/>
  <c r="F84" i="39"/>
  <c r="G84" i="39"/>
  <c r="H84" i="39"/>
  <c r="I84" i="39"/>
  <c r="J84" i="39"/>
  <c r="K84" i="39"/>
  <c r="L84" i="39"/>
  <c r="M84" i="39"/>
  <c r="B84" i="39"/>
  <c r="C77" i="39"/>
  <c r="D77" i="39"/>
  <c r="E77" i="39"/>
  <c r="F77" i="39"/>
  <c r="G77" i="39"/>
  <c r="H77" i="39"/>
  <c r="I77" i="39"/>
  <c r="J77" i="39"/>
  <c r="K77" i="39"/>
  <c r="L77" i="39"/>
  <c r="M77" i="39"/>
  <c r="B77" i="39"/>
  <c r="C70" i="39"/>
  <c r="D70" i="39"/>
  <c r="E70" i="39"/>
  <c r="F70" i="39"/>
  <c r="G70" i="39"/>
  <c r="H70" i="39"/>
  <c r="I70" i="39"/>
  <c r="J70" i="39"/>
  <c r="K70" i="39"/>
  <c r="L70" i="39"/>
  <c r="M70" i="39"/>
  <c r="B70" i="39"/>
  <c r="C56" i="39"/>
  <c r="D56" i="39"/>
  <c r="E56" i="39"/>
  <c r="F56" i="39"/>
  <c r="G56" i="39"/>
  <c r="H56" i="39"/>
  <c r="I56" i="39"/>
  <c r="J56" i="39"/>
  <c r="K56" i="39"/>
  <c r="L56" i="39"/>
  <c r="M56" i="39"/>
  <c r="B56" i="39"/>
  <c r="C46" i="39"/>
  <c r="D46" i="39"/>
  <c r="E46" i="39"/>
  <c r="F46" i="39"/>
  <c r="G46" i="39"/>
  <c r="H46" i="39"/>
  <c r="I46" i="39"/>
  <c r="J46" i="39"/>
  <c r="K46" i="39"/>
  <c r="L46" i="39"/>
  <c r="M46" i="39"/>
  <c r="B46" i="39"/>
  <c r="C36" i="39"/>
  <c r="D36" i="39"/>
  <c r="E36" i="39"/>
  <c r="F36" i="39"/>
  <c r="G36" i="39"/>
  <c r="H36" i="39"/>
  <c r="I36" i="39"/>
  <c r="J36" i="39"/>
  <c r="K36" i="39"/>
  <c r="L36" i="39"/>
  <c r="M36" i="39"/>
  <c r="B36" i="39"/>
  <c r="C30" i="39"/>
  <c r="D30" i="39"/>
  <c r="E30" i="39"/>
  <c r="F30" i="39"/>
  <c r="G30" i="39"/>
  <c r="H30" i="39"/>
  <c r="I30" i="39"/>
  <c r="J30" i="39"/>
  <c r="K30" i="39"/>
  <c r="L30" i="39"/>
  <c r="M30" i="39"/>
  <c r="B30" i="39"/>
  <c r="C23" i="39"/>
  <c r="D23" i="39"/>
  <c r="E23" i="39"/>
  <c r="F23" i="39"/>
  <c r="G23" i="39"/>
  <c r="H23" i="39"/>
  <c r="I23" i="39"/>
  <c r="J23" i="39"/>
  <c r="K23" i="39"/>
  <c r="L23" i="39"/>
  <c r="M23" i="39"/>
  <c r="B23" i="39"/>
  <c r="C16" i="39"/>
  <c r="D16" i="39"/>
  <c r="E16" i="39"/>
  <c r="F16" i="39"/>
  <c r="G16" i="39"/>
  <c r="H16" i="39"/>
  <c r="I16" i="39"/>
  <c r="J16" i="39"/>
  <c r="K16" i="39"/>
  <c r="L16" i="39"/>
  <c r="M16" i="39"/>
  <c r="B16" i="39"/>
  <c r="C9" i="39"/>
  <c r="D9" i="39"/>
  <c r="E9" i="39"/>
  <c r="F9" i="39"/>
  <c r="G9" i="39"/>
  <c r="H9" i="39"/>
  <c r="I9" i="39"/>
  <c r="J9" i="39"/>
  <c r="K9" i="39"/>
  <c r="L9" i="39"/>
  <c r="M9" i="39"/>
  <c r="B9" i="39"/>
  <c r="B3" i="39" l="1"/>
  <c r="C23" i="22" l="1"/>
  <c r="C23" i="21"/>
  <c r="C23" i="26"/>
  <c r="E10" i="10"/>
  <c r="F10" i="10"/>
  <c r="G10" i="10"/>
  <c r="H10" i="10"/>
  <c r="I10" i="10"/>
  <c r="J10" i="10"/>
  <c r="K10" i="10"/>
  <c r="L10" i="10"/>
  <c r="M10" i="10"/>
  <c r="N10" i="10"/>
  <c r="O10" i="10"/>
  <c r="E11" i="10"/>
  <c r="F11" i="10"/>
  <c r="G11" i="10"/>
  <c r="H11" i="10"/>
  <c r="I11" i="10"/>
  <c r="J11" i="10"/>
  <c r="K11" i="10"/>
  <c r="L11" i="10"/>
  <c r="M11" i="10"/>
  <c r="N11" i="10"/>
  <c r="O11" i="10"/>
  <c r="E12" i="10"/>
  <c r="F12" i="10"/>
  <c r="G12" i="10"/>
  <c r="H12" i="10"/>
  <c r="I12" i="10"/>
  <c r="J12" i="10"/>
  <c r="K12" i="10"/>
  <c r="L12" i="10"/>
  <c r="M12" i="10"/>
  <c r="N12" i="10"/>
  <c r="O12" i="10"/>
  <c r="E13" i="10"/>
  <c r="F13" i="10"/>
  <c r="G13" i="10"/>
  <c r="H13" i="10"/>
  <c r="I13" i="10"/>
  <c r="J13" i="10"/>
  <c r="K13" i="10"/>
  <c r="L13" i="10"/>
  <c r="M13" i="10"/>
  <c r="N13" i="10"/>
  <c r="O13" i="10"/>
  <c r="E14" i="10"/>
  <c r="F14" i="10"/>
  <c r="G14" i="10"/>
  <c r="H14" i="10"/>
  <c r="I14" i="10"/>
  <c r="J14" i="10"/>
  <c r="K14" i="10"/>
  <c r="L14" i="10"/>
  <c r="M14" i="10"/>
  <c r="N14" i="10"/>
  <c r="O14" i="10"/>
  <c r="E15" i="10"/>
  <c r="F15" i="10"/>
  <c r="G15" i="10"/>
  <c r="H15" i="10"/>
  <c r="I15" i="10"/>
  <c r="J15" i="10"/>
  <c r="K15" i="10"/>
  <c r="L15" i="10"/>
  <c r="M15" i="10"/>
  <c r="N15" i="10"/>
  <c r="O15" i="10"/>
  <c r="E16" i="10"/>
  <c r="F16" i="10"/>
  <c r="G16" i="10"/>
  <c r="H16" i="10"/>
  <c r="I16" i="10"/>
  <c r="J16" i="10"/>
  <c r="K16" i="10"/>
  <c r="L16" i="10"/>
  <c r="M16" i="10"/>
  <c r="N16" i="10"/>
  <c r="O16" i="10"/>
  <c r="E17" i="10"/>
  <c r="F17" i="10"/>
  <c r="G17" i="10"/>
  <c r="H17" i="10"/>
  <c r="I17" i="10"/>
  <c r="J17" i="10"/>
  <c r="K17" i="10"/>
  <c r="L17" i="10"/>
  <c r="M17" i="10"/>
  <c r="N17" i="10"/>
  <c r="O17" i="10"/>
  <c r="E18" i="10"/>
  <c r="F18" i="10"/>
  <c r="G18" i="10"/>
  <c r="H18" i="10"/>
  <c r="I18" i="10"/>
  <c r="J18" i="10"/>
  <c r="K18" i="10"/>
  <c r="L18" i="10"/>
  <c r="M18" i="10"/>
  <c r="N18" i="10"/>
  <c r="O18" i="10"/>
  <c r="E19" i="10"/>
  <c r="F19" i="10"/>
  <c r="G19" i="10"/>
  <c r="H19" i="10"/>
  <c r="I19" i="10"/>
  <c r="J19" i="10"/>
  <c r="K19" i="10"/>
  <c r="L19" i="10"/>
  <c r="M19" i="10"/>
  <c r="N19" i="10"/>
  <c r="O19" i="10"/>
  <c r="E20" i="10"/>
  <c r="F20" i="10"/>
  <c r="G20" i="10"/>
  <c r="H20" i="10"/>
  <c r="I20" i="10"/>
  <c r="J20" i="10"/>
  <c r="K20" i="10"/>
  <c r="L20" i="10"/>
  <c r="M20" i="10"/>
  <c r="N20" i="10"/>
  <c r="O20" i="10"/>
  <c r="E21" i="10"/>
  <c r="F21" i="10"/>
  <c r="G21" i="10"/>
  <c r="H21" i="10"/>
  <c r="I21" i="10"/>
  <c r="J21" i="10"/>
  <c r="K21" i="10"/>
  <c r="L21" i="10"/>
  <c r="M21" i="10"/>
  <c r="N21" i="10"/>
  <c r="O21" i="10"/>
  <c r="E22" i="10"/>
  <c r="F22" i="10"/>
  <c r="G22" i="10"/>
  <c r="H22" i="10"/>
  <c r="I22" i="10"/>
  <c r="J22" i="10"/>
  <c r="K22" i="10"/>
  <c r="L22" i="10"/>
  <c r="M22" i="10"/>
  <c r="N22" i="10"/>
  <c r="O22" i="10"/>
  <c r="E23" i="10"/>
  <c r="F23" i="10"/>
  <c r="G23" i="10"/>
  <c r="H23" i="10"/>
  <c r="I23" i="10"/>
  <c r="J23" i="10"/>
  <c r="K23" i="10"/>
  <c r="L23" i="10"/>
  <c r="M23" i="10"/>
  <c r="N23" i="10"/>
  <c r="O23" i="10"/>
  <c r="D19" i="10"/>
  <c r="D20" i="10"/>
  <c r="D21" i="10"/>
  <c r="D22" i="10"/>
  <c r="D23" i="10"/>
  <c r="D18" i="10"/>
  <c r="D16" i="10"/>
  <c r="D17" i="10"/>
  <c r="D15" i="10"/>
  <c r="D14" i="10"/>
  <c r="D13" i="10"/>
  <c r="D12" i="10"/>
  <c r="D11" i="10"/>
  <c r="D10" i="10"/>
  <c r="F249" i="52"/>
  <c r="D249" i="52"/>
  <c r="O248" i="52"/>
  <c r="N248" i="52"/>
  <c r="M248" i="52"/>
  <c r="L248" i="52"/>
  <c r="K248" i="52"/>
  <c r="J248" i="52"/>
  <c r="I248" i="52"/>
  <c r="H248" i="52"/>
  <c r="G248" i="52"/>
  <c r="F248" i="52"/>
  <c r="E248" i="52"/>
  <c r="D248" i="52"/>
  <c r="P248" i="52" s="1"/>
  <c r="O247" i="52"/>
  <c r="N247" i="52"/>
  <c r="M247" i="52"/>
  <c r="L247" i="52"/>
  <c r="K247" i="52"/>
  <c r="J247" i="52"/>
  <c r="I247" i="52"/>
  <c r="H247" i="52"/>
  <c r="G247" i="52"/>
  <c r="F247" i="52"/>
  <c r="E247" i="52"/>
  <c r="D247" i="52"/>
  <c r="P247" i="52" s="1"/>
  <c r="O246" i="52"/>
  <c r="N246" i="52"/>
  <c r="M246" i="52"/>
  <c r="L246" i="52"/>
  <c r="K246" i="52"/>
  <c r="J246" i="52"/>
  <c r="I246" i="52"/>
  <c r="H246" i="52"/>
  <c r="G246" i="52"/>
  <c r="F246" i="52"/>
  <c r="E246" i="52"/>
  <c r="D246" i="52"/>
  <c r="O245" i="52"/>
  <c r="N245" i="52"/>
  <c r="M245" i="52"/>
  <c r="L245" i="52"/>
  <c r="K245" i="52"/>
  <c r="J245" i="52"/>
  <c r="I245" i="52"/>
  <c r="H245" i="52"/>
  <c r="G245" i="52"/>
  <c r="F245" i="52"/>
  <c r="E245" i="52"/>
  <c r="D245" i="52"/>
  <c r="P245" i="52" s="1"/>
  <c r="O244" i="52"/>
  <c r="N244" i="52"/>
  <c r="M244" i="52"/>
  <c r="L244" i="52"/>
  <c r="K244" i="52"/>
  <c r="J244" i="52"/>
  <c r="I244" i="52"/>
  <c r="H244" i="52"/>
  <c r="G244" i="52"/>
  <c r="F244" i="52"/>
  <c r="E244" i="52"/>
  <c r="D244" i="52"/>
  <c r="P244" i="52" s="1"/>
  <c r="O243" i="52"/>
  <c r="N243" i="52"/>
  <c r="M243" i="52"/>
  <c r="L243" i="52"/>
  <c r="K243" i="52"/>
  <c r="J243" i="52"/>
  <c r="I243" i="52"/>
  <c r="H243" i="52"/>
  <c r="G243" i="52"/>
  <c r="F243" i="52"/>
  <c r="E243" i="52"/>
  <c r="D243" i="52"/>
  <c r="O242" i="52"/>
  <c r="N242" i="52"/>
  <c r="M242" i="52"/>
  <c r="L242" i="52"/>
  <c r="K242" i="52"/>
  <c r="J242" i="52"/>
  <c r="I242" i="52"/>
  <c r="H242" i="52"/>
  <c r="G242" i="52"/>
  <c r="F242" i="52"/>
  <c r="E242" i="52"/>
  <c r="D242" i="52"/>
  <c r="O241" i="52"/>
  <c r="N241" i="52"/>
  <c r="M241" i="52"/>
  <c r="L241" i="52"/>
  <c r="K241" i="52"/>
  <c r="J241" i="52"/>
  <c r="I241" i="52"/>
  <c r="H241" i="52"/>
  <c r="G241" i="52"/>
  <c r="F241" i="52"/>
  <c r="E241" i="52"/>
  <c r="D241" i="52"/>
  <c r="O240" i="52"/>
  <c r="O249" i="52" s="1"/>
  <c r="N240" i="52"/>
  <c r="M240" i="52"/>
  <c r="L240" i="52"/>
  <c r="K240" i="52"/>
  <c r="J240" i="52"/>
  <c r="I240" i="52"/>
  <c r="H240" i="52"/>
  <c r="G240" i="52"/>
  <c r="F240" i="52"/>
  <c r="E240" i="52"/>
  <c r="D240" i="52"/>
  <c r="P240" i="52" s="1"/>
  <c r="O239" i="52"/>
  <c r="N239" i="52"/>
  <c r="M239" i="52"/>
  <c r="L239" i="52"/>
  <c r="K239" i="52"/>
  <c r="J239" i="52"/>
  <c r="I239" i="52"/>
  <c r="H239" i="52"/>
  <c r="G239" i="52"/>
  <c r="F239" i="52"/>
  <c r="E239" i="52"/>
  <c r="D239" i="52"/>
  <c r="P239" i="52" s="1"/>
  <c r="O238" i="52"/>
  <c r="N238" i="52"/>
  <c r="M238" i="52"/>
  <c r="L238" i="52"/>
  <c r="K238" i="52"/>
  <c r="J238" i="52"/>
  <c r="I238" i="52"/>
  <c r="H238" i="52"/>
  <c r="G238" i="52"/>
  <c r="F238" i="52"/>
  <c r="E238" i="52"/>
  <c r="D238" i="52"/>
  <c r="O237" i="52"/>
  <c r="N237" i="52"/>
  <c r="M237" i="52"/>
  <c r="L237" i="52"/>
  <c r="K237" i="52"/>
  <c r="J237" i="52"/>
  <c r="J249" i="52" s="1"/>
  <c r="I237" i="52"/>
  <c r="H237" i="52"/>
  <c r="G237" i="52"/>
  <c r="F237" i="52"/>
  <c r="E237" i="52"/>
  <c r="D237" i="52"/>
  <c r="P237" i="52" s="1"/>
  <c r="O236" i="52"/>
  <c r="N236" i="52"/>
  <c r="M236" i="52"/>
  <c r="L236" i="52"/>
  <c r="K236" i="52"/>
  <c r="K249" i="52" s="1"/>
  <c r="J236" i="52"/>
  <c r="I236" i="52"/>
  <c r="H236" i="52"/>
  <c r="G236" i="52"/>
  <c r="F236" i="52"/>
  <c r="E236" i="52"/>
  <c r="D236" i="52"/>
  <c r="P236" i="52" s="1"/>
  <c r="M228" i="52"/>
  <c r="M262" i="52" s="1"/>
  <c r="L228" i="52"/>
  <c r="L262" i="52" s="1"/>
  <c r="I228" i="52"/>
  <c r="I262" i="52" s="1"/>
  <c r="E228" i="52"/>
  <c r="E262" i="52" s="1"/>
  <c r="D228" i="52"/>
  <c r="P221" i="52"/>
  <c r="O217" i="52"/>
  <c r="G217" i="52"/>
  <c r="P210" i="52"/>
  <c r="P203" i="52"/>
  <c r="P199" i="52"/>
  <c r="F195" i="52"/>
  <c r="O194" i="52"/>
  <c r="N194" i="52"/>
  <c r="M194" i="52"/>
  <c r="L194" i="52"/>
  <c r="K194" i="52"/>
  <c r="J194" i="52"/>
  <c r="I194" i="52"/>
  <c r="H194" i="52"/>
  <c r="G194" i="52"/>
  <c r="F194" i="52"/>
  <c r="E194" i="52"/>
  <c r="D194" i="52"/>
  <c r="P194" i="52" s="1"/>
  <c r="O193" i="52"/>
  <c r="O228" i="52" s="1"/>
  <c r="O262" i="52" s="1"/>
  <c r="N193" i="52"/>
  <c r="N228" i="52" s="1"/>
  <c r="N262" i="52" s="1"/>
  <c r="M193" i="52"/>
  <c r="L193" i="52"/>
  <c r="K193" i="52"/>
  <c r="K228" i="52" s="1"/>
  <c r="K262" i="52" s="1"/>
  <c r="J193" i="52"/>
  <c r="J228" i="52" s="1"/>
  <c r="J262" i="52" s="1"/>
  <c r="I193" i="52"/>
  <c r="H193" i="52"/>
  <c r="H228" i="52" s="1"/>
  <c r="H262" i="52" s="1"/>
  <c r="G193" i="52"/>
  <c r="G228" i="52" s="1"/>
  <c r="G262" i="52" s="1"/>
  <c r="F193" i="52"/>
  <c r="F228" i="52" s="1"/>
  <c r="F262" i="52" s="1"/>
  <c r="E193" i="52"/>
  <c r="D193" i="52"/>
  <c r="P193" i="52" s="1"/>
  <c r="O192" i="52"/>
  <c r="N192" i="52"/>
  <c r="M192" i="52"/>
  <c r="L192" i="52"/>
  <c r="K192" i="52"/>
  <c r="J192" i="52"/>
  <c r="I192" i="52"/>
  <c r="H192" i="52"/>
  <c r="G192" i="52"/>
  <c r="F192" i="52"/>
  <c r="E192" i="52"/>
  <c r="D192" i="52"/>
  <c r="P192" i="52" s="1"/>
  <c r="O191" i="52"/>
  <c r="N191" i="52"/>
  <c r="M191" i="52"/>
  <c r="L191" i="52"/>
  <c r="K191" i="52"/>
  <c r="J191" i="52"/>
  <c r="I191" i="52"/>
  <c r="H191" i="52"/>
  <c r="G191" i="52"/>
  <c r="F191" i="52"/>
  <c r="E191" i="52"/>
  <c r="D191" i="52"/>
  <c r="P191" i="52" s="1"/>
  <c r="O190" i="52"/>
  <c r="N190" i="52"/>
  <c r="M190" i="52"/>
  <c r="L190" i="52"/>
  <c r="K190" i="52"/>
  <c r="J190" i="52"/>
  <c r="I190" i="52"/>
  <c r="H190" i="52"/>
  <c r="G190" i="52"/>
  <c r="F190" i="52"/>
  <c r="E190" i="52"/>
  <c r="D190" i="52"/>
  <c r="C190" i="52"/>
  <c r="D278" i="52" s="1"/>
  <c r="B190" i="52"/>
  <c r="O189" i="52"/>
  <c r="N189" i="52"/>
  <c r="N195" i="52" s="1"/>
  <c r="M189" i="52"/>
  <c r="L189" i="52"/>
  <c r="K189" i="52"/>
  <c r="J189" i="52"/>
  <c r="J195" i="52" s="1"/>
  <c r="I189" i="52"/>
  <c r="H189" i="52"/>
  <c r="G189" i="52"/>
  <c r="F189" i="52"/>
  <c r="E189" i="52"/>
  <c r="D189" i="52"/>
  <c r="P189" i="52" s="1"/>
  <c r="C189" i="52"/>
  <c r="B189" i="52"/>
  <c r="O188" i="52"/>
  <c r="N188" i="52"/>
  <c r="M188" i="52"/>
  <c r="L188" i="52"/>
  <c r="K188" i="52"/>
  <c r="J188" i="52"/>
  <c r="I188" i="52"/>
  <c r="H188" i="52"/>
  <c r="G188" i="52"/>
  <c r="F188" i="52"/>
  <c r="E188" i="52"/>
  <c r="D188" i="52"/>
  <c r="C188" i="52"/>
  <c r="B188" i="52"/>
  <c r="O187" i="52"/>
  <c r="N187" i="52"/>
  <c r="M187" i="52"/>
  <c r="L187" i="52"/>
  <c r="K187" i="52"/>
  <c r="J187" i="52"/>
  <c r="I187" i="52"/>
  <c r="H187" i="52"/>
  <c r="G187" i="52"/>
  <c r="F187" i="52"/>
  <c r="E187" i="52"/>
  <c r="D187" i="52"/>
  <c r="P187" i="52" s="1"/>
  <c r="O186" i="52"/>
  <c r="N186" i="52"/>
  <c r="M186" i="52"/>
  <c r="M195" i="52" s="1"/>
  <c r="L186" i="52"/>
  <c r="K186" i="52"/>
  <c r="J186" i="52"/>
  <c r="I186" i="52"/>
  <c r="I195" i="52" s="1"/>
  <c r="H186" i="52"/>
  <c r="G186" i="52"/>
  <c r="F186" i="52"/>
  <c r="E186" i="52"/>
  <c r="E195" i="52" s="1"/>
  <c r="D186" i="52"/>
  <c r="C186" i="52"/>
  <c r="B186" i="52"/>
  <c r="O185" i="52"/>
  <c r="N185" i="52"/>
  <c r="N217" i="52" s="1"/>
  <c r="M185" i="52"/>
  <c r="M217" i="52" s="1"/>
  <c r="L185" i="52"/>
  <c r="K185" i="52"/>
  <c r="K217" i="52" s="1"/>
  <c r="J185" i="52"/>
  <c r="J217" i="52" s="1"/>
  <c r="I185" i="52"/>
  <c r="I217" i="52" s="1"/>
  <c r="H185" i="52"/>
  <c r="G185" i="52"/>
  <c r="F185" i="52"/>
  <c r="F217" i="52" s="1"/>
  <c r="E185" i="52"/>
  <c r="E217" i="52" s="1"/>
  <c r="D185" i="52"/>
  <c r="O150" i="52"/>
  <c r="N150" i="52"/>
  <c r="M150" i="52"/>
  <c r="L150" i="52"/>
  <c r="K150" i="52"/>
  <c r="J150" i="52"/>
  <c r="I150" i="52"/>
  <c r="H150" i="52"/>
  <c r="G150" i="52"/>
  <c r="F150" i="52"/>
  <c r="E150" i="52"/>
  <c r="D150" i="52"/>
  <c r="P149" i="52"/>
  <c r="P148" i="52"/>
  <c r="P147" i="52"/>
  <c r="I142" i="52"/>
  <c r="D142" i="52"/>
  <c r="I135" i="52"/>
  <c r="J130" i="52"/>
  <c r="D126" i="52"/>
  <c r="M125" i="52"/>
  <c r="M141" i="52" s="1"/>
  <c r="L125" i="52"/>
  <c r="L141" i="52" s="1"/>
  <c r="D124" i="52"/>
  <c r="H122" i="52"/>
  <c r="H138" i="52" s="1"/>
  <c r="I117" i="52"/>
  <c r="I133" i="52" s="1"/>
  <c r="L114" i="52"/>
  <c r="P113" i="52"/>
  <c r="P112" i="52"/>
  <c r="O111" i="52"/>
  <c r="O126" i="52" s="1"/>
  <c r="O142" i="52" s="1"/>
  <c r="L110" i="52"/>
  <c r="H110" i="52"/>
  <c r="H125" i="52" s="1"/>
  <c r="H141" i="52" s="1"/>
  <c r="I109" i="52"/>
  <c r="I124" i="52" s="1"/>
  <c r="I140" i="52" s="1"/>
  <c r="H109" i="52"/>
  <c r="H124" i="52" s="1"/>
  <c r="H140" i="52" s="1"/>
  <c r="E109" i="52"/>
  <c r="E124" i="52" s="1"/>
  <c r="E140" i="52" s="1"/>
  <c r="D109" i="52"/>
  <c r="M108" i="52"/>
  <c r="M123" i="52" s="1"/>
  <c r="M139" i="52" s="1"/>
  <c r="L106" i="52"/>
  <c r="L121" i="52" s="1"/>
  <c r="L137" i="52" s="1"/>
  <c r="M105" i="52"/>
  <c r="M120" i="52" s="1"/>
  <c r="M136" i="52" s="1"/>
  <c r="L105" i="52"/>
  <c r="L120" i="52" s="1"/>
  <c r="L136" i="52" s="1"/>
  <c r="I105" i="52"/>
  <c r="I120" i="52" s="1"/>
  <c r="I136" i="52" s="1"/>
  <c r="H105" i="52"/>
  <c r="H120" i="52" s="1"/>
  <c r="H136" i="52" s="1"/>
  <c r="D105" i="52"/>
  <c r="D120" i="52" s="1"/>
  <c r="I104" i="52"/>
  <c r="I119" i="52" s="1"/>
  <c r="E104" i="52"/>
  <c r="E119" i="52" s="1"/>
  <c r="E135" i="52" s="1"/>
  <c r="O102" i="52"/>
  <c r="O117" i="52" s="1"/>
  <c r="O133" i="52" s="1"/>
  <c r="J102" i="52"/>
  <c r="J117" i="52" s="1"/>
  <c r="J133" i="52" s="1"/>
  <c r="D102" i="52"/>
  <c r="M101" i="52"/>
  <c r="M116" i="52" s="1"/>
  <c r="M132" i="52" s="1"/>
  <c r="G101" i="52"/>
  <c r="G116" i="52" s="1"/>
  <c r="G132" i="52" s="1"/>
  <c r="D100" i="52"/>
  <c r="K99" i="52"/>
  <c r="K114" i="52" s="1"/>
  <c r="O82" i="52"/>
  <c r="O106" i="52" s="1"/>
  <c r="O121" i="52" s="1"/>
  <c r="O137" i="52" s="1"/>
  <c r="N82" i="52"/>
  <c r="N103" i="52" s="1"/>
  <c r="N118" i="52" s="1"/>
  <c r="N134" i="52" s="1"/>
  <c r="M82" i="52"/>
  <c r="L82" i="52"/>
  <c r="K82" i="52"/>
  <c r="J82" i="52"/>
  <c r="I82" i="52"/>
  <c r="H82" i="52"/>
  <c r="G82" i="52"/>
  <c r="F82" i="52"/>
  <c r="E82" i="52"/>
  <c r="E108" i="52" s="1"/>
  <c r="E123" i="52" s="1"/>
  <c r="E139" i="52" s="1"/>
  <c r="D82" i="52"/>
  <c r="P81" i="52"/>
  <c r="P80" i="52"/>
  <c r="P82" i="52" s="1"/>
  <c r="O77" i="52"/>
  <c r="N77" i="52"/>
  <c r="M77" i="52"/>
  <c r="M111" i="52" s="1"/>
  <c r="M126" i="52" s="1"/>
  <c r="M142" i="52" s="1"/>
  <c r="L77" i="52"/>
  <c r="L111" i="52" s="1"/>
  <c r="L126" i="52" s="1"/>
  <c r="L142" i="52" s="1"/>
  <c r="K77" i="52"/>
  <c r="J77" i="52"/>
  <c r="J111" i="52" s="1"/>
  <c r="J126" i="52" s="1"/>
  <c r="J142" i="52" s="1"/>
  <c r="I77" i="52"/>
  <c r="I111" i="52" s="1"/>
  <c r="I126" i="52" s="1"/>
  <c r="H77" i="52"/>
  <c r="H111" i="52" s="1"/>
  <c r="H126" i="52" s="1"/>
  <c r="H142" i="52" s="1"/>
  <c r="G77" i="52"/>
  <c r="G111" i="52" s="1"/>
  <c r="G126" i="52" s="1"/>
  <c r="G142" i="52" s="1"/>
  <c r="F77" i="52"/>
  <c r="E77" i="52"/>
  <c r="E111" i="52" s="1"/>
  <c r="E126" i="52" s="1"/>
  <c r="E142" i="52" s="1"/>
  <c r="D77" i="52"/>
  <c r="D111" i="52" s="1"/>
  <c r="O76" i="52"/>
  <c r="O109" i="52" s="1"/>
  <c r="O124" i="52" s="1"/>
  <c r="O140" i="52" s="1"/>
  <c r="N76" i="52"/>
  <c r="M76" i="52"/>
  <c r="M109" i="52" s="1"/>
  <c r="M124" i="52" s="1"/>
  <c r="M140" i="52" s="1"/>
  <c r="L76" i="52"/>
  <c r="L109" i="52" s="1"/>
  <c r="L124" i="52" s="1"/>
  <c r="L140" i="52" s="1"/>
  <c r="K76" i="52"/>
  <c r="K109" i="52" s="1"/>
  <c r="K124" i="52" s="1"/>
  <c r="K140" i="52" s="1"/>
  <c r="J76" i="52"/>
  <c r="I76" i="52"/>
  <c r="H76" i="52"/>
  <c r="G76" i="52"/>
  <c r="G109" i="52" s="1"/>
  <c r="G124" i="52" s="1"/>
  <c r="G140" i="52" s="1"/>
  <c r="F76" i="52"/>
  <c r="E76" i="52"/>
  <c r="D76" i="52"/>
  <c r="P75" i="52"/>
  <c r="O75" i="52"/>
  <c r="O108" i="52" s="1"/>
  <c r="O123" i="52" s="1"/>
  <c r="O139" i="52" s="1"/>
  <c r="N75" i="52"/>
  <c r="M75" i="52"/>
  <c r="L75" i="52"/>
  <c r="L108" i="52" s="1"/>
  <c r="L123" i="52" s="1"/>
  <c r="L139" i="52" s="1"/>
  <c r="K75" i="52"/>
  <c r="J75" i="52"/>
  <c r="I75" i="52"/>
  <c r="I108" i="52" s="1"/>
  <c r="I123" i="52" s="1"/>
  <c r="I139" i="52" s="1"/>
  <c r="H75" i="52"/>
  <c r="H108" i="52" s="1"/>
  <c r="H123" i="52" s="1"/>
  <c r="H139" i="52" s="1"/>
  <c r="G75" i="52"/>
  <c r="F75" i="52"/>
  <c r="E75" i="52"/>
  <c r="D75" i="52"/>
  <c r="D108" i="52" s="1"/>
  <c r="O74" i="52"/>
  <c r="N74" i="52"/>
  <c r="M74" i="52"/>
  <c r="M107" i="52" s="1"/>
  <c r="M122" i="52" s="1"/>
  <c r="M138" i="52" s="1"/>
  <c r="L74" i="52"/>
  <c r="L107" i="52" s="1"/>
  <c r="L122" i="52" s="1"/>
  <c r="L138" i="52" s="1"/>
  <c r="K74" i="52"/>
  <c r="K107" i="52" s="1"/>
  <c r="K122" i="52" s="1"/>
  <c r="K138" i="52" s="1"/>
  <c r="J74" i="52"/>
  <c r="I74" i="52"/>
  <c r="I107" i="52" s="1"/>
  <c r="I122" i="52" s="1"/>
  <c r="I138" i="52" s="1"/>
  <c r="H74" i="52"/>
  <c r="H107" i="52" s="1"/>
  <c r="G74" i="52"/>
  <c r="G107" i="52" s="1"/>
  <c r="G122" i="52" s="1"/>
  <c r="G138" i="52" s="1"/>
  <c r="F74" i="52"/>
  <c r="F107" i="52" s="1"/>
  <c r="F122" i="52" s="1"/>
  <c r="F138" i="52" s="1"/>
  <c r="E74" i="52"/>
  <c r="E107" i="52" s="1"/>
  <c r="E122" i="52" s="1"/>
  <c r="E138" i="52" s="1"/>
  <c r="D74" i="52"/>
  <c r="D107" i="52" s="1"/>
  <c r="O73" i="52"/>
  <c r="N73" i="52"/>
  <c r="N106" i="52" s="1"/>
  <c r="N121" i="52" s="1"/>
  <c r="N137" i="52" s="1"/>
  <c r="M73" i="52"/>
  <c r="M106" i="52" s="1"/>
  <c r="M121" i="52" s="1"/>
  <c r="M137" i="52" s="1"/>
  <c r="L73" i="52"/>
  <c r="K73" i="52"/>
  <c r="J73" i="52"/>
  <c r="J106" i="52" s="1"/>
  <c r="J121" i="52" s="1"/>
  <c r="J137" i="52" s="1"/>
  <c r="I73" i="52"/>
  <c r="I106" i="52" s="1"/>
  <c r="I121" i="52" s="1"/>
  <c r="I137" i="52" s="1"/>
  <c r="H73" i="52"/>
  <c r="H106" i="52" s="1"/>
  <c r="H121" i="52" s="1"/>
  <c r="H137" i="52" s="1"/>
  <c r="G73" i="52"/>
  <c r="F73" i="52"/>
  <c r="F106" i="52" s="1"/>
  <c r="F121" i="52" s="1"/>
  <c r="F137" i="52" s="1"/>
  <c r="E73" i="52"/>
  <c r="E106" i="52" s="1"/>
  <c r="E121" i="52" s="1"/>
  <c r="E137" i="52" s="1"/>
  <c r="D73" i="52"/>
  <c r="D106" i="52" s="1"/>
  <c r="D121" i="52" s="1"/>
  <c r="D137" i="52" s="1"/>
  <c r="O72" i="52"/>
  <c r="O105" i="52" s="1"/>
  <c r="O120" i="52" s="1"/>
  <c r="O136" i="52" s="1"/>
  <c r="N72" i="52"/>
  <c r="N105" i="52" s="1"/>
  <c r="N120" i="52" s="1"/>
  <c r="N136" i="52" s="1"/>
  <c r="M72" i="52"/>
  <c r="L72" i="52"/>
  <c r="K72" i="52"/>
  <c r="K105" i="52" s="1"/>
  <c r="K120" i="52" s="1"/>
  <c r="K136" i="52" s="1"/>
  <c r="J72" i="52"/>
  <c r="J105" i="52" s="1"/>
  <c r="J120" i="52" s="1"/>
  <c r="J136" i="52" s="1"/>
  <c r="I72" i="52"/>
  <c r="H72" i="52"/>
  <c r="G72" i="52"/>
  <c r="G105" i="52" s="1"/>
  <c r="G120" i="52" s="1"/>
  <c r="G136" i="52" s="1"/>
  <c r="F72" i="52"/>
  <c r="F105" i="52" s="1"/>
  <c r="F120" i="52" s="1"/>
  <c r="F136" i="52" s="1"/>
  <c r="E72" i="52"/>
  <c r="E105" i="52" s="1"/>
  <c r="E120" i="52" s="1"/>
  <c r="E136" i="52" s="1"/>
  <c r="D72" i="52"/>
  <c r="O71" i="52"/>
  <c r="O104" i="52" s="1"/>
  <c r="O119" i="52" s="1"/>
  <c r="O135" i="52" s="1"/>
  <c r="N71" i="52"/>
  <c r="N104" i="52" s="1"/>
  <c r="N119" i="52" s="1"/>
  <c r="N135" i="52" s="1"/>
  <c r="M71" i="52"/>
  <c r="M104" i="52" s="1"/>
  <c r="M119" i="52" s="1"/>
  <c r="M135" i="52" s="1"/>
  <c r="L71" i="52"/>
  <c r="L104" i="52" s="1"/>
  <c r="L119" i="52" s="1"/>
  <c r="L135" i="52" s="1"/>
  <c r="K71" i="52"/>
  <c r="K104" i="52" s="1"/>
  <c r="K119" i="52" s="1"/>
  <c r="K135" i="52" s="1"/>
  <c r="J71" i="52"/>
  <c r="I71" i="52"/>
  <c r="H71" i="52"/>
  <c r="H104" i="52" s="1"/>
  <c r="H119" i="52" s="1"/>
  <c r="H135" i="52" s="1"/>
  <c r="G71" i="52"/>
  <c r="G104" i="52" s="1"/>
  <c r="G119" i="52" s="1"/>
  <c r="G135" i="52" s="1"/>
  <c r="F71" i="52"/>
  <c r="E71" i="52"/>
  <c r="D71" i="52"/>
  <c r="D104" i="52" s="1"/>
  <c r="D119" i="52" s="1"/>
  <c r="O70" i="52"/>
  <c r="O103" i="52" s="1"/>
  <c r="O118" i="52" s="1"/>
  <c r="O134" i="52" s="1"/>
  <c r="N70" i="52"/>
  <c r="M70" i="52"/>
  <c r="M103" i="52" s="1"/>
  <c r="M118" i="52" s="1"/>
  <c r="M134" i="52" s="1"/>
  <c r="M162" i="52" s="1"/>
  <c r="L70" i="52"/>
  <c r="L103" i="52" s="1"/>
  <c r="L118" i="52" s="1"/>
  <c r="L134" i="52" s="1"/>
  <c r="K70" i="52"/>
  <c r="K103" i="52" s="1"/>
  <c r="K118" i="52" s="1"/>
  <c r="K134" i="52" s="1"/>
  <c r="J70" i="52"/>
  <c r="I70" i="52"/>
  <c r="I103" i="52" s="1"/>
  <c r="I118" i="52" s="1"/>
  <c r="I134" i="52" s="1"/>
  <c r="H70" i="52"/>
  <c r="H103" i="52" s="1"/>
  <c r="H118" i="52" s="1"/>
  <c r="H134" i="52" s="1"/>
  <c r="G70" i="52"/>
  <c r="F70" i="52"/>
  <c r="E70" i="52"/>
  <c r="E103" i="52" s="1"/>
  <c r="E118" i="52" s="1"/>
  <c r="E134" i="52" s="1"/>
  <c r="D70" i="52"/>
  <c r="D103" i="52" s="1"/>
  <c r="O69" i="52"/>
  <c r="N69" i="52"/>
  <c r="M69" i="52"/>
  <c r="M102" i="52" s="1"/>
  <c r="M117" i="52" s="1"/>
  <c r="M133" i="52" s="1"/>
  <c r="L69" i="52"/>
  <c r="L102" i="52" s="1"/>
  <c r="L117" i="52" s="1"/>
  <c r="L133" i="52" s="1"/>
  <c r="K69" i="52"/>
  <c r="J69" i="52"/>
  <c r="I69" i="52"/>
  <c r="I102" i="52" s="1"/>
  <c r="H69" i="52"/>
  <c r="H102" i="52" s="1"/>
  <c r="H117" i="52" s="1"/>
  <c r="H133" i="52" s="1"/>
  <c r="G69" i="52"/>
  <c r="G102" i="52" s="1"/>
  <c r="G117" i="52" s="1"/>
  <c r="G133" i="52" s="1"/>
  <c r="F69" i="52"/>
  <c r="E69" i="52"/>
  <c r="E102" i="52" s="1"/>
  <c r="E117" i="52" s="1"/>
  <c r="E133" i="52" s="1"/>
  <c r="D69" i="52"/>
  <c r="P69" i="52" s="1"/>
  <c r="O68" i="52"/>
  <c r="O110" i="52" s="1"/>
  <c r="O125" i="52" s="1"/>
  <c r="O141" i="52" s="1"/>
  <c r="N68" i="52"/>
  <c r="M68" i="52"/>
  <c r="M110" i="52" s="1"/>
  <c r="L68" i="52"/>
  <c r="K68" i="52"/>
  <c r="K110" i="52" s="1"/>
  <c r="K125" i="52" s="1"/>
  <c r="K141" i="52" s="1"/>
  <c r="J68" i="52"/>
  <c r="I68" i="52"/>
  <c r="I110" i="52" s="1"/>
  <c r="I125" i="52" s="1"/>
  <c r="I141" i="52" s="1"/>
  <c r="H68" i="52"/>
  <c r="G68" i="52"/>
  <c r="G110" i="52" s="1"/>
  <c r="G125" i="52" s="1"/>
  <c r="G141" i="52" s="1"/>
  <c r="F68" i="52"/>
  <c r="E68" i="52"/>
  <c r="E110" i="52" s="1"/>
  <c r="E125" i="52" s="1"/>
  <c r="E141" i="52" s="1"/>
  <c r="D68" i="52"/>
  <c r="D110" i="52" s="1"/>
  <c r="O67" i="52"/>
  <c r="O101" i="52" s="1"/>
  <c r="O116" i="52" s="1"/>
  <c r="O132" i="52" s="1"/>
  <c r="N67" i="52"/>
  <c r="M67" i="52"/>
  <c r="L67" i="52"/>
  <c r="L101" i="52" s="1"/>
  <c r="L116" i="52" s="1"/>
  <c r="L132" i="52" s="1"/>
  <c r="K67" i="52"/>
  <c r="J67" i="52"/>
  <c r="I67" i="52"/>
  <c r="I101" i="52" s="1"/>
  <c r="I116" i="52" s="1"/>
  <c r="I132" i="52" s="1"/>
  <c r="H67" i="52"/>
  <c r="H101" i="52" s="1"/>
  <c r="H116" i="52" s="1"/>
  <c r="H132" i="52" s="1"/>
  <c r="G67" i="52"/>
  <c r="F67" i="52"/>
  <c r="E67" i="52"/>
  <c r="D67" i="52"/>
  <c r="D101" i="52" s="1"/>
  <c r="O66" i="52"/>
  <c r="N66" i="52"/>
  <c r="M66" i="52"/>
  <c r="M100" i="52" s="1"/>
  <c r="M115" i="52" s="1"/>
  <c r="M131" i="52" s="1"/>
  <c r="L66" i="52"/>
  <c r="L100" i="52" s="1"/>
  <c r="L115" i="52" s="1"/>
  <c r="L131" i="52" s="1"/>
  <c r="K66" i="52"/>
  <c r="J66" i="52"/>
  <c r="I66" i="52"/>
  <c r="I100" i="52" s="1"/>
  <c r="I115" i="52" s="1"/>
  <c r="I131" i="52" s="1"/>
  <c r="H66" i="52"/>
  <c r="H100" i="52" s="1"/>
  <c r="H115" i="52" s="1"/>
  <c r="H131" i="52" s="1"/>
  <c r="G66" i="52"/>
  <c r="F66" i="52"/>
  <c r="F100" i="52" s="1"/>
  <c r="F115" i="52" s="1"/>
  <c r="F131" i="52" s="1"/>
  <c r="E66" i="52"/>
  <c r="E100" i="52" s="1"/>
  <c r="E115" i="52" s="1"/>
  <c r="E131" i="52" s="1"/>
  <c r="D66" i="52"/>
  <c r="P66" i="52" s="1"/>
  <c r="O65" i="52"/>
  <c r="N65" i="52"/>
  <c r="N99" i="52" s="1"/>
  <c r="N114" i="52" s="1"/>
  <c r="M65" i="52"/>
  <c r="M99" i="52" s="1"/>
  <c r="M114" i="52" s="1"/>
  <c r="M130" i="52" s="1"/>
  <c r="L65" i="52"/>
  <c r="L99" i="52" s="1"/>
  <c r="K65" i="52"/>
  <c r="J65" i="52"/>
  <c r="J99" i="52" s="1"/>
  <c r="J114" i="52" s="1"/>
  <c r="I65" i="52"/>
  <c r="I99" i="52" s="1"/>
  <c r="I114" i="52" s="1"/>
  <c r="H65" i="52"/>
  <c r="H99" i="52" s="1"/>
  <c r="H114" i="52" s="1"/>
  <c r="G65" i="52"/>
  <c r="F65" i="52"/>
  <c r="F99" i="52" s="1"/>
  <c r="F114" i="52" s="1"/>
  <c r="E65" i="52"/>
  <c r="E99" i="52" s="1"/>
  <c r="E114" i="52" s="1"/>
  <c r="D65" i="52"/>
  <c r="D99" i="52" s="1"/>
  <c r="O62" i="52"/>
  <c r="N62" i="52"/>
  <c r="M62" i="52"/>
  <c r="L62" i="52"/>
  <c r="K62" i="52"/>
  <c r="J62" i="52"/>
  <c r="I62" i="52"/>
  <c r="H62" i="52"/>
  <c r="G62" i="52"/>
  <c r="F62" i="52"/>
  <c r="E62" i="52"/>
  <c r="D62" i="52"/>
  <c r="P61" i="52"/>
  <c r="P60" i="52"/>
  <c r="P59" i="52"/>
  <c r="P58" i="52"/>
  <c r="P57" i="52"/>
  <c r="P56" i="52"/>
  <c r="P55" i="52"/>
  <c r="P54" i="52"/>
  <c r="P53" i="52"/>
  <c r="P52" i="52"/>
  <c r="P51" i="52"/>
  <c r="P50" i="52"/>
  <c r="P49" i="52"/>
  <c r="P48" i="52"/>
  <c r="P47" i="52"/>
  <c r="P46" i="52"/>
  <c r="P45" i="52"/>
  <c r="P44" i="52"/>
  <c r="P43" i="52"/>
  <c r="P42" i="52"/>
  <c r="P41" i="52"/>
  <c r="P40" i="52"/>
  <c r="P39" i="52"/>
  <c r="P38" i="52"/>
  <c r="P37" i="52"/>
  <c r="P36" i="52"/>
  <c r="O33" i="52"/>
  <c r="N33" i="52"/>
  <c r="M33" i="52"/>
  <c r="L33" i="52"/>
  <c r="K33" i="52"/>
  <c r="J33" i="52"/>
  <c r="I33" i="52"/>
  <c r="H33" i="52"/>
  <c r="G33" i="52"/>
  <c r="F33" i="52"/>
  <c r="E33" i="52"/>
  <c r="D33" i="52"/>
  <c r="P33" i="52" s="1"/>
  <c r="O32" i="52"/>
  <c r="N32" i="52"/>
  <c r="M32" i="52"/>
  <c r="L32" i="52"/>
  <c r="K32" i="52"/>
  <c r="J32" i="52"/>
  <c r="I32" i="52"/>
  <c r="H32" i="52"/>
  <c r="G32" i="52"/>
  <c r="F32" i="52"/>
  <c r="E32" i="52"/>
  <c r="D32" i="52"/>
  <c r="O31" i="52"/>
  <c r="N31" i="52"/>
  <c r="M31" i="52"/>
  <c r="L31" i="52"/>
  <c r="K31" i="52"/>
  <c r="J31" i="52"/>
  <c r="I31" i="52"/>
  <c r="H31" i="52"/>
  <c r="G31" i="52"/>
  <c r="F31" i="52"/>
  <c r="E31" i="52"/>
  <c r="D31" i="52"/>
  <c r="P31" i="52" s="1"/>
  <c r="P30" i="52"/>
  <c r="P29" i="52"/>
  <c r="P28" i="52"/>
  <c r="P27" i="52"/>
  <c r="P26" i="52"/>
  <c r="P25" i="52"/>
  <c r="P24" i="52"/>
  <c r="P23" i="52"/>
  <c r="P22" i="52"/>
  <c r="P21" i="52"/>
  <c r="P20" i="52"/>
  <c r="P19" i="52"/>
  <c r="P18" i="52"/>
  <c r="P17" i="52"/>
  <c r="P16" i="52"/>
  <c r="P15" i="52"/>
  <c r="P14" i="52"/>
  <c r="P13" i="52"/>
  <c r="P12" i="52"/>
  <c r="P11" i="52"/>
  <c r="P10" i="52"/>
  <c r="P9" i="52"/>
  <c r="P8" i="52"/>
  <c r="M161" i="52" l="1"/>
  <c r="M160" i="52"/>
  <c r="M159" i="52"/>
  <c r="O162" i="52"/>
  <c r="O158" i="52"/>
  <c r="O156" i="52"/>
  <c r="O165" i="52"/>
  <c r="O157" i="52"/>
  <c r="I165" i="52"/>
  <c r="I157" i="52"/>
  <c r="I156" i="52"/>
  <c r="I162" i="52"/>
  <c r="I158" i="52"/>
  <c r="M207" i="52"/>
  <c r="M179" i="52"/>
  <c r="M279" i="52" s="1"/>
  <c r="H161" i="52"/>
  <c r="H160" i="52"/>
  <c r="H159" i="52"/>
  <c r="F130" i="52"/>
  <c r="E162" i="52"/>
  <c r="G160" i="52"/>
  <c r="K130" i="52"/>
  <c r="L161" i="52"/>
  <c r="L160" i="52"/>
  <c r="L159" i="52"/>
  <c r="M164" i="52"/>
  <c r="M163" i="52"/>
  <c r="M143" i="52"/>
  <c r="M144" i="52" s="1"/>
  <c r="M154" i="52"/>
  <c r="M171" i="52" s="1"/>
  <c r="D116" i="52"/>
  <c r="P67" i="52"/>
  <c r="G165" i="52"/>
  <c r="E161" i="52"/>
  <c r="E160" i="52"/>
  <c r="E159" i="52"/>
  <c r="D123" i="52"/>
  <c r="D136" i="52"/>
  <c r="P120" i="52"/>
  <c r="D140" i="52"/>
  <c r="P140" i="52" s="1"/>
  <c r="J155" i="52"/>
  <c r="J172" i="52" s="1"/>
  <c r="M153" i="52"/>
  <c r="D195" i="52"/>
  <c r="D217" i="52"/>
  <c r="H195" i="52"/>
  <c r="H217" i="52"/>
  <c r="L195" i="52"/>
  <c r="L217" i="52"/>
  <c r="P185" i="52"/>
  <c r="N130" i="52"/>
  <c r="L162" i="52"/>
  <c r="L158" i="52"/>
  <c r="L165" i="52"/>
  <c r="L157" i="52"/>
  <c r="L156" i="52"/>
  <c r="F160" i="52"/>
  <c r="F159" i="52"/>
  <c r="F161" i="52"/>
  <c r="N159" i="52"/>
  <c r="N161" i="52"/>
  <c r="P76" i="52"/>
  <c r="F103" i="52"/>
  <c r="F118" i="52" s="1"/>
  <c r="F134" i="52" s="1"/>
  <c r="F104" i="52"/>
  <c r="F119" i="52" s="1"/>
  <c r="F135" i="52" s="1"/>
  <c r="J100" i="52"/>
  <c r="J115" i="52" s="1"/>
  <c r="J131" i="52" s="1"/>
  <c r="J143" i="52" s="1"/>
  <c r="J144" i="52" s="1"/>
  <c r="J107" i="52"/>
  <c r="J122" i="52" s="1"/>
  <c r="J138" i="52" s="1"/>
  <c r="J160" i="52" s="1"/>
  <c r="D115" i="52"/>
  <c r="M155" i="52"/>
  <c r="M172" i="52" s="1"/>
  <c r="J250" i="52"/>
  <c r="P71" i="52"/>
  <c r="O161" i="52"/>
  <c r="J108" i="52"/>
  <c r="J123" i="52" s="1"/>
  <c r="J139" i="52" s="1"/>
  <c r="N108" i="52"/>
  <c r="N123" i="52" s="1"/>
  <c r="N139" i="52" s="1"/>
  <c r="G106" i="52"/>
  <c r="G121" i="52" s="1"/>
  <c r="G137" i="52" s="1"/>
  <c r="G159" i="52" s="1"/>
  <c r="G99" i="52"/>
  <c r="G114" i="52" s="1"/>
  <c r="K111" i="52"/>
  <c r="K126" i="52" s="1"/>
  <c r="K142" i="52" s="1"/>
  <c r="K102" i="52"/>
  <c r="K117" i="52" s="1"/>
  <c r="K133" i="52" s="1"/>
  <c r="G103" i="52"/>
  <c r="G118" i="52" s="1"/>
  <c r="G134" i="52" s="1"/>
  <c r="G157" i="52" s="1"/>
  <c r="J104" i="52"/>
  <c r="J119" i="52" s="1"/>
  <c r="J135" i="52" s="1"/>
  <c r="J162" i="52" s="1"/>
  <c r="I161" i="52"/>
  <c r="I160" i="52"/>
  <c r="I159" i="52"/>
  <c r="K106" i="52"/>
  <c r="K121" i="52" s="1"/>
  <c r="K137" i="52" s="1"/>
  <c r="K159" i="52" s="1"/>
  <c r="N107" i="52"/>
  <c r="N122" i="52" s="1"/>
  <c r="N138" i="52" s="1"/>
  <c r="N160" i="52" s="1"/>
  <c r="M127" i="52"/>
  <c r="O250" i="52"/>
  <c r="I130" i="52"/>
  <c r="I127" i="52"/>
  <c r="P32" i="52"/>
  <c r="J127" i="52"/>
  <c r="D125" i="52"/>
  <c r="H162" i="52"/>
  <c r="H158" i="52"/>
  <c r="H165" i="52"/>
  <c r="H157" i="52"/>
  <c r="H156" i="52"/>
  <c r="P103" i="52"/>
  <c r="D118" i="52"/>
  <c r="P70" i="52"/>
  <c r="J159" i="52"/>
  <c r="E165" i="52"/>
  <c r="E157" i="52"/>
  <c r="E156" i="52"/>
  <c r="E158" i="52"/>
  <c r="M165" i="52"/>
  <c r="M157" i="52"/>
  <c r="M156" i="52"/>
  <c r="M158" i="52"/>
  <c r="P62" i="52"/>
  <c r="H127" i="52"/>
  <c r="H130" i="52"/>
  <c r="K101" i="52"/>
  <c r="K116" i="52" s="1"/>
  <c r="K132" i="52" s="1"/>
  <c r="F110" i="52"/>
  <c r="F125" i="52" s="1"/>
  <c r="F141" i="52" s="1"/>
  <c r="J110" i="52"/>
  <c r="J125" i="52" s="1"/>
  <c r="J141" i="52" s="1"/>
  <c r="N110" i="52"/>
  <c r="N125" i="52" s="1"/>
  <c r="N141" i="52" s="1"/>
  <c r="F102" i="52"/>
  <c r="F117" i="52" s="1"/>
  <c r="F133" i="52" s="1"/>
  <c r="N102" i="52"/>
  <c r="N117" i="52" s="1"/>
  <c r="N133" i="52" s="1"/>
  <c r="J103" i="52"/>
  <c r="J118" i="52" s="1"/>
  <c r="J134" i="52" s="1"/>
  <c r="J156" i="52" s="1"/>
  <c r="P72" i="52"/>
  <c r="P107" i="52"/>
  <c r="D122" i="52"/>
  <c r="P74" i="52"/>
  <c r="G108" i="52"/>
  <c r="G123" i="52" s="1"/>
  <c r="G139" i="52" s="1"/>
  <c r="K108" i="52"/>
  <c r="K123" i="52" s="1"/>
  <c r="K139" i="52" s="1"/>
  <c r="F109" i="52"/>
  <c r="F124" i="52" s="1"/>
  <c r="F140" i="52" s="1"/>
  <c r="J109" i="52"/>
  <c r="J124" i="52" s="1"/>
  <c r="J140" i="52" s="1"/>
  <c r="N109" i="52"/>
  <c r="N124" i="52" s="1"/>
  <c r="N140" i="52" s="1"/>
  <c r="F111" i="52"/>
  <c r="F126" i="52" s="1"/>
  <c r="F142" i="52" s="1"/>
  <c r="P142" i="52" s="1"/>
  <c r="N111" i="52"/>
  <c r="N126" i="52" s="1"/>
  <c r="N142" i="52" s="1"/>
  <c r="N100" i="52"/>
  <c r="N115" i="52" s="1"/>
  <c r="N131" i="52" s="1"/>
  <c r="P104" i="52"/>
  <c r="F108" i="52"/>
  <c r="F123" i="52" s="1"/>
  <c r="F139" i="52" s="1"/>
  <c r="D117" i="52"/>
  <c r="E130" i="52"/>
  <c r="D135" i="52"/>
  <c r="P150" i="52"/>
  <c r="D250" i="52"/>
  <c r="L127" i="52"/>
  <c r="L130" i="52"/>
  <c r="D262" i="52"/>
  <c r="P262" i="52" s="1"/>
  <c r="P228" i="52"/>
  <c r="K250" i="52"/>
  <c r="F250" i="52"/>
  <c r="P68" i="52"/>
  <c r="P105" i="52"/>
  <c r="P188" i="52"/>
  <c r="P190" i="52"/>
  <c r="H249" i="52"/>
  <c r="H250" i="52" s="1"/>
  <c r="L249" i="52"/>
  <c r="L250" i="52" s="1"/>
  <c r="P238" i="52"/>
  <c r="O282" i="52"/>
  <c r="O107" i="52"/>
  <c r="O122" i="52" s="1"/>
  <c r="O138" i="52" s="1"/>
  <c r="O160" i="52" s="1"/>
  <c r="P99" i="52"/>
  <c r="P65" i="52"/>
  <c r="G100" i="52"/>
  <c r="G115" i="52" s="1"/>
  <c r="G131" i="52" s="1"/>
  <c r="K100" i="52"/>
  <c r="K115" i="52" s="1"/>
  <c r="K131" i="52" s="1"/>
  <c r="O100" i="52"/>
  <c r="O115" i="52" s="1"/>
  <c r="O131" i="52" s="1"/>
  <c r="F101" i="52"/>
  <c r="F116" i="52" s="1"/>
  <c r="F132" i="52" s="1"/>
  <c r="J101" i="52"/>
  <c r="J116" i="52" s="1"/>
  <c r="J132" i="52" s="1"/>
  <c r="N101" i="52"/>
  <c r="N116" i="52" s="1"/>
  <c r="N132" i="52" s="1"/>
  <c r="P73" i="52"/>
  <c r="P77" i="52"/>
  <c r="O99" i="52"/>
  <c r="O114" i="52" s="1"/>
  <c r="E101" i="52"/>
  <c r="E116" i="52" s="1"/>
  <c r="E132" i="52" s="1"/>
  <c r="D114" i="52"/>
  <c r="P186" i="52"/>
  <c r="N282" i="52"/>
  <c r="J282" i="52"/>
  <c r="F282" i="52"/>
  <c r="N278" i="52"/>
  <c r="J278" i="52"/>
  <c r="F278" i="52"/>
  <c r="O277" i="52"/>
  <c r="K277" i="52"/>
  <c r="G277" i="52"/>
  <c r="M282" i="52"/>
  <c r="I282" i="52"/>
  <c r="E282" i="52"/>
  <c r="M278" i="52"/>
  <c r="I278" i="52"/>
  <c r="E278" i="52"/>
  <c r="P278" i="52" s="1"/>
  <c r="N277" i="52"/>
  <c r="J277" i="52"/>
  <c r="F277" i="52"/>
  <c r="L282" i="52"/>
  <c r="D282" i="52"/>
  <c r="H278" i="52"/>
  <c r="M277" i="52"/>
  <c r="E277" i="52"/>
  <c r="K282" i="52"/>
  <c r="O278" i="52"/>
  <c r="G278" i="52"/>
  <c r="L277" i="52"/>
  <c r="D277" i="52"/>
  <c r="P277" i="52" s="1"/>
  <c r="N249" i="52"/>
  <c r="N250" i="52" s="1"/>
  <c r="P241" i="52"/>
  <c r="P243" i="52"/>
  <c r="H277" i="52"/>
  <c r="K278" i="52"/>
  <c r="G282" i="52"/>
  <c r="G195" i="52"/>
  <c r="K195" i="52"/>
  <c r="O195" i="52"/>
  <c r="G249" i="52"/>
  <c r="G250" i="52" s="1"/>
  <c r="I277" i="52"/>
  <c r="L278" i="52"/>
  <c r="H282" i="52"/>
  <c r="P246" i="52"/>
  <c r="E249" i="52"/>
  <c r="E250" i="52" s="1"/>
  <c r="I249" i="52"/>
  <c r="I250" i="52" s="1"/>
  <c r="M249" i="52"/>
  <c r="M250" i="52" s="1"/>
  <c r="P242" i="52"/>
  <c r="J208" i="52" l="1"/>
  <c r="J173" i="52"/>
  <c r="G209" i="52"/>
  <c r="G174" i="52"/>
  <c r="G204" i="52"/>
  <c r="G176" i="52"/>
  <c r="J205" i="52"/>
  <c r="J177" i="52"/>
  <c r="O205" i="52"/>
  <c r="O177" i="52"/>
  <c r="N177" i="52"/>
  <c r="N205" i="52"/>
  <c r="K176" i="52"/>
  <c r="K204" i="52"/>
  <c r="J207" i="52"/>
  <c r="J179" i="52"/>
  <c r="E211" i="52"/>
  <c r="E175" i="52"/>
  <c r="H211" i="52"/>
  <c r="H175" i="52"/>
  <c r="I164" i="52"/>
  <c r="I154" i="52"/>
  <c r="I171" i="52" s="1"/>
  <c r="I143" i="52"/>
  <c r="I144" i="52" s="1"/>
  <c r="I163" i="52"/>
  <c r="I155" i="52"/>
  <c r="I172" i="52" s="1"/>
  <c r="I153" i="52"/>
  <c r="O206" i="52"/>
  <c r="O178" i="52"/>
  <c r="L209" i="52"/>
  <c r="L174" i="52"/>
  <c r="J158" i="52"/>
  <c r="G182" i="52"/>
  <c r="G212" i="52"/>
  <c r="D132" i="52"/>
  <c r="P132" i="52" s="1"/>
  <c r="P116" i="52"/>
  <c r="I207" i="52"/>
  <c r="I179" i="52"/>
  <c r="J161" i="52"/>
  <c r="F158" i="52"/>
  <c r="F162" i="52"/>
  <c r="F156" i="52"/>
  <c r="F165" i="52"/>
  <c r="F157" i="52"/>
  <c r="K161" i="52"/>
  <c r="E208" i="52"/>
  <c r="E173" i="52"/>
  <c r="H208" i="52"/>
  <c r="H173" i="52"/>
  <c r="P126" i="52"/>
  <c r="I204" i="52"/>
  <c r="I176" i="52"/>
  <c r="O159" i="52"/>
  <c r="L212" i="52"/>
  <c r="L182" i="52"/>
  <c r="J163" i="52"/>
  <c r="J157" i="52"/>
  <c r="P108" i="52"/>
  <c r="M202" i="52"/>
  <c r="M181" i="52"/>
  <c r="L206" i="52"/>
  <c r="L178" i="52"/>
  <c r="G161" i="52"/>
  <c r="I208" i="52"/>
  <c r="I173" i="52"/>
  <c r="O212" i="52"/>
  <c r="O182" i="52"/>
  <c r="M204" i="52"/>
  <c r="M176" i="52"/>
  <c r="P249" i="52"/>
  <c r="D133" i="52"/>
  <c r="P117" i="52"/>
  <c r="H153" i="52"/>
  <c r="H164" i="52"/>
  <c r="H154" i="52"/>
  <c r="H171" i="52" s="1"/>
  <c r="H143" i="52"/>
  <c r="H144" i="52" s="1"/>
  <c r="H163" i="52"/>
  <c r="H155" i="52"/>
  <c r="H172" i="52" s="1"/>
  <c r="K160" i="52"/>
  <c r="M209" i="52"/>
  <c r="M174" i="52"/>
  <c r="E209" i="52"/>
  <c r="E174" i="52"/>
  <c r="H209" i="52"/>
  <c r="H174" i="52"/>
  <c r="D141" i="52"/>
  <c r="P141" i="52" s="1"/>
  <c r="P125" i="52"/>
  <c r="P109" i="52"/>
  <c r="I205" i="52"/>
  <c r="I177" i="52"/>
  <c r="K162" i="52"/>
  <c r="K158" i="52"/>
  <c r="K165" i="52"/>
  <c r="K157" i="52"/>
  <c r="K156" i="52"/>
  <c r="P100" i="52"/>
  <c r="N204" i="52"/>
  <c r="N176" i="52"/>
  <c r="F177" i="52"/>
  <c r="F205" i="52"/>
  <c r="L175" i="52"/>
  <c r="L211" i="52"/>
  <c r="M225" i="52"/>
  <c r="M259" i="52" s="1"/>
  <c r="P217" i="52"/>
  <c r="J153" i="52"/>
  <c r="J164" i="52"/>
  <c r="J165" i="52"/>
  <c r="P123" i="52"/>
  <c r="D139" i="52"/>
  <c r="P139" i="52" s="1"/>
  <c r="G156" i="52"/>
  <c r="G162" i="52"/>
  <c r="E127" i="52"/>
  <c r="K127" i="52"/>
  <c r="H204" i="52"/>
  <c r="H176" i="52"/>
  <c r="I174" i="52"/>
  <c r="I209" i="52"/>
  <c r="O173" i="52"/>
  <c r="O208" i="52"/>
  <c r="M205" i="52"/>
  <c r="M177" i="52"/>
  <c r="P282" i="52"/>
  <c r="L153" i="52"/>
  <c r="L155" i="52"/>
  <c r="L172" i="52" s="1"/>
  <c r="L163" i="52"/>
  <c r="L164" i="52"/>
  <c r="L154" i="52"/>
  <c r="L171" i="52" s="1"/>
  <c r="L143" i="52"/>
  <c r="L144" i="52" s="1"/>
  <c r="E164" i="52"/>
  <c r="E163" i="52"/>
  <c r="E143" i="52"/>
  <c r="E144" i="52" s="1"/>
  <c r="E155" i="52"/>
  <c r="E172" i="52" s="1"/>
  <c r="E153" i="52"/>
  <c r="E154" i="52"/>
  <c r="E171" i="52" s="1"/>
  <c r="N156" i="52"/>
  <c r="N158" i="52"/>
  <c r="N162" i="52"/>
  <c r="N157" i="52"/>
  <c r="N165" i="52"/>
  <c r="M211" i="52"/>
  <c r="M175" i="52"/>
  <c r="J204" i="52"/>
  <c r="J176" i="52"/>
  <c r="G130" i="52"/>
  <c r="G127" i="52"/>
  <c r="F206" i="52"/>
  <c r="F178" i="52"/>
  <c r="N127" i="52"/>
  <c r="M200" i="52"/>
  <c r="M170" i="52"/>
  <c r="M166" i="52"/>
  <c r="M167" i="52" s="1"/>
  <c r="E205" i="52"/>
  <c r="E177" i="52"/>
  <c r="M201" i="52"/>
  <c r="M180" i="52"/>
  <c r="M219" i="52" s="1"/>
  <c r="M254" i="52" s="1"/>
  <c r="L205" i="52"/>
  <c r="L177" i="52"/>
  <c r="G205" i="52"/>
  <c r="G177" i="52"/>
  <c r="F164" i="52"/>
  <c r="F163" i="52"/>
  <c r="F155" i="52"/>
  <c r="F172" i="52" s="1"/>
  <c r="F143" i="52"/>
  <c r="F144" i="52" s="1"/>
  <c r="F153" i="52"/>
  <c r="F154" i="52"/>
  <c r="F171" i="52" s="1"/>
  <c r="H206" i="52"/>
  <c r="H178" i="52"/>
  <c r="O209" i="52"/>
  <c r="O174" i="52"/>
  <c r="O207" i="52"/>
  <c r="O179" i="52"/>
  <c r="O130" i="52"/>
  <c r="O127" i="52"/>
  <c r="P121" i="52"/>
  <c r="P102" i="52"/>
  <c r="P137" i="52"/>
  <c r="M208" i="52"/>
  <c r="M173" i="52"/>
  <c r="H207" i="52"/>
  <c r="H179" i="52"/>
  <c r="M220" i="52"/>
  <c r="M255" i="52" s="1"/>
  <c r="M276" i="52"/>
  <c r="N206" i="52"/>
  <c r="N178" i="52"/>
  <c r="F204" i="52"/>
  <c r="F176" i="52"/>
  <c r="N164" i="52"/>
  <c r="N163" i="52"/>
  <c r="N155" i="52"/>
  <c r="N172" i="52" s="1"/>
  <c r="N143" i="52"/>
  <c r="N144" i="52" s="1"/>
  <c r="N154" i="52"/>
  <c r="N171" i="52" s="1"/>
  <c r="N153" i="52"/>
  <c r="P106" i="52"/>
  <c r="E206" i="52"/>
  <c r="E178" i="52"/>
  <c r="G158" i="52"/>
  <c r="P101" i="52"/>
  <c r="F127" i="52"/>
  <c r="D127" i="52"/>
  <c r="P127" i="52" s="1"/>
  <c r="D130" i="52"/>
  <c r="P114" i="52"/>
  <c r="P111" i="52"/>
  <c r="P250" i="52"/>
  <c r="P135" i="52"/>
  <c r="D138" i="52"/>
  <c r="P138" i="52" s="1"/>
  <c r="P122" i="52"/>
  <c r="M212" i="52"/>
  <c r="M182" i="52"/>
  <c r="E212" i="52"/>
  <c r="E182" i="52"/>
  <c r="P118" i="52"/>
  <c r="D134" i="52"/>
  <c r="P134" i="52" s="1"/>
  <c r="H212" i="52"/>
  <c r="H182" i="52"/>
  <c r="P110" i="52"/>
  <c r="J154" i="52"/>
  <c r="J171" i="52" s="1"/>
  <c r="I178" i="52"/>
  <c r="I206" i="52"/>
  <c r="P119" i="52"/>
  <c r="P115" i="52"/>
  <c r="D131" i="52"/>
  <c r="P131" i="52" s="1"/>
  <c r="L208" i="52"/>
  <c r="L173" i="52"/>
  <c r="L179" i="52"/>
  <c r="L207" i="52"/>
  <c r="P195" i="52"/>
  <c r="P124" i="52"/>
  <c r="D161" i="52"/>
  <c r="D160" i="52"/>
  <c r="P136" i="52"/>
  <c r="D159" i="52"/>
  <c r="E204" i="52"/>
  <c r="E176" i="52"/>
  <c r="L204" i="52"/>
  <c r="L176" i="52"/>
  <c r="K163" i="52"/>
  <c r="K154" i="52"/>
  <c r="K171" i="52" s="1"/>
  <c r="K153" i="52"/>
  <c r="K143" i="52"/>
  <c r="K144" i="52" s="1"/>
  <c r="K155" i="52"/>
  <c r="K172" i="52" s="1"/>
  <c r="K164" i="52"/>
  <c r="E207" i="52"/>
  <c r="E179" i="52"/>
  <c r="H205" i="52"/>
  <c r="H177" i="52"/>
  <c r="I211" i="52"/>
  <c r="I175" i="52"/>
  <c r="I212" i="52"/>
  <c r="I182" i="52"/>
  <c r="O211" i="52"/>
  <c r="O175" i="52"/>
  <c r="M206" i="52"/>
  <c r="M178" i="52"/>
  <c r="K201" i="52" l="1"/>
  <c r="K180" i="52"/>
  <c r="K219" i="52" s="1"/>
  <c r="K254" i="52" s="1"/>
  <c r="D206" i="52"/>
  <c r="P161" i="52"/>
  <c r="D178" i="52"/>
  <c r="L279" i="52"/>
  <c r="L225" i="52"/>
  <c r="L259" i="52" s="1"/>
  <c r="M287" i="52"/>
  <c r="M230" i="52"/>
  <c r="M264" i="52" s="1"/>
  <c r="D153" i="52"/>
  <c r="D154" i="52"/>
  <c r="D163" i="52"/>
  <c r="D143" i="52"/>
  <c r="D164" i="52"/>
  <c r="D155" i="52"/>
  <c r="P130" i="52"/>
  <c r="N180" i="52"/>
  <c r="N219" i="52" s="1"/>
  <c r="N254" i="52" s="1"/>
  <c r="N201" i="52"/>
  <c r="E201" i="52"/>
  <c r="E180" i="52"/>
  <c r="E219" i="52" s="1"/>
  <c r="E254" i="52" s="1"/>
  <c r="O280" i="52"/>
  <c r="O226" i="52"/>
  <c r="O260" i="52" s="1"/>
  <c r="J182" i="52"/>
  <c r="J212" i="52"/>
  <c r="F285" i="52"/>
  <c r="F223" i="52"/>
  <c r="F257" i="52" s="1"/>
  <c r="K208" i="52"/>
  <c r="K173" i="52"/>
  <c r="K207" i="52"/>
  <c r="K179" i="52"/>
  <c r="E281" i="52"/>
  <c r="E227" i="52"/>
  <c r="E261" i="52" s="1"/>
  <c r="K205" i="52"/>
  <c r="K177" i="52"/>
  <c r="G206" i="52"/>
  <c r="G178" i="52"/>
  <c r="F182" i="52"/>
  <c r="F212" i="52"/>
  <c r="O224" i="52"/>
  <c r="O258" i="52" s="1"/>
  <c r="O286" i="52"/>
  <c r="J285" i="52"/>
  <c r="J223" i="52"/>
  <c r="J257" i="52" s="1"/>
  <c r="E279" i="52"/>
  <c r="E225" i="52"/>
  <c r="E259" i="52" s="1"/>
  <c r="O279" i="52"/>
  <c r="O225" i="52"/>
  <c r="O259" i="52" s="1"/>
  <c r="H286" i="52"/>
  <c r="H224" i="52"/>
  <c r="H258" i="52" s="1"/>
  <c r="G285" i="52"/>
  <c r="G223" i="52"/>
  <c r="G257" i="52" s="1"/>
  <c r="M283" i="52"/>
  <c r="M229" i="52"/>
  <c r="M263" i="52" s="1"/>
  <c r="E200" i="52"/>
  <c r="E170" i="52"/>
  <c r="E166" i="52"/>
  <c r="E167" i="52" s="1"/>
  <c r="E202" i="52"/>
  <c r="E181" i="52"/>
  <c r="M285" i="52"/>
  <c r="M223" i="52"/>
  <c r="M257" i="52" s="1"/>
  <c r="J202" i="52"/>
  <c r="J181" i="52"/>
  <c r="K209" i="52"/>
  <c r="K174" i="52"/>
  <c r="I223" i="52"/>
  <c r="I257" i="52" s="1"/>
  <c r="I285" i="52"/>
  <c r="H202" i="52"/>
  <c r="H181" i="52"/>
  <c r="H220" i="52" s="1"/>
  <c r="H255" i="52" s="1"/>
  <c r="L224" i="52"/>
  <c r="L258" i="52" s="1"/>
  <c r="L286" i="52"/>
  <c r="F173" i="52"/>
  <c r="F208" i="52"/>
  <c r="I279" i="52"/>
  <c r="I225" i="52"/>
  <c r="I259" i="52" s="1"/>
  <c r="K166" i="52"/>
  <c r="K167" i="52" s="1"/>
  <c r="K170" i="52"/>
  <c r="K200" i="52"/>
  <c r="H287" i="52"/>
  <c r="H230" i="52"/>
  <c r="H264" i="52" s="1"/>
  <c r="E287" i="52"/>
  <c r="E230" i="52"/>
  <c r="E264" i="52" s="1"/>
  <c r="F222" i="52"/>
  <c r="F284" i="52"/>
  <c r="M226" i="52"/>
  <c r="M260" i="52" s="1"/>
  <c r="M269" i="52" s="1"/>
  <c r="M280" i="52"/>
  <c r="M274" i="52"/>
  <c r="M218" i="52"/>
  <c r="M183" i="52"/>
  <c r="M196" i="52" s="1"/>
  <c r="M288" i="52" s="1"/>
  <c r="G163" i="52"/>
  <c r="G154" i="52"/>
  <c r="G171" i="52" s="1"/>
  <c r="G155" i="52"/>
  <c r="G172" i="52" s="1"/>
  <c r="G164" i="52"/>
  <c r="G153" i="52"/>
  <c r="G143" i="52"/>
  <c r="G144" i="52" s="1"/>
  <c r="N211" i="52"/>
  <c r="N175" i="52"/>
  <c r="E220" i="52"/>
  <c r="E255" i="52" s="1"/>
  <c r="E276" i="52"/>
  <c r="I281" i="52"/>
  <c r="I227" i="52"/>
  <c r="I261" i="52" s="1"/>
  <c r="J170" i="52"/>
  <c r="J200" i="52"/>
  <c r="J166" i="52"/>
  <c r="J167" i="52" s="1"/>
  <c r="L283" i="52"/>
  <c r="L229" i="52"/>
  <c r="L263" i="52" s="1"/>
  <c r="K212" i="52"/>
  <c r="K182" i="52"/>
  <c r="H227" i="52"/>
  <c r="H261" i="52" s="1"/>
  <c r="H281" i="52"/>
  <c r="M227" i="52"/>
  <c r="M261" i="52" s="1"/>
  <c r="M281" i="52"/>
  <c r="H201" i="52"/>
  <c r="H180" i="52"/>
  <c r="H219" i="52" s="1"/>
  <c r="H254" i="52" s="1"/>
  <c r="H200" i="52"/>
  <c r="H166" i="52"/>
  <c r="H167" i="52" s="1"/>
  <c r="H170" i="52"/>
  <c r="M222" i="52"/>
  <c r="M284" i="52"/>
  <c r="I226" i="52"/>
  <c r="I260" i="52" s="1"/>
  <c r="I280" i="52"/>
  <c r="J174" i="52"/>
  <c r="J209" i="52"/>
  <c r="O204" i="52"/>
  <c r="O176" i="52"/>
  <c r="H280" i="52"/>
  <c r="H226" i="52"/>
  <c r="H260" i="52" s="1"/>
  <c r="K206" i="52"/>
  <c r="K178" i="52"/>
  <c r="F207" i="52"/>
  <c r="F179" i="52"/>
  <c r="G287" i="52"/>
  <c r="G230" i="52"/>
  <c r="G264" i="52" s="1"/>
  <c r="L227" i="52"/>
  <c r="L261" i="52" s="1"/>
  <c r="L281" i="52"/>
  <c r="I200" i="52"/>
  <c r="I213" i="52" s="1"/>
  <c r="I214" i="52" s="1"/>
  <c r="I170" i="52"/>
  <c r="I166" i="52"/>
  <c r="I167" i="52" s="1"/>
  <c r="E283" i="52"/>
  <c r="E229" i="52"/>
  <c r="E263" i="52" s="1"/>
  <c r="O285" i="52"/>
  <c r="O223" i="52"/>
  <c r="O257" i="52" s="1"/>
  <c r="G284" i="52"/>
  <c r="G222" i="52"/>
  <c r="J226" i="52"/>
  <c r="J260" i="52" s="1"/>
  <c r="J280" i="52"/>
  <c r="J275" i="52"/>
  <c r="G211" i="52"/>
  <c r="G175" i="52"/>
  <c r="N170" i="52"/>
  <c r="N200" i="52"/>
  <c r="N166" i="52"/>
  <c r="N167" i="52" s="1"/>
  <c r="N286" i="52"/>
  <c r="N224" i="52"/>
  <c r="N258" i="52" s="1"/>
  <c r="H279" i="52"/>
  <c r="H225" i="52"/>
  <c r="H259" i="52" s="1"/>
  <c r="O163" i="52"/>
  <c r="O154" i="52"/>
  <c r="O171" i="52" s="1"/>
  <c r="O164" i="52"/>
  <c r="O153" i="52"/>
  <c r="O143" i="52"/>
  <c r="O144" i="52" s="1"/>
  <c r="O155" i="52"/>
  <c r="O172" i="52" s="1"/>
  <c r="F170" i="52"/>
  <c r="F200" i="52"/>
  <c r="F213" i="52" s="1"/>
  <c r="F214" i="52" s="1"/>
  <c r="F166" i="52"/>
  <c r="F167" i="52" s="1"/>
  <c r="F202" i="52"/>
  <c r="F181" i="52"/>
  <c r="F220" i="52" s="1"/>
  <c r="F255" i="52" s="1"/>
  <c r="N209" i="52"/>
  <c r="N174" i="52"/>
  <c r="L202" i="52"/>
  <c r="L181" i="52"/>
  <c r="L276" i="52" s="1"/>
  <c r="G207" i="52"/>
  <c r="G179" i="52"/>
  <c r="H275" i="52"/>
  <c r="D162" i="52"/>
  <c r="D158" i="52"/>
  <c r="D165" i="52"/>
  <c r="D157" i="52"/>
  <c r="P133" i="52"/>
  <c r="D156" i="52"/>
  <c r="O230" i="52"/>
  <c r="O264" i="52" s="1"/>
  <c r="O287" i="52"/>
  <c r="L287" i="52"/>
  <c r="L230" i="52"/>
  <c r="L264" i="52" s="1"/>
  <c r="E226" i="52"/>
  <c r="E260" i="52" s="1"/>
  <c r="E280" i="52"/>
  <c r="J206" i="52"/>
  <c r="J178" i="52"/>
  <c r="I201" i="52"/>
  <c r="I180" i="52"/>
  <c r="I219" i="52" s="1"/>
  <c r="I254" i="52" s="1"/>
  <c r="H283" i="52"/>
  <c r="H229" i="52"/>
  <c r="H263" i="52" s="1"/>
  <c r="J279" i="52"/>
  <c r="J225" i="52"/>
  <c r="J259" i="52" s="1"/>
  <c r="G281" i="52"/>
  <c r="G227" i="52"/>
  <c r="G261" i="52" s="1"/>
  <c r="O229" i="52"/>
  <c r="O263" i="52" s="1"/>
  <c r="O283" i="52"/>
  <c r="I283" i="52"/>
  <c r="I229" i="52"/>
  <c r="I263" i="52" s="1"/>
  <c r="L284" i="52"/>
  <c r="L222" i="52"/>
  <c r="D204" i="52"/>
  <c r="P204" i="52" s="1"/>
  <c r="D176" i="52"/>
  <c r="P159" i="52"/>
  <c r="L280" i="52"/>
  <c r="L226" i="52"/>
  <c r="L260" i="52" s="1"/>
  <c r="E286" i="52"/>
  <c r="E224" i="52"/>
  <c r="E258" i="52" s="1"/>
  <c r="N202" i="52"/>
  <c r="N181" i="52"/>
  <c r="N276" i="52" s="1"/>
  <c r="N207" i="52"/>
  <c r="N179" i="52"/>
  <c r="L201" i="52"/>
  <c r="L180" i="52"/>
  <c r="L219" i="52" s="1"/>
  <c r="L254" i="52" s="1"/>
  <c r="G173" i="52"/>
  <c r="G208" i="52"/>
  <c r="N284" i="52"/>
  <c r="N222" i="52"/>
  <c r="H276" i="52"/>
  <c r="N285" i="52"/>
  <c r="N223" i="52"/>
  <c r="N257" i="52" s="1"/>
  <c r="M286" i="52"/>
  <c r="M224" i="52"/>
  <c r="M258" i="52" s="1"/>
  <c r="I287" i="52"/>
  <c r="I230" i="52"/>
  <c r="I264" i="52" s="1"/>
  <c r="H223" i="52"/>
  <c r="H257" i="52" s="1"/>
  <c r="H285" i="52"/>
  <c r="K202" i="52"/>
  <c r="K181" i="52"/>
  <c r="K276" i="52" s="1"/>
  <c r="K275" i="52"/>
  <c r="E222" i="52"/>
  <c r="E284" i="52"/>
  <c r="D205" i="52"/>
  <c r="P205" i="52" s="1"/>
  <c r="P160" i="52"/>
  <c r="D177" i="52"/>
  <c r="I286" i="52"/>
  <c r="I224" i="52"/>
  <c r="I258" i="52" s="1"/>
  <c r="N220" i="52"/>
  <c r="N255" i="52" s="1"/>
  <c r="O281" i="52"/>
  <c r="O227" i="52"/>
  <c r="O261" i="52" s="1"/>
  <c r="F275" i="52"/>
  <c r="F201" i="52"/>
  <c r="F180" i="52"/>
  <c r="F219" i="52" s="1"/>
  <c r="F254" i="52" s="1"/>
  <c r="L223" i="52"/>
  <c r="L257" i="52" s="1"/>
  <c r="L285" i="52"/>
  <c r="E285" i="52"/>
  <c r="E223" i="52"/>
  <c r="E257" i="52" s="1"/>
  <c r="M213" i="52"/>
  <c r="M214" i="52" s="1"/>
  <c r="F286" i="52"/>
  <c r="F224" i="52"/>
  <c r="F258" i="52" s="1"/>
  <c r="J284" i="52"/>
  <c r="J222" i="52"/>
  <c r="N182" i="52"/>
  <c r="N212" i="52"/>
  <c r="N173" i="52"/>
  <c r="N208" i="52"/>
  <c r="L275" i="52"/>
  <c r="L200" i="52"/>
  <c r="L213" i="52" s="1"/>
  <c r="L214" i="52" s="1"/>
  <c r="L166" i="52"/>
  <c r="L167" i="52" s="1"/>
  <c r="L170" i="52"/>
  <c r="H284" i="52"/>
  <c r="H222" i="52"/>
  <c r="M275" i="52"/>
  <c r="K175" i="52"/>
  <c r="K211" i="52"/>
  <c r="J201" i="52"/>
  <c r="J180" i="52"/>
  <c r="J219" i="52" s="1"/>
  <c r="J254" i="52" s="1"/>
  <c r="I222" i="52"/>
  <c r="I284" i="52"/>
  <c r="F209" i="52"/>
  <c r="F174" i="52"/>
  <c r="F211" i="52"/>
  <c r="F175" i="52"/>
  <c r="J211" i="52"/>
  <c r="J175" i="52"/>
  <c r="I276" i="52"/>
  <c r="I220" i="52"/>
  <c r="I255" i="52" s="1"/>
  <c r="I202" i="52"/>
  <c r="I181" i="52"/>
  <c r="K284" i="52"/>
  <c r="K222" i="52"/>
  <c r="P158" i="52" l="1"/>
  <c r="D175" i="52"/>
  <c r="D211" i="52"/>
  <c r="P211" i="52" s="1"/>
  <c r="H269" i="52"/>
  <c r="K274" i="52"/>
  <c r="K183" i="52"/>
  <c r="K196" i="52" s="1"/>
  <c r="K288" i="52" s="1"/>
  <c r="K218" i="52"/>
  <c r="K281" i="52"/>
  <c r="K227" i="52"/>
  <c r="K261" i="52" s="1"/>
  <c r="E269" i="52"/>
  <c r="D202" i="52"/>
  <c r="P202" i="52" s="1"/>
  <c r="P164" i="52"/>
  <c r="D181" i="52"/>
  <c r="D200" i="52"/>
  <c r="D166" i="52"/>
  <c r="P153" i="52"/>
  <c r="D170" i="52"/>
  <c r="K229" i="52"/>
  <c r="K263" i="52" s="1"/>
  <c r="K283" i="52"/>
  <c r="N256" i="52"/>
  <c r="F276" i="52"/>
  <c r="D286" i="52"/>
  <c r="D224" i="52"/>
  <c r="P178" i="52"/>
  <c r="J229" i="52"/>
  <c r="J263" i="52" s="1"/>
  <c r="J283" i="52"/>
  <c r="F281" i="52"/>
  <c r="F227" i="52"/>
  <c r="F261" i="52" s="1"/>
  <c r="N280" i="52"/>
  <c r="N226" i="52"/>
  <c r="N260" i="52" s="1"/>
  <c r="L256" i="52"/>
  <c r="L233" i="52"/>
  <c r="J269" i="52"/>
  <c r="D209" i="52"/>
  <c r="P209" i="52" s="1"/>
  <c r="P157" i="52"/>
  <c r="D174" i="52"/>
  <c r="N274" i="52"/>
  <c r="N183" i="52"/>
  <c r="N196" i="52" s="1"/>
  <c r="N288" i="52" s="1"/>
  <c r="N218" i="52"/>
  <c r="I275" i="52"/>
  <c r="F279" i="52"/>
  <c r="F225" i="52"/>
  <c r="F259" i="52" s="1"/>
  <c r="F269" i="52" s="1"/>
  <c r="H213" i="52"/>
  <c r="H214" i="52" s="1"/>
  <c r="J213" i="52"/>
  <c r="J214" i="52" s="1"/>
  <c r="L220" i="52"/>
  <c r="L255" i="52" s="1"/>
  <c r="N283" i="52"/>
  <c r="N229" i="52"/>
  <c r="N263" i="52" s="1"/>
  <c r="G202" i="52"/>
  <c r="G181" i="52"/>
  <c r="F256" i="52"/>
  <c r="F233" i="52"/>
  <c r="I269" i="52"/>
  <c r="J276" i="52"/>
  <c r="J220" i="52"/>
  <c r="J255" i="52" s="1"/>
  <c r="E213" i="52"/>
  <c r="E214" i="52" s="1"/>
  <c r="K285" i="52"/>
  <c r="K223" i="52"/>
  <c r="K257" i="52" s="1"/>
  <c r="K279" i="52"/>
  <c r="K225" i="52"/>
  <c r="K259" i="52" s="1"/>
  <c r="K269" i="52" s="1"/>
  <c r="J230" i="52"/>
  <c r="J264" i="52" s="1"/>
  <c r="J287" i="52"/>
  <c r="D201" i="52"/>
  <c r="D180" i="52"/>
  <c r="P163" i="52"/>
  <c r="K220" i="52"/>
  <c r="K255" i="52" s="1"/>
  <c r="K256" i="52"/>
  <c r="F229" i="52"/>
  <c r="F263" i="52" s="1"/>
  <c r="F283" i="52"/>
  <c r="N230" i="52"/>
  <c r="N264" i="52" s="1"/>
  <c r="N287" i="52"/>
  <c r="G280" i="52"/>
  <c r="G226" i="52"/>
  <c r="G260" i="52" s="1"/>
  <c r="D284" i="52"/>
  <c r="P284" i="52" s="1"/>
  <c r="D222" i="52"/>
  <c r="P176" i="52"/>
  <c r="J286" i="52"/>
  <c r="J224" i="52"/>
  <c r="J258" i="52" s="1"/>
  <c r="D208" i="52"/>
  <c r="P208" i="52" s="1"/>
  <c r="P156" i="52"/>
  <c r="D173" i="52"/>
  <c r="O200" i="52"/>
  <c r="O166" i="52"/>
  <c r="O167" i="52" s="1"/>
  <c r="O170" i="52"/>
  <c r="G256" i="52"/>
  <c r="I274" i="52"/>
  <c r="I218" i="52"/>
  <c r="I183" i="52"/>
  <c r="I196" i="52" s="1"/>
  <c r="I288" i="52" s="1"/>
  <c r="K224" i="52"/>
  <c r="K258" i="52" s="1"/>
  <c r="K286" i="52"/>
  <c r="O284" i="52"/>
  <c r="O222" i="52"/>
  <c r="H218" i="52"/>
  <c r="H274" i="52"/>
  <c r="H183" i="52"/>
  <c r="H196" i="52" s="1"/>
  <c r="H288" i="52" s="1"/>
  <c r="G224" i="52"/>
  <c r="G258" i="52" s="1"/>
  <c r="G286" i="52"/>
  <c r="K280" i="52"/>
  <c r="K226" i="52"/>
  <c r="K260" i="52" s="1"/>
  <c r="I256" i="52"/>
  <c r="I233" i="52"/>
  <c r="L274" i="52"/>
  <c r="L218" i="52"/>
  <c r="L183" i="52"/>
  <c r="L196" i="52" s="1"/>
  <c r="L288" i="52" s="1"/>
  <c r="J256" i="52"/>
  <c r="J233" i="52"/>
  <c r="P162" i="52"/>
  <c r="D179" i="52"/>
  <c r="D207" i="52"/>
  <c r="P207" i="52" s="1"/>
  <c r="F274" i="52"/>
  <c r="F183" i="52"/>
  <c r="F196" i="52" s="1"/>
  <c r="F288" i="52" s="1"/>
  <c r="F218" i="52"/>
  <c r="O202" i="52"/>
  <c r="O181" i="52"/>
  <c r="O220" i="52" s="1"/>
  <c r="O255" i="52" s="1"/>
  <c r="N213" i="52"/>
  <c r="N214" i="52" s="1"/>
  <c r="K287" i="52"/>
  <c r="K230" i="52"/>
  <c r="K264" i="52" s="1"/>
  <c r="G200" i="52"/>
  <c r="G213" i="52" s="1"/>
  <c r="G214" i="52" s="1"/>
  <c r="G166" i="52"/>
  <c r="G167" i="52" s="1"/>
  <c r="G170" i="52"/>
  <c r="G201" i="52"/>
  <c r="G180" i="52"/>
  <c r="G219" i="52" s="1"/>
  <c r="G254" i="52" s="1"/>
  <c r="F280" i="52"/>
  <c r="F226" i="52"/>
  <c r="F260" i="52" s="1"/>
  <c r="E274" i="52"/>
  <c r="E218" i="52"/>
  <c r="E183" i="52"/>
  <c r="E196" i="52" s="1"/>
  <c r="E288" i="52" s="1"/>
  <c r="O269" i="52"/>
  <c r="P143" i="52"/>
  <c r="D144" i="52"/>
  <c r="P144" i="52" s="1"/>
  <c r="H256" i="52"/>
  <c r="H233" i="52"/>
  <c r="D223" i="52"/>
  <c r="D285" i="52"/>
  <c r="P285" i="52" s="1"/>
  <c r="P177" i="52"/>
  <c r="E233" i="52"/>
  <c r="E256" i="52"/>
  <c r="N279" i="52"/>
  <c r="N225" i="52"/>
  <c r="N259" i="52" s="1"/>
  <c r="D212" i="52"/>
  <c r="P212" i="52" s="1"/>
  <c r="P165" i="52"/>
  <c r="D182" i="52"/>
  <c r="G279" i="52"/>
  <c r="G225" i="52"/>
  <c r="G259" i="52" s="1"/>
  <c r="N281" i="52"/>
  <c r="N227" i="52"/>
  <c r="N261" i="52" s="1"/>
  <c r="O201" i="52"/>
  <c r="O180" i="52"/>
  <c r="O219" i="52" s="1"/>
  <c r="O254" i="52" s="1"/>
  <c r="G229" i="52"/>
  <c r="G263" i="52" s="1"/>
  <c r="G283" i="52"/>
  <c r="J281" i="52"/>
  <c r="J227" i="52"/>
  <c r="J261" i="52" s="1"/>
  <c r="M256" i="52"/>
  <c r="M233" i="52"/>
  <c r="J274" i="52"/>
  <c r="J183" i="52"/>
  <c r="J196" i="52" s="1"/>
  <c r="J288" i="52" s="1"/>
  <c r="J218" i="52"/>
  <c r="G276" i="52"/>
  <c r="G220" i="52"/>
  <c r="G255" i="52" s="1"/>
  <c r="M231" i="52"/>
  <c r="M232" i="52" s="1"/>
  <c r="M253" i="52"/>
  <c r="K213" i="52"/>
  <c r="K214" i="52" s="1"/>
  <c r="N275" i="52"/>
  <c r="F230" i="52"/>
  <c r="F264" i="52" s="1"/>
  <c r="F287" i="52"/>
  <c r="E275" i="52"/>
  <c r="D172" i="52"/>
  <c r="P155" i="52"/>
  <c r="D171" i="52"/>
  <c r="P154" i="52"/>
  <c r="L269" i="52"/>
  <c r="P206" i="52"/>
  <c r="D287" i="52" l="1"/>
  <c r="P287" i="52" s="1"/>
  <c r="D230" i="52"/>
  <c r="P182" i="52"/>
  <c r="D256" i="52"/>
  <c r="P256" i="52" s="1"/>
  <c r="P222" i="52"/>
  <c r="P286" i="52"/>
  <c r="P166" i="52"/>
  <c r="D167" i="52"/>
  <c r="P167" i="52" s="1"/>
  <c r="K253" i="52"/>
  <c r="K231" i="52"/>
  <c r="K232" i="52" s="1"/>
  <c r="K233" i="52"/>
  <c r="P201" i="52"/>
  <c r="O276" i="52"/>
  <c r="F253" i="52"/>
  <c r="F231" i="52"/>
  <c r="F232" i="52" s="1"/>
  <c r="D279" i="52"/>
  <c r="P279" i="52" s="1"/>
  <c r="P179" i="52"/>
  <c r="D225" i="52"/>
  <c r="O233" i="52"/>
  <c r="O256" i="52"/>
  <c r="G233" i="52"/>
  <c r="D280" i="52"/>
  <c r="P280" i="52" s="1"/>
  <c r="D226" i="52"/>
  <c r="P173" i="52"/>
  <c r="D227" i="52"/>
  <c r="D281" i="52"/>
  <c r="P281" i="52" s="1"/>
  <c r="P174" i="52"/>
  <c r="D274" i="52"/>
  <c r="D218" i="52"/>
  <c r="D183" i="52"/>
  <c r="P170" i="52"/>
  <c r="P181" i="52"/>
  <c r="D283" i="52"/>
  <c r="P283" i="52" s="1"/>
  <c r="D229" i="52"/>
  <c r="P175" i="52"/>
  <c r="E231" i="52"/>
  <c r="E232" i="52" s="1"/>
  <c r="E253" i="52"/>
  <c r="D219" i="52"/>
  <c r="P180" i="52"/>
  <c r="N231" i="52"/>
  <c r="N232" i="52" s="1"/>
  <c r="N253" i="52"/>
  <c r="D275" i="52"/>
  <c r="P171" i="52"/>
  <c r="M268" i="52"/>
  <c r="M270" i="52" s="1"/>
  <c r="M271" i="52" s="1"/>
  <c r="M265" i="52"/>
  <c r="M266" i="52" s="1"/>
  <c r="J231" i="52"/>
  <c r="J232" i="52" s="1"/>
  <c r="J253" i="52"/>
  <c r="P223" i="52"/>
  <c r="D257" i="52"/>
  <c r="P257" i="52" s="1"/>
  <c r="H231" i="52"/>
  <c r="H232" i="52" s="1"/>
  <c r="H253" i="52"/>
  <c r="O213" i="52"/>
  <c r="O214" i="52" s="1"/>
  <c r="D213" i="52"/>
  <c r="P200" i="52"/>
  <c r="G269" i="52"/>
  <c r="G218" i="52"/>
  <c r="G183" i="52"/>
  <c r="G196" i="52" s="1"/>
  <c r="G288" i="52" s="1"/>
  <c r="G274" i="52"/>
  <c r="D276" i="52"/>
  <c r="P276" i="52" s="1"/>
  <c r="P172" i="52"/>
  <c r="D220" i="52"/>
  <c r="N269" i="52"/>
  <c r="L231" i="52"/>
  <c r="L232" i="52" s="1"/>
  <c r="L253" i="52"/>
  <c r="I231" i="52"/>
  <c r="I232" i="52" s="1"/>
  <c r="I253" i="52"/>
  <c r="O218" i="52"/>
  <c r="O274" i="52"/>
  <c r="O183" i="52"/>
  <c r="O196" i="52" s="1"/>
  <c r="O288" i="52" s="1"/>
  <c r="O275" i="52"/>
  <c r="D258" i="52"/>
  <c r="P258" i="52" s="1"/>
  <c r="P224" i="52"/>
  <c r="N233" i="52"/>
  <c r="G275" i="52"/>
  <c r="O231" i="52" l="1"/>
  <c r="O232" i="52" s="1"/>
  <c r="O253" i="52"/>
  <c r="I268" i="52"/>
  <c r="I270" i="52" s="1"/>
  <c r="I265" i="52"/>
  <c r="I266" i="52" s="1"/>
  <c r="P275" i="52"/>
  <c r="P219" i="52"/>
  <c r="D254" i="52"/>
  <c r="P254" i="52" s="1"/>
  <c r="D263" i="52"/>
  <c r="P263" i="52" s="1"/>
  <c r="P229" i="52"/>
  <c r="P183" i="52"/>
  <c r="D196" i="52"/>
  <c r="D259" i="52"/>
  <c r="P225" i="52"/>
  <c r="F268" i="52"/>
  <c r="F270" i="52" s="1"/>
  <c r="F265" i="52"/>
  <c r="F266" i="52" s="1"/>
  <c r="D255" i="52"/>
  <c r="P255" i="52" s="1"/>
  <c r="P220" i="52"/>
  <c r="P213" i="52"/>
  <c r="D214" i="52"/>
  <c r="P214" i="52" s="1"/>
  <c r="N268" i="52"/>
  <c r="N270" i="52" s="1"/>
  <c r="N271" i="52" s="1"/>
  <c r="N265" i="52"/>
  <c r="N266" i="52" s="1"/>
  <c r="E268" i="52"/>
  <c r="E270" i="52" s="1"/>
  <c r="E265" i="52"/>
  <c r="E266" i="52" s="1"/>
  <c r="P218" i="52"/>
  <c r="D253" i="52"/>
  <c r="D231" i="52"/>
  <c r="D261" i="52"/>
  <c r="P261" i="52" s="1"/>
  <c r="P227" i="52"/>
  <c r="K265" i="52"/>
  <c r="K266" i="52" s="1"/>
  <c r="K268" i="52"/>
  <c r="K270" i="52" s="1"/>
  <c r="D233" i="52"/>
  <c r="P233" i="52" s="1"/>
  <c r="D264" i="52"/>
  <c r="P264" i="52" s="1"/>
  <c r="P230" i="52"/>
  <c r="H265" i="52"/>
  <c r="H266" i="52" s="1"/>
  <c r="H268" i="52"/>
  <c r="H270" i="52" s="1"/>
  <c r="H271" i="52" s="1"/>
  <c r="J268" i="52"/>
  <c r="J270" i="52" s="1"/>
  <c r="J271" i="52" s="1"/>
  <c r="J265" i="52"/>
  <c r="J266" i="52" s="1"/>
  <c r="D260" i="52"/>
  <c r="P260" i="52" s="1"/>
  <c r="P226" i="52"/>
  <c r="L265" i="52"/>
  <c r="L266" i="52" s="1"/>
  <c r="L268" i="52"/>
  <c r="L270" i="52" s="1"/>
  <c r="G231" i="52"/>
  <c r="G232" i="52" s="1"/>
  <c r="G253" i="52"/>
  <c r="P274" i="52"/>
  <c r="D269" i="52" l="1"/>
  <c r="P269" i="52" s="1"/>
  <c r="P259" i="52"/>
  <c r="K271" i="52"/>
  <c r="D232" i="52"/>
  <c r="P232" i="52" s="1"/>
  <c r="P231" i="52"/>
  <c r="E271" i="52"/>
  <c r="F271" i="52"/>
  <c r="O265" i="52"/>
  <c r="O266" i="52" s="1"/>
  <c r="O268" i="52"/>
  <c r="O270" i="52" s="1"/>
  <c r="G265" i="52"/>
  <c r="G266" i="52" s="1"/>
  <c r="G268" i="52"/>
  <c r="G270" i="52" s="1"/>
  <c r="G271" i="52" s="1"/>
  <c r="D288" i="52"/>
  <c r="P288" i="52" s="1"/>
  <c r="P196" i="52"/>
  <c r="I271" i="52"/>
  <c r="L271" i="52"/>
  <c r="D265" i="52"/>
  <c r="D268" i="52"/>
  <c r="P253" i="52"/>
  <c r="P265" i="52" l="1"/>
  <c r="D266" i="52"/>
  <c r="P266" i="52" s="1"/>
  <c r="D270" i="52"/>
  <c r="P268" i="52"/>
  <c r="O271" i="52"/>
  <c r="P270" i="52" l="1"/>
  <c r="D271" i="52"/>
  <c r="P271" i="52" s="1"/>
  <c r="C3" i="40" l="1"/>
  <c r="D3" i="40" s="1"/>
  <c r="E3" i="40" s="1"/>
  <c r="F3" i="40" s="1"/>
  <c r="G3" i="40" s="1"/>
  <c r="H3" i="40" s="1"/>
  <c r="I3" i="40" s="1"/>
  <c r="J3" i="40" s="1"/>
  <c r="K3" i="40" s="1"/>
  <c r="L3" i="40" s="1"/>
  <c r="M3" i="40" s="1"/>
  <c r="G12" i="5" l="1"/>
  <c r="G14" i="5" s="1"/>
  <c r="G19" i="5"/>
  <c r="G23" i="5"/>
  <c r="D8" i="48" l="1"/>
  <c r="G18" i="5" l="1"/>
  <c r="H36" i="48" l="1"/>
  <c r="J30" i="47" l="1"/>
  <c r="K30" i="47" s="1"/>
  <c r="I30" i="47"/>
  <c r="H30" i="47"/>
  <c r="J29" i="47"/>
  <c r="K29" i="47" s="1"/>
  <c r="I29" i="47"/>
  <c r="H29" i="47"/>
  <c r="I28" i="47"/>
  <c r="J28" i="47" s="1"/>
  <c r="K28" i="47" s="1"/>
  <c r="H28" i="47"/>
  <c r="I27" i="47"/>
  <c r="H27" i="47"/>
  <c r="J27" i="47"/>
  <c r="K27" i="47" s="1"/>
  <c r="I25" i="47"/>
  <c r="I24" i="47"/>
  <c r="J24" i="47" s="1"/>
  <c r="K24" i="47" s="1"/>
  <c r="H24" i="47"/>
  <c r="I23" i="47"/>
  <c r="H23" i="47"/>
  <c r="J23" i="47"/>
  <c r="K23" i="47" s="1"/>
  <c r="I21" i="47"/>
  <c r="I20" i="47"/>
  <c r="J20" i="47" s="1"/>
  <c r="K20" i="47" s="1"/>
  <c r="H20" i="47"/>
  <c r="I19" i="47"/>
  <c r="H19" i="47"/>
  <c r="J19" i="47"/>
  <c r="K19" i="47" s="1"/>
  <c r="I17" i="47"/>
  <c r="I16" i="47"/>
  <c r="J16" i="47" s="1"/>
  <c r="K16" i="47" s="1"/>
  <c r="H16" i="47"/>
  <c r="B16" i="47"/>
  <c r="B17" i="47" s="1"/>
  <c r="B18" i="47" s="1"/>
  <c r="B19" i="47" s="1"/>
  <c r="B20" i="47" s="1"/>
  <c r="B21" i="47" s="1"/>
  <c r="B22" i="47" s="1"/>
  <c r="B23" i="47" s="1"/>
  <c r="B24" i="47" s="1"/>
  <c r="B25" i="47" s="1"/>
  <c r="B26" i="47" s="1"/>
  <c r="B27" i="47" s="1"/>
  <c r="B28" i="47" s="1"/>
  <c r="B29" i="47" s="1"/>
  <c r="B30" i="47" s="1"/>
  <c r="B31" i="47" s="1"/>
  <c r="I15" i="47"/>
  <c r="H15" i="47"/>
  <c r="J15" i="47"/>
  <c r="K15" i="47" s="1"/>
  <c r="B15" i="47"/>
  <c r="K219" i="46"/>
  <c r="L219" i="46" s="1"/>
  <c r="K218" i="46"/>
  <c r="L218" i="46" s="1"/>
  <c r="D173" i="46"/>
  <c r="I163" i="46"/>
  <c r="K163" i="46" s="1"/>
  <c r="F163" i="46"/>
  <c r="H162" i="46"/>
  <c r="Q162" i="46" s="1"/>
  <c r="F162" i="46"/>
  <c r="F161" i="46"/>
  <c r="F181" i="46" s="1"/>
  <c r="D181" i="46"/>
  <c r="F159" i="46"/>
  <c r="I156" i="46"/>
  <c r="I176" i="46" s="1"/>
  <c r="F176" i="46"/>
  <c r="H155" i="46"/>
  <c r="Q155" i="46" s="1"/>
  <c r="Q154" i="46"/>
  <c r="I154" i="46"/>
  <c r="H154" i="46"/>
  <c r="F154" i="46"/>
  <c r="F146" i="46"/>
  <c r="F189" i="46" s="1"/>
  <c r="D146" i="46"/>
  <c r="I146" i="46" s="1"/>
  <c r="H141" i="46"/>
  <c r="H164" i="46" s="1"/>
  <c r="Q164" i="46" s="1"/>
  <c r="F141" i="46"/>
  <c r="I141" i="46"/>
  <c r="K141" i="46" s="1"/>
  <c r="H140" i="46"/>
  <c r="H163" i="46" s="1"/>
  <c r="Q163" i="46" s="1"/>
  <c r="I139" i="46"/>
  <c r="H139" i="46"/>
  <c r="Q139" i="46" s="1"/>
  <c r="Q138" i="46"/>
  <c r="H138" i="46"/>
  <c r="F138" i="46"/>
  <c r="F137" i="46"/>
  <c r="H136" i="46"/>
  <c r="Q136" i="46" s="1"/>
  <c r="D179" i="46"/>
  <c r="I133" i="46"/>
  <c r="K133" i="46" s="1"/>
  <c r="Q132" i="46"/>
  <c r="Q131" i="46"/>
  <c r="I131" i="46"/>
  <c r="K131" i="46" s="1"/>
  <c r="F131" i="46"/>
  <c r="K130" i="46"/>
  <c r="F130" i="46"/>
  <c r="H130" i="46"/>
  <c r="Q130" i="46" s="1"/>
  <c r="I130" i="46"/>
  <c r="D114" i="46"/>
  <c r="D116" i="46" s="1"/>
  <c r="F109" i="46"/>
  <c r="F99" i="46"/>
  <c r="I95" i="46"/>
  <c r="K95" i="46" s="1"/>
  <c r="F94" i="46"/>
  <c r="Q93" i="46"/>
  <c r="H93" i="46"/>
  <c r="F85" i="46"/>
  <c r="F120" i="46" s="1"/>
  <c r="D85" i="46"/>
  <c r="I85" i="46" s="1"/>
  <c r="F80" i="46"/>
  <c r="F115" i="46" s="1"/>
  <c r="H80" i="46"/>
  <c r="D115" i="46"/>
  <c r="H79" i="46"/>
  <c r="Q75" i="46"/>
  <c r="Q74" i="46"/>
  <c r="H94" i="46"/>
  <c r="Q94" i="46" s="1"/>
  <c r="F74" i="46"/>
  <c r="D109" i="46"/>
  <c r="D120" i="46" s="1"/>
  <c r="H73" i="46"/>
  <c r="Q73" i="46" s="1"/>
  <c r="D57" i="46"/>
  <c r="F42" i="46"/>
  <c r="F41" i="46"/>
  <c r="I36" i="46"/>
  <c r="K36" i="46" s="1"/>
  <c r="Q34" i="46"/>
  <c r="F34" i="46"/>
  <c r="H34" i="46"/>
  <c r="D25" i="46"/>
  <c r="H20" i="46"/>
  <c r="Q20" i="46" s="1"/>
  <c r="F20" i="46"/>
  <c r="F59" i="46" s="1"/>
  <c r="Q19" i="46"/>
  <c r="H19" i="46"/>
  <c r="H41" i="46" s="1"/>
  <c r="Q41" i="46" s="1"/>
  <c r="D21" i="46"/>
  <c r="H18" i="46"/>
  <c r="Q14" i="46"/>
  <c r="Q13" i="46"/>
  <c r="F13" i="46"/>
  <c r="I13" i="46"/>
  <c r="K13" i="46" s="1"/>
  <c r="H12" i="46"/>
  <c r="Q12" i="46" s="1"/>
  <c r="I12" i="46"/>
  <c r="D90" i="45"/>
  <c r="D88" i="45"/>
  <c r="D89" i="45" s="1"/>
  <c r="H75" i="45"/>
  <c r="I75" i="45" s="1"/>
  <c r="D77" i="45"/>
  <c r="D78" i="45" s="1"/>
  <c r="F78" i="45" s="1"/>
  <c r="F97" i="45" s="1"/>
  <c r="F71" i="45"/>
  <c r="F90" i="45" s="1"/>
  <c r="H69" i="45"/>
  <c r="Q68" i="45" s="1"/>
  <c r="I61" i="45"/>
  <c r="D61" i="45"/>
  <c r="F61" i="45" s="1"/>
  <c r="F102" i="45" s="1"/>
  <c r="F54" i="45"/>
  <c r="H54" i="45"/>
  <c r="I53" i="45"/>
  <c r="H53" i="45"/>
  <c r="D55" i="45"/>
  <c r="H71" i="45"/>
  <c r="Q70" i="45" s="1"/>
  <c r="F49" i="45"/>
  <c r="I49" i="45"/>
  <c r="K49" i="45" s="1"/>
  <c r="Q48" i="45"/>
  <c r="H48" i="45"/>
  <c r="H70" i="45" s="1"/>
  <c r="Q69" i="45" s="1"/>
  <c r="F47" i="45"/>
  <c r="H47" i="45"/>
  <c r="Q46" i="45" s="1"/>
  <c r="D36" i="45"/>
  <c r="D40" i="45" s="1"/>
  <c r="H29" i="45"/>
  <c r="H25" i="45"/>
  <c r="Q24" i="45" s="1"/>
  <c r="H24" i="45"/>
  <c r="Q23" i="45" s="1"/>
  <c r="F24" i="45"/>
  <c r="H13" i="45"/>
  <c r="Q13" i="45" s="1"/>
  <c r="I13" i="45"/>
  <c r="I12" i="45"/>
  <c r="H12" i="45"/>
  <c r="Q12" i="45" s="1"/>
  <c r="F12" i="45"/>
  <c r="I41" i="44"/>
  <c r="H41" i="44"/>
  <c r="D41" i="44"/>
  <c r="Q37" i="44"/>
  <c r="H37" i="44"/>
  <c r="F37" i="44"/>
  <c r="H28" i="44"/>
  <c r="D28" i="44"/>
  <c r="F28" i="44" s="1"/>
  <c r="I28" i="44" s="1"/>
  <c r="K28" i="44" s="1"/>
  <c r="L28" i="44" s="1"/>
  <c r="H24" i="44"/>
  <c r="I24" i="44"/>
  <c r="I16" i="44"/>
  <c r="H13" i="44"/>
  <c r="D16" i="44"/>
  <c r="F16" i="44" s="1"/>
  <c r="I12" i="44"/>
  <c r="Q12" i="44"/>
  <c r="D60" i="45" l="1"/>
  <c r="D56" i="45"/>
  <c r="K16" i="44"/>
  <c r="L16" i="44" s="1"/>
  <c r="I49" i="44"/>
  <c r="K41" i="44"/>
  <c r="L41" i="44" s="1"/>
  <c r="I102" i="45"/>
  <c r="K61" i="45"/>
  <c r="K102" i="45" s="1"/>
  <c r="F49" i="44"/>
  <c r="I26" i="44"/>
  <c r="I30" i="44" s="1"/>
  <c r="Q79" i="46"/>
  <c r="H98" i="46"/>
  <c r="Q98" i="46" s="1"/>
  <c r="H25" i="44"/>
  <c r="Q25" i="44" s="1"/>
  <c r="Q13" i="44"/>
  <c r="D24" i="46"/>
  <c r="D14" i="46"/>
  <c r="K53" i="45"/>
  <c r="K75" i="45"/>
  <c r="K94" i="45" s="1"/>
  <c r="I94" i="45"/>
  <c r="F14" i="46"/>
  <c r="F53" i="46" s="1"/>
  <c r="K12" i="45"/>
  <c r="I17" i="45"/>
  <c r="H40" i="46"/>
  <c r="Q18" i="46"/>
  <c r="H99" i="46"/>
  <c r="Q99" i="46" s="1"/>
  <c r="Q80" i="46"/>
  <c r="Q24" i="44"/>
  <c r="I25" i="45"/>
  <c r="I69" i="45"/>
  <c r="F54" i="46"/>
  <c r="I15" i="46"/>
  <c r="D52" i="46"/>
  <c r="F35" i="46"/>
  <c r="F43" i="46" s="1"/>
  <c r="H42" i="46"/>
  <c r="Q42" i="46" s="1"/>
  <c r="D60" i="46"/>
  <c r="D211" i="46" s="1"/>
  <c r="D212" i="46"/>
  <c r="D119" i="46"/>
  <c r="D121" i="46" s="1"/>
  <c r="F173" i="46"/>
  <c r="F155" i="46"/>
  <c r="F174" i="46" s="1"/>
  <c r="I155" i="46"/>
  <c r="D174" i="46"/>
  <c r="K176" i="46"/>
  <c r="F12" i="44"/>
  <c r="F25" i="44"/>
  <c r="I37" i="44"/>
  <c r="F41" i="44"/>
  <c r="D29" i="45"/>
  <c r="F29" i="45" s="1"/>
  <c r="D26" i="45"/>
  <c r="F25" i="45"/>
  <c r="D35" i="45"/>
  <c r="I47" i="45"/>
  <c r="Q47" i="45"/>
  <c r="F53" i="45"/>
  <c r="I54" i="45"/>
  <c r="K54" i="45" s="1"/>
  <c r="Q74" i="45"/>
  <c r="D93" i="45"/>
  <c r="D123" i="45"/>
  <c r="F12" i="46"/>
  <c r="F52" i="46"/>
  <c r="I18" i="46"/>
  <c r="D64" i="46"/>
  <c r="F25" i="46"/>
  <c r="F64" i="46" s="1"/>
  <c r="I25" i="46"/>
  <c r="I189" i="46"/>
  <c r="K189" i="46" s="1"/>
  <c r="K146" i="46"/>
  <c r="D51" i="44"/>
  <c r="F13" i="44"/>
  <c r="D97" i="45"/>
  <c r="I78" i="45"/>
  <c r="D108" i="46"/>
  <c r="I73" i="46"/>
  <c r="F73" i="46"/>
  <c r="I93" i="46"/>
  <c r="F93" i="46"/>
  <c r="I24" i="45"/>
  <c r="I19" i="46"/>
  <c r="D58" i="46"/>
  <c r="F19" i="46"/>
  <c r="F58" i="46" s="1"/>
  <c r="I13" i="44"/>
  <c r="K13" i="44" s="1"/>
  <c r="L13" i="44" s="1"/>
  <c r="F24" i="44"/>
  <c r="I25" i="44"/>
  <c r="K25" i="44" s="1"/>
  <c r="F43" i="44"/>
  <c r="F13" i="45"/>
  <c r="D17" i="45"/>
  <c r="F17" i="45" s="1"/>
  <c r="D14" i="45"/>
  <c r="F35" i="45"/>
  <c r="Q52" i="45"/>
  <c r="H52" i="45"/>
  <c r="H74" i="45" s="1"/>
  <c r="Q73" i="45" s="1"/>
  <c r="H76" i="45"/>
  <c r="Q53" i="45"/>
  <c r="D70" i="45"/>
  <c r="F69" i="45"/>
  <c r="I71" i="45"/>
  <c r="F75" i="45"/>
  <c r="F94" i="45" s="1"/>
  <c r="D94" i="45"/>
  <c r="D95" i="45"/>
  <c r="F76" i="45"/>
  <c r="F95" i="45" s="1"/>
  <c r="D81" i="45"/>
  <c r="I81" i="45" s="1"/>
  <c r="H35" i="46"/>
  <c r="D43" i="46"/>
  <c r="D45" i="46" s="1"/>
  <c r="F40" i="46"/>
  <c r="D59" i="46"/>
  <c r="F111" i="46"/>
  <c r="I76" i="46"/>
  <c r="K85" i="46"/>
  <c r="I120" i="46"/>
  <c r="K120" i="46" s="1"/>
  <c r="I94" i="46"/>
  <c r="K94" i="46" s="1"/>
  <c r="D183" i="46"/>
  <c r="I140" i="46"/>
  <c r="H159" i="46"/>
  <c r="I14" i="47"/>
  <c r="J14" i="47" s="1"/>
  <c r="H14" i="47"/>
  <c r="H17" i="47"/>
  <c r="J17" i="47"/>
  <c r="H21" i="47"/>
  <c r="J21" i="47"/>
  <c r="H25" i="47"/>
  <c r="J25" i="47"/>
  <c r="D48" i="45"/>
  <c r="I20" i="46"/>
  <c r="I80" i="46"/>
  <c r="I136" i="46"/>
  <c r="K136" i="46" s="1"/>
  <c r="H137" i="46"/>
  <c r="I173" i="46"/>
  <c r="K154" i="46"/>
  <c r="I18" i="47"/>
  <c r="H18" i="47"/>
  <c r="I22" i="47"/>
  <c r="J22" i="47" s="1"/>
  <c r="K22" i="47" s="1"/>
  <c r="H22" i="47"/>
  <c r="I26" i="47"/>
  <c r="H26" i="47"/>
  <c r="F18" i="46"/>
  <c r="F57" i="46" s="1"/>
  <c r="D51" i="46"/>
  <c r="I41" i="46"/>
  <c r="K41" i="46" s="1"/>
  <c r="I79" i="46"/>
  <c r="I98" i="46"/>
  <c r="K98" i="46" s="1"/>
  <c r="H161" i="46"/>
  <c r="Q161" i="46" s="1"/>
  <c r="I138" i="46"/>
  <c r="K138" i="46" s="1"/>
  <c r="F140" i="46"/>
  <c r="F183" i="46" s="1"/>
  <c r="F31" i="47"/>
  <c r="I34" i="46"/>
  <c r="I74" i="46"/>
  <c r="F79" i="46"/>
  <c r="F114" i="46" s="1"/>
  <c r="D81" i="46"/>
  <c r="F98" i="46"/>
  <c r="D100" i="46"/>
  <c r="D102" i="46" s="1"/>
  <c r="I102" i="46" s="1"/>
  <c r="F136" i="46"/>
  <c r="F179" i="46" s="1"/>
  <c r="I137" i="46"/>
  <c r="K137" i="46" s="1"/>
  <c r="D182" i="46"/>
  <c r="F139" i="46"/>
  <c r="F182" i="46" s="1"/>
  <c r="D142" i="46"/>
  <c r="D180" i="46"/>
  <c r="D185" i="46" s="1"/>
  <c r="D213" i="46" s="1"/>
  <c r="D165" i="46"/>
  <c r="D167" i="46" s="1"/>
  <c r="F160" i="46"/>
  <c r="F180" i="46" s="1"/>
  <c r="D184" i="46"/>
  <c r="F164" i="46"/>
  <c r="F184" i="46" s="1"/>
  <c r="Q140" i="46"/>
  <c r="I162" i="46"/>
  <c r="I164" i="46"/>
  <c r="J18" i="47"/>
  <c r="K18" i="47" s="1"/>
  <c r="J26" i="47"/>
  <c r="K26" i="47" s="1"/>
  <c r="I161" i="46"/>
  <c r="J31" i="47" l="1"/>
  <c r="K14" i="47"/>
  <c r="I75" i="46"/>
  <c r="D75" i="46"/>
  <c r="D84" i="46"/>
  <c r="K173" i="46"/>
  <c r="Q35" i="46"/>
  <c r="I35" i="46"/>
  <c r="I70" i="45"/>
  <c r="F70" i="45"/>
  <c r="F89" i="45" s="1"/>
  <c r="K24" i="45"/>
  <c r="F27" i="45"/>
  <c r="I121" i="46"/>
  <c r="I109" i="46"/>
  <c r="K109" i="46" s="1"/>
  <c r="K74" i="46"/>
  <c r="I48" i="45"/>
  <c r="K48" i="45" s="1"/>
  <c r="F48" i="45"/>
  <c r="I90" i="45"/>
  <c r="K71" i="45"/>
  <c r="K90" i="45" s="1"/>
  <c r="Q75" i="45"/>
  <c r="I76" i="45"/>
  <c r="I14" i="45"/>
  <c r="F14" i="45"/>
  <c r="K139" i="46"/>
  <c r="I108" i="46"/>
  <c r="I81" i="46"/>
  <c r="K73" i="46"/>
  <c r="K78" i="45"/>
  <c r="K97" i="45" s="1"/>
  <c r="F21" i="46"/>
  <c r="F51" i="46"/>
  <c r="F60" i="46" s="1"/>
  <c r="F30" i="45"/>
  <c r="F14" i="44"/>
  <c r="K17" i="45"/>
  <c r="L17" i="45" s="1"/>
  <c r="D53" i="46"/>
  <c r="I14" i="46"/>
  <c r="K13" i="45"/>
  <c r="K161" i="46"/>
  <c r="I181" i="46"/>
  <c r="K181" i="46" s="1"/>
  <c r="I167" i="46"/>
  <c r="D190" i="46"/>
  <c r="F167" i="46"/>
  <c r="K34" i="46"/>
  <c r="F102" i="46"/>
  <c r="K25" i="47"/>
  <c r="K17" i="47"/>
  <c r="I159" i="46"/>
  <c r="Q159" i="46"/>
  <c r="K76" i="46"/>
  <c r="I111" i="46"/>
  <c r="K111" i="46" s="1"/>
  <c r="D65" i="46"/>
  <c r="I45" i="46"/>
  <c r="F45" i="46"/>
  <c r="F88" i="45"/>
  <c r="F98" i="45" s="1"/>
  <c r="F113" i="45"/>
  <c r="F40" i="45"/>
  <c r="F19" i="45"/>
  <c r="F26" i="44"/>
  <c r="F30" i="44" s="1"/>
  <c r="I58" i="46"/>
  <c r="K58" i="46" s="1"/>
  <c r="K19" i="46"/>
  <c r="F100" i="46"/>
  <c r="I42" i="46"/>
  <c r="K42" i="46" s="1"/>
  <c r="I29" i="45"/>
  <c r="I113" i="45" s="1"/>
  <c r="F165" i="46"/>
  <c r="I99" i="46"/>
  <c r="K99" i="46" s="1"/>
  <c r="I88" i="45"/>
  <c r="I79" i="45"/>
  <c r="I82" i="45" s="1"/>
  <c r="K69" i="45"/>
  <c r="D63" i="46"/>
  <c r="I24" i="46"/>
  <c r="F24" i="46"/>
  <c r="I14" i="44"/>
  <c r="I184" i="46"/>
  <c r="K184" i="46" s="1"/>
  <c r="K164" i="46"/>
  <c r="K80" i="46"/>
  <c r="I115" i="46"/>
  <c r="K115" i="46" s="1"/>
  <c r="I100" i="46"/>
  <c r="I103" i="46" s="1"/>
  <c r="K93" i="46"/>
  <c r="K100" i="46" s="1"/>
  <c r="I64" i="46"/>
  <c r="K64" i="46" s="1"/>
  <c r="K25" i="46"/>
  <c r="K18" i="46"/>
  <c r="D96" i="45"/>
  <c r="K37" i="44"/>
  <c r="I43" i="44"/>
  <c r="D214" i="46"/>
  <c r="K25" i="45"/>
  <c r="Q40" i="46"/>
  <c r="I40" i="46"/>
  <c r="K40" i="46" s="1"/>
  <c r="I35" i="45"/>
  <c r="F56" i="45"/>
  <c r="I56" i="45"/>
  <c r="K56" i="45" s="1"/>
  <c r="K162" i="46"/>
  <c r="I182" i="46"/>
  <c r="K182" i="46" s="1"/>
  <c r="D132" i="46"/>
  <c r="D145" i="46"/>
  <c r="I114" i="46"/>
  <c r="K114" i="46" s="1"/>
  <c r="K79" i="46"/>
  <c r="H160" i="46"/>
  <c r="Q137" i="46"/>
  <c r="K20" i="46"/>
  <c r="I59" i="46"/>
  <c r="K59" i="46" s="1"/>
  <c r="K21" i="47"/>
  <c r="H31" i="47"/>
  <c r="K140" i="46"/>
  <c r="I183" i="46"/>
  <c r="K183" i="46" s="1"/>
  <c r="I103" i="45"/>
  <c r="K81" i="45"/>
  <c r="K103" i="45" s="1"/>
  <c r="K12" i="44"/>
  <c r="F108" i="46"/>
  <c r="F81" i="45"/>
  <c r="F103" i="45" s="1"/>
  <c r="I57" i="45"/>
  <c r="I119" i="45" s="1"/>
  <c r="K47" i="45"/>
  <c r="I26" i="45"/>
  <c r="K26" i="45" s="1"/>
  <c r="F26" i="45"/>
  <c r="F36" i="45" s="1"/>
  <c r="F37" i="45" s="1"/>
  <c r="I174" i="46"/>
  <c r="K174" i="46" s="1"/>
  <c r="K155" i="46"/>
  <c r="I51" i="46"/>
  <c r="I54" i="46"/>
  <c r="K54" i="46" s="1"/>
  <c r="K15" i="46"/>
  <c r="F15" i="45"/>
  <c r="F118" i="45" s="1"/>
  <c r="K12" i="46"/>
  <c r="K24" i="44"/>
  <c r="K26" i="44" s="1"/>
  <c r="K49" i="44"/>
  <c r="I60" i="45"/>
  <c r="F60" i="45"/>
  <c r="K113" i="45" l="1"/>
  <c r="F101" i="45"/>
  <c r="F104" i="45" s="1"/>
  <c r="F106" i="45" s="1"/>
  <c r="F62" i="45"/>
  <c r="K14" i="44"/>
  <c r="L12" i="44"/>
  <c r="F26" i="46"/>
  <c r="F199" i="46" s="1"/>
  <c r="F63" i="46"/>
  <c r="F145" i="46"/>
  <c r="I145" i="46"/>
  <c r="I98" i="45"/>
  <c r="I106" i="45" s="1"/>
  <c r="F123" i="45"/>
  <c r="I65" i="46"/>
  <c r="K45" i="46"/>
  <c r="F121" i="46"/>
  <c r="F103" i="46"/>
  <c r="F190" i="46"/>
  <c r="F168" i="46"/>
  <c r="F205" i="46"/>
  <c r="F28" i="46"/>
  <c r="I206" i="46"/>
  <c r="K14" i="45"/>
  <c r="K15" i="45" s="1"/>
  <c r="I15" i="45"/>
  <c r="I110" i="46"/>
  <c r="K57" i="45"/>
  <c r="Q160" i="46"/>
  <c r="I160" i="46"/>
  <c r="I132" i="46"/>
  <c r="F132" i="46"/>
  <c r="O39" i="44"/>
  <c r="L37" i="44"/>
  <c r="K43" i="44"/>
  <c r="L43" i="44" s="1"/>
  <c r="I50" i="44"/>
  <c r="I18" i="44"/>
  <c r="F79" i="45"/>
  <c r="F82" i="45" s="1"/>
  <c r="K159" i="46"/>
  <c r="I179" i="46"/>
  <c r="K179" i="46" s="1"/>
  <c r="F50" i="44"/>
  <c r="F51" i="44" s="1"/>
  <c r="F18" i="44"/>
  <c r="I97" i="45"/>
  <c r="K108" i="46"/>
  <c r="I116" i="46"/>
  <c r="K76" i="45"/>
  <c r="K95" i="45" s="1"/>
  <c r="I95" i="45"/>
  <c r="F57" i="45"/>
  <c r="K102" i="46"/>
  <c r="K103" i="46" s="1"/>
  <c r="I27" i="45"/>
  <c r="I89" i="45"/>
  <c r="K70" i="45"/>
  <c r="K89" i="45" s="1"/>
  <c r="I36" i="45"/>
  <c r="K36" i="45" s="1"/>
  <c r="K30" i="44"/>
  <c r="L30" i="44" s="1"/>
  <c r="L26" i="44"/>
  <c r="K35" i="45"/>
  <c r="K37" i="45" s="1"/>
  <c r="I37" i="45"/>
  <c r="D124" i="45"/>
  <c r="D125" i="45" s="1"/>
  <c r="D217" i="46"/>
  <c r="D220" i="46" s="1"/>
  <c r="K79" i="45"/>
  <c r="K88" i="45"/>
  <c r="K98" i="45" s="1"/>
  <c r="I190" i="46"/>
  <c r="K190" i="46" s="1"/>
  <c r="K167" i="46"/>
  <c r="K121" i="46"/>
  <c r="K27" i="45"/>
  <c r="K35" i="46"/>
  <c r="K43" i="46" s="1"/>
  <c r="L43" i="46" s="1"/>
  <c r="I52" i="46"/>
  <c r="K52" i="46" s="1"/>
  <c r="I84" i="46"/>
  <c r="F84" i="46"/>
  <c r="K31" i="47"/>
  <c r="L30" i="47" s="1"/>
  <c r="I101" i="45"/>
  <c r="I104" i="45" s="1"/>
  <c r="I62" i="45"/>
  <c r="K60" i="45"/>
  <c r="K21" i="46"/>
  <c r="K51" i="46"/>
  <c r="I57" i="46"/>
  <c r="K57" i="46" s="1"/>
  <c r="I63" i="46"/>
  <c r="K24" i="46"/>
  <c r="K26" i="46" s="1"/>
  <c r="L26" i="46" s="1"/>
  <c r="I26" i="46"/>
  <c r="I199" i="46" s="1"/>
  <c r="I30" i="45"/>
  <c r="K29" i="45"/>
  <c r="F41" i="45"/>
  <c r="F46" i="46"/>
  <c r="F65" i="46"/>
  <c r="I43" i="46"/>
  <c r="I46" i="46" s="1"/>
  <c r="I53" i="46"/>
  <c r="K53" i="46" s="1"/>
  <c r="K14" i="46"/>
  <c r="I21" i="46"/>
  <c r="I40" i="45"/>
  <c r="F75" i="46"/>
  <c r="D110" i="46"/>
  <c r="F110" i="46" l="1"/>
  <c r="F116" i="46" s="1"/>
  <c r="F124" i="46" s="1"/>
  <c r="F81" i="46"/>
  <c r="F206" i="46" s="1"/>
  <c r="K206" i="46" s="1"/>
  <c r="I205" i="46"/>
  <c r="I28" i="46"/>
  <c r="K62" i="45"/>
  <c r="K101" i="45"/>
  <c r="K104" i="45" s="1"/>
  <c r="L104" i="45" s="1"/>
  <c r="F119" i="46"/>
  <c r="F122" i="46" s="1"/>
  <c r="F86" i="46"/>
  <c r="K30" i="45"/>
  <c r="K82" i="45"/>
  <c r="L82" i="45" s="1"/>
  <c r="L79" i="45"/>
  <c r="K41" i="45"/>
  <c r="L41" i="45" s="1"/>
  <c r="L37" i="45"/>
  <c r="K110" i="46"/>
  <c r="K46" i="46"/>
  <c r="L46" i="46" s="1"/>
  <c r="K18" i="44"/>
  <c r="L18" i="44" s="1"/>
  <c r="O14" i="44"/>
  <c r="L14" i="44"/>
  <c r="I211" i="46"/>
  <c r="K199" i="46"/>
  <c r="K60" i="46"/>
  <c r="I114" i="45"/>
  <c r="I64" i="45"/>
  <c r="I119" i="46"/>
  <c r="I86" i="46"/>
  <c r="K84" i="46"/>
  <c r="K86" i="46" s="1"/>
  <c r="F119" i="45"/>
  <c r="K116" i="46"/>
  <c r="K50" i="44"/>
  <c r="I51" i="44"/>
  <c r="F175" i="46"/>
  <c r="F185" i="46" s="1"/>
  <c r="F142" i="46"/>
  <c r="K65" i="46"/>
  <c r="I147" i="46"/>
  <c r="K145" i="46"/>
  <c r="I188" i="46"/>
  <c r="F66" i="46"/>
  <c r="F68" i="46" s="1"/>
  <c r="I60" i="46"/>
  <c r="I175" i="46"/>
  <c r="K132" i="46"/>
  <c r="I142" i="46"/>
  <c r="L57" i="45"/>
  <c r="O48" i="45"/>
  <c r="I118" i="45"/>
  <c r="I19" i="45"/>
  <c r="F188" i="46"/>
  <c r="F191" i="46" s="1"/>
  <c r="F147" i="46"/>
  <c r="F201" i="46" s="1"/>
  <c r="F211" i="46"/>
  <c r="F114" i="45"/>
  <c r="F64" i="45"/>
  <c r="K40" i="45"/>
  <c r="L40" i="45" s="1"/>
  <c r="I41" i="45"/>
  <c r="I66" i="46"/>
  <c r="K63" i="46"/>
  <c r="K66" i="46" s="1"/>
  <c r="L66" i="46" s="1"/>
  <c r="L21" i="46"/>
  <c r="O13" i="46"/>
  <c r="K28" i="46"/>
  <c r="L28" i="46" s="1"/>
  <c r="K106" i="45"/>
  <c r="L106" i="45" s="1"/>
  <c r="L98" i="45"/>
  <c r="K160" i="46"/>
  <c r="K165" i="46" s="1"/>
  <c r="L165" i="46" s="1"/>
  <c r="I180" i="46"/>
  <c r="K180" i="46" s="1"/>
  <c r="I165" i="46"/>
  <c r="I168" i="46" s="1"/>
  <c r="K75" i="46"/>
  <c r="K81" i="46" s="1"/>
  <c r="K19" i="45"/>
  <c r="L19" i="45" s="1"/>
  <c r="O14" i="45"/>
  <c r="L15" i="45"/>
  <c r="F217" i="46" l="1"/>
  <c r="F220" i="46" s="1"/>
  <c r="I200" i="46"/>
  <c r="I88" i="46"/>
  <c r="F124" i="45"/>
  <c r="F125" i="45" s="1"/>
  <c r="F115" i="45"/>
  <c r="I191" i="46"/>
  <c r="K188" i="46"/>
  <c r="K191" i="46" s="1"/>
  <c r="L191" i="46" s="1"/>
  <c r="O74" i="46"/>
  <c r="L81" i="46"/>
  <c r="K168" i="46"/>
  <c r="L168" i="46" s="1"/>
  <c r="F193" i="46"/>
  <c r="F120" i="45"/>
  <c r="K119" i="45"/>
  <c r="L119" i="45" s="1"/>
  <c r="F88" i="46"/>
  <c r="F200" i="46"/>
  <c r="I149" i="46"/>
  <c r="K142" i="46"/>
  <c r="I207" i="46"/>
  <c r="I68" i="46"/>
  <c r="K147" i="46"/>
  <c r="L147" i="46" s="1"/>
  <c r="I201" i="46"/>
  <c r="L86" i="46"/>
  <c r="K88" i="46"/>
  <c r="K114" i="45"/>
  <c r="K115" i="45" s="1"/>
  <c r="I124" i="45"/>
  <c r="K124" i="45" s="1"/>
  <c r="L124" i="45" s="1"/>
  <c r="I115" i="45"/>
  <c r="K211" i="46"/>
  <c r="I208" i="46"/>
  <c r="K205" i="46"/>
  <c r="K118" i="45"/>
  <c r="I120" i="45"/>
  <c r="I123" i="45"/>
  <c r="L50" i="44"/>
  <c r="K51" i="44"/>
  <c r="L51" i="44" s="1"/>
  <c r="K68" i="46"/>
  <c r="L68" i="46" s="1"/>
  <c r="L60" i="46"/>
  <c r="K175" i="46"/>
  <c r="K185" i="46" s="1"/>
  <c r="I185" i="46"/>
  <c r="F207" i="46"/>
  <c r="F213" i="46" s="1"/>
  <c r="F149" i="46"/>
  <c r="L116" i="46"/>
  <c r="I122" i="46"/>
  <c r="I124" i="46" s="1"/>
  <c r="K119" i="46"/>
  <c r="K122" i="46" s="1"/>
  <c r="L122" i="46" s="1"/>
  <c r="L62" i="45"/>
  <c r="K64" i="45"/>
  <c r="L64" i="45" s="1"/>
  <c r="O131" i="46" l="1"/>
  <c r="L142" i="46"/>
  <c r="K149" i="46"/>
  <c r="L149" i="46" s="1"/>
  <c r="F208" i="46"/>
  <c r="K200" i="46"/>
  <c r="I212" i="46"/>
  <c r="I202" i="46"/>
  <c r="I193" i="46"/>
  <c r="I217" i="46" s="1"/>
  <c r="K120" i="45"/>
  <c r="L120" i="45" s="1"/>
  <c r="L118" i="45"/>
  <c r="L88" i="46"/>
  <c r="K124" i="46"/>
  <c r="L124" i="46" s="1"/>
  <c r="L185" i="46"/>
  <c r="K193" i="46"/>
  <c r="L193" i="46" s="1"/>
  <c r="K207" i="46"/>
  <c r="K208" i="46" s="1"/>
  <c r="F212" i="46"/>
  <c r="F214" i="46" s="1"/>
  <c r="F202" i="46"/>
  <c r="K123" i="45"/>
  <c r="I125" i="45"/>
  <c r="K201" i="46"/>
  <c r="I213" i="46"/>
  <c r="K213" i="46" s="1"/>
  <c r="I220" i="46" l="1"/>
  <c r="K217" i="46"/>
  <c r="K212" i="46"/>
  <c r="K214" i="46" s="1"/>
  <c r="I214" i="46"/>
  <c r="K202" i="46"/>
  <c r="K125" i="45"/>
  <c r="L125" i="45" s="1"/>
  <c r="L123" i="45"/>
  <c r="K220" i="46" l="1"/>
  <c r="L220" i="46" s="1"/>
  <c r="L217" i="46"/>
  <c r="G23" i="21" l="1"/>
  <c r="G26" i="5" l="1"/>
  <c r="G28" i="5" l="1"/>
  <c r="O5" i="37" l="1"/>
  <c r="O6" i="37"/>
  <c r="O7" i="37"/>
  <c r="O8" i="37"/>
  <c r="O9" i="37"/>
  <c r="O13" i="37"/>
  <c r="O14" i="37"/>
  <c r="O15" i="37"/>
  <c r="O16" i="37"/>
  <c r="O17" i="37"/>
  <c r="O18" i="37"/>
  <c r="O19" i="37"/>
  <c r="O23" i="37"/>
  <c r="O24" i="37"/>
  <c r="O25" i="37"/>
  <c r="O26" i="37"/>
  <c r="O4" i="37"/>
  <c r="D2" i="37"/>
  <c r="E2" i="37" s="1"/>
  <c r="F2" i="37" s="1"/>
  <c r="G2" i="37" s="1"/>
  <c r="H2" i="37" s="1"/>
  <c r="I2" i="37" s="1"/>
  <c r="J2" i="37" s="1"/>
  <c r="K2" i="37" s="1"/>
  <c r="L2" i="37" s="1"/>
  <c r="M2" i="37" s="1"/>
  <c r="N2" i="37" s="1"/>
  <c r="M95" i="40"/>
  <c r="L95" i="40"/>
  <c r="K95" i="40"/>
  <c r="J95" i="40"/>
  <c r="I95" i="40"/>
  <c r="H95" i="40"/>
  <c r="G95" i="40"/>
  <c r="F95" i="40"/>
  <c r="E95" i="40"/>
  <c r="D95" i="40"/>
  <c r="C95" i="40"/>
  <c r="B95" i="40"/>
  <c r="N94" i="40"/>
  <c r="N93" i="40"/>
  <c r="N92" i="40"/>
  <c r="N91" i="40"/>
  <c r="N90" i="40"/>
  <c r="N89" i="40"/>
  <c r="M85" i="40"/>
  <c r="L85" i="40"/>
  <c r="K85" i="40"/>
  <c r="J85" i="40"/>
  <c r="I85" i="40"/>
  <c r="H85" i="40"/>
  <c r="G85" i="40"/>
  <c r="F85" i="40"/>
  <c r="E85" i="40"/>
  <c r="D85" i="40"/>
  <c r="C85" i="40"/>
  <c r="B85" i="40"/>
  <c r="N84" i="40"/>
  <c r="N83" i="40"/>
  <c r="N82" i="40"/>
  <c r="N81" i="40"/>
  <c r="N80" i="40"/>
  <c r="N79" i="40"/>
  <c r="M43" i="40"/>
  <c r="L43" i="40"/>
  <c r="K43" i="40"/>
  <c r="J43" i="40"/>
  <c r="I43" i="40"/>
  <c r="H43" i="40"/>
  <c r="G43" i="40"/>
  <c r="F43" i="40"/>
  <c r="E43" i="40"/>
  <c r="D43" i="40"/>
  <c r="C43" i="40"/>
  <c r="B43" i="40"/>
  <c r="N42" i="40"/>
  <c r="N41" i="40"/>
  <c r="N40" i="40"/>
  <c r="M36" i="40"/>
  <c r="L36" i="40"/>
  <c r="K36" i="40"/>
  <c r="J36" i="40"/>
  <c r="I36" i="40"/>
  <c r="H36" i="40"/>
  <c r="G36" i="40"/>
  <c r="F36" i="40"/>
  <c r="E36" i="40"/>
  <c r="D36" i="40"/>
  <c r="C36" i="40"/>
  <c r="B36" i="40"/>
  <c r="N35" i="40"/>
  <c r="N34" i="40"/>
  <c r="N33" i="40"/>
  <c r="M114" i="40"/>
  <c r="L114" i="40"/>
  <c r="K114" i="40"/>
  <c r="J114" i="40"/>
  <c r="I114" i="40"/>
  <c r="H114" i="40"/>
  <c r="G114" i="40"/>
  <c r="F114" i="40"/>
  <c r="E114" i="40"/>
  <c r="D114" i="40"/>
  <c r="C114" i="40"/>
  <c r="B114" i="40"/>
  <c r="N113" i="40"/>
  <c r="N112" i="40"/>
  <c r="N111" i="40"/>
  <c r="N110" i="40"/>
  <c r="N109" i="40"/>
  <c r="N108" i="40"/>
  <c r="M104" i="40"/>
  <c r="L104" i="40"/>
  <c r="K104" i="40"/>
  <c r="J104" i="40"/>
  <c r="I104" i="40"/>
  <c r="H104" i="40"/>
  <c r="G104" i="40"/>
  <c r="F104" i="40"/>
  <c r="E104" i="40"/>
  <c r="D104" i="40"/>
  <c r="C104" i="40"/>
  <c r="B104" i="40"/>
  <c r="N103" i="40"/>
  <c r="N102" i="40"/>
  <c r="N101" i="40"/>
  <c r="N100" i="40"/>
  <c r="N99" i="40"/>
  <c r="N98" i="40"/>
  <c r="M57" i="40"/>
  <c r="L57" i="40"/>
  <c r="K57" i="40"/>
  <c r="J57" i="40"/>
  <c r="I57" i="40"/>
  <c r="H57" i="40"/>
  <c r="G57" i="40"/>
  <c r="F57" i="40"/>
  <c r="E57" i="40"/>
  <c r="D57" i="40"/>
  <c r="C57" i="40"/>
  <c r="B57" i="40"/>
  <c r="N56" i="40"/>
  <c r="N55" i="40"/>
  <c r="N54" i="40"/>
  <c r="M50" i="40"/>
  <c r="L50" i="40"/>
  <c r="K50" i="40"/>
  <c r="J50" i="40"/>
  <c r="I50" i="40"/>
  <c r="H50" i="40"/>
  <c r="G50" i="40"/>
  <c r="F50" i="40"/>
  <c r="E50" i="40"/>
  <c r="D50" i="40"/>
  <c r="C50" i="40"/>
  <c r="B50" i="40"/>
  <c r="N49" i="40"/>
  <c r="N48" i="40"/>
  <c r="N47" i="40"/>
  <c r="M69" i="40"/>
  <c r="L69" i="40"/>
  <c r="K69" i="40"/>
  <c r="J69" i="40"/>
  <c r="I69" i="40"/>
  <c r="H69" i="40"/>
  <c r="G69" i="40"/>
  <c r="F69" i="40"/>
  <c r="E69" i="40"/>
  <c r="D69" i="40"/>
  <c r="C69" i="40"/>
  <c r="B69" i="40"/>
  <c r="N68" i="40"/>
  <c r="N67" i="40"/>
  <c r="M63" i="40"/>
  <c r="L63" i="40"/>
  <c r="K63" i="40"/>
  <c r="J63" i="40"/>
  <c r="I63" i="40"/>
  <c r="H63" i="40"/>
  <c r="G63" i="40"/>
  <c r="F63" i="40"/>
  <c r="E63" i="40"/>
  <c r="D63" i="40"/>
  <c r="C63" i="40"/>
  <c r="B63" i="40"/>
  <c r="N62" i="40"/>
  <c r="N61" i="40"/>
  <c r="M15" i="40"/>
  <c r="L15" i="40"/>
  <c r="K15" i="40"/>
  <c r="J15" i="40"/>
  <c r="I15" i="40"/>
  <c r="H15" i="40"/>
  <c r="G15" i="40"/>
  <c r="F15" i="40"/>
  <c r="E15" i="40"/>
  <c r="D15" i="40"/>
  <c r="C15" i="40"/>
  <c r="B15" i="40"/>
  <c r="N14" i="40"/>
  <c r="N13" i="40"/>
  <c r="N12" i="40"/>
  <c r="M8" i="40"/>
  <c r="L8" i="40"/>
  <c r="K8" i="40"/>
  <c r="J8" i="40"/>
  <c r="I8" i="40"/>
  <c r="H8" i="40"/>
  <c r="G8" i="40"/>
  <c r="F8" i="40"/>
  <c r="E8" i="40"/>
  <c r="D8" i="40"/>
  <c r="C8" i="40"/>
  <c r="B8" i="40"/>
  <c r="N7" i="40"/>
  <c r="N6" i="40"/>
  <c r="N5" i="40"/>
  <c r="M75" i="40"/>
  <c r="L75" i="40"/>
  <c r="K75" i="40"/>
  <c r="J75" i="40"/>
  <c r="I75" i="40"/>
  <c r="H75" i="40"/>
  <c r="G75" i="40"/>
  <c r="F75" i="40"/>
  <c r="E75" i="40"/>
  <c r="D75" i="40"/>
  <c r="C75" i="40"/>
  <c r="B75" i="40"/>
  <c r="N74" i="40"/>
  <c r="N73" i="40"/>
  <c r="M29" i="40"/>
  <c r="L29" i="40"/>
  <c r="K29" i="40"/>
  <c r="J29" i="40"/>
  <c r="I29" i="40"/>
  <c r="H29" i="40"/>
  <c r="G29" i="40"/>
  <c r="F29" i="40"/>
  <c r="E29" i="40"/>
  <c r="D29" i="40"/>
  <c r="C29" i="40"/>
  <c r="B29" i="40"/>
  <c r="N28" i="40"/>
  <c r="N27" i="40"/>
  <c r="N26" i="40"/>
  <c r="M22" i="40"/>
  <c r="L22" i="40"/>
  <c r="K22" i="40"/>
  <c r="J22" i="40"/>
  <c r="I22" i="40"/>
  <c r="H22" i="40"/>
  <c r="G22" i="40"/>
  <c r="F22" i="40"/>
  <c r="E22" i="40"/>
  <c r="D22" i="40"/>
  <c r="C22" i="40"/>
  <c r="B22" i="40"/>
  <c r="N21" i="40"/>
  <c r="N20" i="40"/>
  <c r="N19" i="40"/>
  <c r="M116" i="39"/>
  <c r="L116" i="39"/>
  <c r="K116" i="39"/>
  <c r="J116" i="39"/>
  <c r="I116" i="39"/>
  <c r="H116" i="39"/>
  <c r="G116" i="39"/>
  <c r="F116" i="39"/>
  <c r="E116" i="39"/>
  <c r="D116" i="39"/>
  <c r="C116" i="39"/>
  <c r="B116" i="39"/>
  <c r="M104" i="39"/>
  <c r="AA60" i="39" s="1"/>
  <c r="L104" i="39"/>
  <c r="Z60" i="39" s="1"/>
  <c r="K104" i="39"/>
  <c r="Y60" i="39" s="1"/>
  <c r="J104" i="39"/>
  <c r="X60" i="39" s="1"/>
  <c r="I104" i="39"/>
  <c r="W60" i="39" s="1"/>
  <c r="H104" i="39"/>
  <c r="G104" i="39"/>
  <c r="U60" i="39" s="1"/>
  <c r="F104" i="39"/>
  <c r="T60" i="39" s="1"/>
  <c r="E104" i="39"/>
  <c r="S60" i="39" s="1"/>
  <c r="D104" i="39"/>
  <c r="C104" i="39"/>
  <c r="Q60" i="39" s="1"/>
  <c r="B104" i="39"/>
  <c r="P60" i="39" s="1"/>
  <c r="M103" i="39"/>
  <c r="AA59" i="39" s="1"/>
  <c r="L103" i="39"/>
  <c r="Z59" i="39" s="1"/>
  <c r="K103" i="39"/>
  <c r="Y59" i="39" s="1"/>
  <c r="J103" i="39"/>
  <c r="X59" i="39" s="1"/>
  <c r="I103" i="39"/>
  <c r="W59" i="39" s="1"/>
  <c r="H103" i="39"/>
  <c r="V59" i="39" s="1"/>
  <c r="G103" i="39"/>
  <c r="U59" i="39" s="1"/>
  <c r="F103" i="39"/>
  <c r="T59" i="39" s="1"/>
  <c r="E103" i="39"/>
  <c r="S59" i="39" s="1"/>
  <c r="D103" i="39"/>
  <c r="C103" i="39"/>
  <c r="Q59" i="39" s="1"/>
  <c r="B103" i="39"/>
  <c r="P59" i="39" s="1"/>
  <c r="M102" i="39"/>
  <c r="AA58" i="39" s="1"/>
  <c r="L102" i="39"/>
  <c r="K102" i="39"/>
  <c r="Y58" i="39" s="1"/>
  <c r="J102" i="39"/>
  <c r="X58" i="39" s="1"/>
  <c r="I102" i="39"/>
  <c r="W58" i="39" s="1"/>
  <c r="H102" i="39"/>
  <c r="V58" i="39" s="1"/>
  <c r="G102" i="39"/>
  <c r="U58" i="39" s="1"/>
  <c r="F102" i="39"/>
  <c r="T58" i="39" s="1"/>
  <c r="E102" i="39"/>
  <c r="S58" i="39" s="1"/>
  <c r="D102" i="39"/>
  <c r="C102" i="39"/>
  <c r="Q58" i="39" s="1"/>
  <c r="B102" i="39"/>
  <c r="P58" i="39" s="1"/>
  <c r="M101" i="39"/>
  <c r="AA57" i="39" s="1"/>
  <c r="L101" i="39"/>
  <c r="K101" i="39"/>
  <c r="Y57" i="39" s="1"/>
  <c r="J101" i="39"/>
  <c r="X57" i="39" s="1"/>
  <c r="I101" i="39"/>
  <c r="W57" i="39" s="1"/>
  <c r="H101" i="39"/>
  <c r="V57" i="39" s="1"/>
  <c r="G101" i="39"/>
  <c r="U57" i="39" s="1"/>
  <c r="F101" i="39"/>
  <c r="T57" i="39" s="1"/>
  <c r="E101" i="39"/>
  <c r="S57" i="39" s="1"/>
  <c r="D101" i="39"/>
  <c r="C101" i="39"/>
  <c r="Q57" i="39" s="1"/>
  <c r="B101" i="39"/>
  <c r="P57" i="39" s="1"/>
  <c r="M100" i="39"/>
  <c r="AA56" i="39" s="1"/>
  <c r="L100" i="39"/>
  <c r="K100" i="39"/>
  <c r="Y56" i="39" s="1"/>
  <c r="J100" i="39"/>
  <c r="X56" i="39" s="1"/>
  <c r="I100" i="39"/>
  <c r="W56" i="39" s="1"/>
  <c r="H100" i="39"/>
  <c r="V56" i="39" s="1"/>
  <c r="G100" i="39"/>
  <c r="U56" i="39" s="1"/>
  <c r="F100" i="39"/>
  <c r="T56" i="39" s="1"/>
  <c r="E100" i="39"/>
  <c r="S56" i="39" s="1"/>
  <c r="D100" i="39"/>
  <c r="R56" i="39" s="1"/>
  <c r="C100" i="39"/>
  <c r="Q56" i="39" s="1"/>
  <c r="B100" i="39"/>
  <c r="P56" i="39" s="1"/>
  <c r="M94" i="39"/>
  <c r="M95" i="39" s="1"/>
  <c r="L94" i="39"/>
  <c r="K94" i="39"/>
  <c r="K95" i="39" s="1"/>
  <c r="J94" i="39"/>
  <c r="J95" i="39" s="1"/>
  <c r="I94" i="39"/>
  <c r="I95" i="39" s="1"/>
  <c r="H94" i="39"/>
  <c r="G94" i="39"/>
  <c r="F94" i="39"/>
  <c r="E94" i="39"/>
  <c r="E95" i="39" s="1"/>
  <c r="D94" i="39"/>
  <c r="C94" i="39"/>
  <c r="C95" i="39" s="1"/>
  <c r="B94" i="39"/>
  <c r="M88" i="39"/>
  <c r="AA50" i="39" s="1"/>
  <c r="L88" i="39"/>
  <c r="Z50" i="39" s="1"/>
  <c r="K88" i="39"/>
  <c r="Y50" i="39" s="1"/>
  <c r="J88" i="39"/>
  <c r="X50" i="39" s="1"/>
  <c r="I88" i="39"/>
  <c r="W50" i="39" s="1"/>
  <c r="H88" i="39"/>
  <c r="V50" i="39" s="1"/>
  <c r="G88" i="39"/>
  <c r="F88" i="39"/>
  <c r="T50" i="39" s="1"/>
  <c r="E88" i="39"/>
  <c r="S50" i="39" s="1"/>
  <c r="D88" i="39"/>
  <c r="R50" i="39" s="1"/>
  <c r="C88" i="39"/>
  <c r="B88" i="39"/>
  <c r="P50" i="39" s="1"/>
  <c r="M82" i="39"/>
  <c r="L82" i="39"/>
  <c r="K82" i="39"/>
  <c r="J82" i="39"/>
  <c r="I82" i="39"/>
  <c r="H82" i="39"/>
  <c r="G82" i="39"/>
  <c r="F82" i="39"/>
  <c r="E82" i="39"/>
  <c r="D82" i="39"/>
  <c r="C82" i="39"/>
  <c r="B82" i="39"/>
  <c r="M81" i="39"/>
  <c r="L81" i="39"/>
  <c r="L83" i="39" s="1"/>
  <c r="K81" i="39"/>
  <c r="J81" i="39"/>
  <c r="J83" i="39" s="1"/>
  <c r="I81" i="39"/>
  <c r="H81" i="39"/>
  <c r="H83" i="39" s="1"/>
  <c r="G81" i="39"/>
  <c r="G83" i="39" s="1"/>
  <c r="F81" i="39"/>
  <c r="E81" i="39"/>
  <c r="D81" i="39"/>
  <c r="D83" i="39" s="1"/>
  <c r="C81" i="39"/>
  <c r="B81" i="39"/>
  <c r="B83" i="39" s="1"/>
  <c r="M75" i="39"/>
  <c r="AA44" i="39" s="1"/>
  <c r="L75" i="39"/>
  <c r="Z44" i="39" s="1"/>
  <c r="K75" i="39"/>
  <c r="Y44" i="39" s="1"/>
  <c r="J75" i="39"/>
  <c r="X44" i="39" s="1"/>
  <c r="I75" i="39"/>
  <c r="H75" i="39"/>
  <c r="V44" i="39" s="1"/>
  <c r="G75" i="39"/>
  <c r="U44" i="39" s="1"/>
  <c r="F75" i="39"/>
  <c r="T44" i="39" s="1"/>
  <c r="E75" i="39"/>
  <c r="D75" i="39"/>
  <c r="R44" i="39" s="1"/>
  <c r="C75" i="39"/>
  <c r="Q44" i="39" s="1"/>
  <c r="B75" i="39"/>
  <c r="P44" i="39" s="1"/>
  <c r="M74" i="39"/>
  <c r="L74" i="39"/>
  <c r="Z43" i="39" s="1"/>
  <c r="K74" i="39"/>
  <c r="Y43" i="39" s="1"/>
  <c r="J74" i="39"/>
  <c r="I74" i="39"/>
  <c r="H74" i="39"/>
  <c r="V43" i="39" s="1"/>
  <c r="G74" i="39"/>
  <c r="U43" i="39" s="1"/>
  <c r="F74" i="39"/>
  <c r="E74" i="39"/>
  <c r="D74" i="39"/>
  <c r="R43" i="39" s="1"/>
  <c r="C74" i="39"/>
  <c r="Q43" i="39" s="1"/>
  <c r="B74" i="39"/>
  <c r="M68" i="39"/>
  <c r="L68" i="39"/>
  <c r="K68" i="39"/>
  <c r="J68" i="39"/>
  <c r="I68" i="39"/>
  <c r="H68" i="39"/>
  <c r="G68" i="39"/>
  <c r="F68" i="39"/>
  <c r="E68" i="39"/>
  <c r="D68" i="39"/>
  <c r="C68" i="39"/>
  <c r="B68" i="39"/>
  <c r="M67" i="39"/>
  <c r="L67" i="39"/>
  <c r="K67" i="39"/>
  <c r="J67" i="39"/>
  <c r="I67" i="39"/>
  <c r="H67" i="39"/>
  <c r="G67" i="39"/>
  <c r="F67" i="39"/>
  <c r="E67" i="39"/>
  <c r="D67" i="39"/>
  <c r="C67" i="39"/>
  <c r="B67" i="39"/>
  <c r="M61" i="39"/>
  <c r="L61" i="39"/>
  <c r="Z37" i="39" s="1"/>
  <c r="K61" i="39"/>
  <c r="Y37" i="39" s="1"/>
  <c r="J61" i="39"/>
  <c r="X37" i="39" s="1"/>
  <c r="I61" i="39"/>
  <c r="H61" i="39"/>
  <c r="V37" i="39" s="1"/>
  <c r="G61" i="39"/>
  <c r="U37" i="39" s="1"/>
  <c r="F61" i="39"/>
  <c r="E61" i="39"/>
  <c r="D61" i="39"/>
  <c r="R37" i="39" s="1"/>
  <c r="C61" i="39"/>
  <c r="Q37" i="39" s="1"/>
  <c r="B61" i="39"/>
  <c r="V60" i="39"/>
  <c r="R60" i="39"/>
  <c r="M60" i="39"/>
  <c r="L60" i="39"/>
  <c r="K60" i="39"/>
  <c r="J60" i="39"/>
  <c r="I60" i="39"/>
  <c r="H60" i="39"/>
  <c r="G60" i="39"/>
  <c r="F60" i="39"/>
  <c r="E60" i="39"/>
  <c r="D60" i="39"/>
  <c r="C60" i="39"/>
  <c r="B60" i="39"/>
  <c r="R59" i="39"/>
  <c r="Z58" i="39"/>
  <c r="R58" i="39"/>
  <c r="Z57" i="39"/>
  <c r="R57" i="39"/>
  <c r="Z56" i="39"/>
  <c r="M54" i="39"/>
  <c r="L54" i="39"/>
  <c r="K54" i="39"/>
  <c r="J54" i="39"/>
  <c r="I54" i="39"/>
  <c r="H54" i="39"/>
  <c r="G54" i="39"/>
  <c r="F54" i="39"/>
  <c r="E54" i="39"/>
  <c r="D54" i="39"/>
  <c r="C54" i="39"/>
  <c r="B54" i="39"/>
  <c r="M53" i="39"/>
  <c r="L53" i="39"/>
  <c r="K53" i="39"/>
  <c r="J53" i="39"/>
  <c r="I53" i="39"/>
  <c r="H53" i="39"/>
  <c r="G53" i="39"/>
  <c r="F53" i="39"/>
  <c r="E53" i="39"/>
  <c r="D53" i="39"/>
  <c r="C53" i="39"/>
  <c r="B53" i="39"/>
  <c r="M52" i="39"/>
  <c r="L52" i="39"/>
  <c r="K52" i="39"/>
  <c r="J52" i="39"/>
  <c r="I52" i="39"/>
  <c r="H52" i="39"/>
  <c r="G52" i="39"/>
  <c r="F52" i="39"/>
  <c r="E52" i="39"/>
  <c r="D52" i="39"/>
  <c r="C52" i="39"/>
  <c r="B52" i="39"/>
  <c r="M51" i="39"/>
  <c r="L51" i="39"/>
  <c r="K51" i="39"/>
  <c r="J51" i="39"/>
  <c r="I51" i="39"/>
  <c r="H51" i="39"/>
  <c r="G51" i="39"/>
  <c r="F51" i="39"/>
  <c r="E51" i="39"/>
  <c r="D51" i="39"/>
  <c r="C51" i="39"/>
  <c r="B51" i="39"/>
  <c r="M50" i="39"/>
  <c r="L50" i="39"/>
  <c r="K50" i="39"/>
  <c r="J50" i="39"/>
  <c r="I50" i="39"/>
  <c r="H50" i="39"/>
  <c r="G50" i="39"/>
  <c r="F50" i="39"/>
  <c r="E50" i="39"/>
  <c r="D50" i="39"/>
  <c r="C50" i="39"/>
  <c r="B50" i="39"/>
  <c r="M44" i="39"/>
  <c r="L44" i="39"/>
  <c r="K44" i="39"/>
  <c r="J44" i="39"/>
  <c r="I44" i="39"/>
  <c r="H44" i="39"/>
  <c r="G44" i="39"/>
  <c r="F44" i="39"/>
  <c r="E44" i="39"/>
  <c r="D44" i="39"/>
  <c r="C44" i="39"/>
  <c r="B44" i="39"/>
  <c r="M43" i="39"/>
  <c r="L43" i="39"/>
  <c r="K43" i="39"/>
  <c r="J43" i="39"/>
  <c r="I43" i="39"/>
  <c r="H43" i="39"/>
  <c r="G43" i="39"/>
  <c r="F43" i="39"/>
  <c r="E43" i="39"/>
  <c r="D43" i="39"/>
  <c r="C43" i="39"/>
  <c r="B43" i="39"/>
  <c r="M42" i="39"/>
  <c r="L42" i="39"/>
  <c r="K42" i="39"/>
  <c r="J42" i="39"/>
  <c r="I42" i="39"/>
  <c r="H42" i="39"/>
  <c r="G42" i="39"/>
  <c r="F42" i="39"/>
  <c r="E42" i="39"/>
  <c r="D42" i="39"/>
  <c r="C42" i="39"/>
  <c r="B42" i="39"/>
  <c r="M41" i="39"/>
  <c r="L41" i="39"/>
  <c r="K41" i="39"/>
  <c r="J41" i="39"/>
  <c r="I41" i="39"/>
  <c r="H41" i="39"/>
  <c r="G41" i="39"/>
  <c r="F41" i="39"/>
  <c r="E41" i="39"/>
  <c r="D41" i="39"/>
  <c r="C41" i="39"/>
  <c r="B41" i="39"/>
  <c r="M40" i="39"/>
  <c r="L40" i="39"/>
  <c r="K40" i="39"/>
  <c r="Y26" i="39" s="1"/>
  <c r="J40" i="39"/>
  <c r="I40" i="39"/>
  <c r="H40" i="39"/>
  <c r="G40" i="39"/>
  <c r="F40" i="39"/>
  <c r="E40" i="39"/>
  <c r="D40" i="39"/>
  <c r="C40" i="39"/>
  <c r="B40" i="39"/>
  <c r="X22" i="39"/>
  <c r="T22" i="39"/>
  <c r="P22" i="39"/>
  <c r="M34" i="39"/>
  <c r="AA20" i="39" s="1"/>
  <c r="L34" i="39"/>
  <c r="L35" i="39" s="1"/>
  <c r="Z21" i="39" s="1"/>
  <c r="K34" i="39"/>
  <c r="K35" i="39" s="1"/>
  <c r="Y21" i="39" s="1"/>
  <c r="J34" i="39"/>
  <c r="X20" i="39" s="1"/>
  <c r="I34" i="39"/>
  <c r="W20" i="39" s="1"/>
  <c r="H34" i="39"/>
  <c r="H35" i="39" s="1"/>
  <c r="V21" i="39" s="1"/>
  <c r="G34" i="39"/>
  <c r="G35" i="39" s="1"/>
  <c r="U21" i="39" s="1"/>
  <c r="F34" i="39"/>
  <c r="T20" i="39" s="1"/>
  <c r="E34" i="39"/>
  <c r="S20" i="39" s="1"/>
  <c r="D34" i="39"/>
  <c r="D35" i="39" s="1"/>
  <c r="R21" i="39" s="1"/>
  <c r="C34" i="39"/>
  <c r="C35" i="39" s="1"/>
  <c r="Q21" i="39" s="1"/>
  <c r="B34" i="39"/>
  <c r="P20" i="39" s="1"/>
  <c r="B20" i="13" s="1"/>
  <c r="M28" i="39"/>
  <c r="L28" i="39"/>
  <c r="K28" i="39"/>
  <c r="J28" i="39"/>
  <c r="I28" i="39"/>
  <c r="H28" i="39"/>
  <c r="G28" i="39"/>
  <c r="F28" i="39"/>
  <c r="E28" i="39"/>
  <c r="D28" i="39"/>
  <c r="C28" i="39"/>
  <c r="B28" i="39"/>
  <c r="M27" i="39"/>
  <c r="L27" i="39"/>
  <c r="K27" i="39"/>
  <c r="J27" i="39"/>
  <c r="I27" i="39"/>
  <c r="H27" i="39"/>
  <c r="G27" i="39"/>
  <c r="F27" i="39"/>
  <c r="E27" i="39"/>
  <c r="D27" i="39"/>
  <c r="C27" i="39"/>
  <c r="B27" i="39"/>
  <c r="AA22" i="39"/>
  <c r="Z22" i="39"/>
  <c r="Y22" i="39"/>
  <c r="W22" i="39"/>
  <c r="V22" i="39"/>
  <c r="U22" i="39"/>
  <c r="S22" i="39"/>
  <c r="R22" i="39"/>
  <c r="Q22" i="39"/>
  <c r="M21" i="39"/>
  <c r="L21" i="39"/>
  <c r="K21" i="39"/>
  <c r="J21" i="39"/>
  <c r="I21" i="39"/>
  <c r="H21" i="39"/>
  <c r="G21" i="39"/>
  <c r="F21" i="39"/>
  <c r="E21" i="39"/>
  <c r="D21" i="39"/>
  <c r="C21" i="39"/>
  <c r="B21" i="39"/>
  <c r="M20" i="39"/>
  <c r="L20" i="39"/>
  <c r="K20" i="39"/>
  <c r="J20" i="39"/>
  <c r="I20" i="39"/>
  <c r="H20" i="39"/>
  <c r="G20" i="39"/>
  <c r="F20" i="39"/>
  <c r="E20" i="39"/>
  <c r="D20" i="39"/>
  <c r="C20" i="39"/>
  <c r="B20" i="39"/>
  <c r="M14" i="39"/>
  <c r="L14" i="39"/>
  <c r="K14" i="39"/>
  <c r="J14" i="39"/>
  <c r="I14" i="39"/>
  <c r="H14" i="39"/>
  <c r="G14" i="39"/>
  <c r="F14" i="39"/>
  <c r="E14" i="39"/>
  <c r="D14" i="39"/>
  <c r="C14" i="39"/>
  <c r="B14" i="39"/>
  <c r="M13" i="39"/>
  <c r="L13" i="39"/>
  <c r="K13" i="39"/>
  <c r="J13" i="39"/>
  <c r="I13" i="39"/>
  <c r="H13" i="39"/>
  <c r="G13" i="39"/>
  <c r="F13" i="39"/>
  <c r="E13" i="39"/>
  <c r="D13" i="39"/>
  <c r="C13" i="39"/>
  <c r="B13" i="39"/>
  <c r="M7" i="39"/>
  <c r="L7" i="39"/>
  <c r="K7" i="39"/>
  <c r="J7" i="39"/>
  <c r="I7" i="39"/>
  <c r="H7" i="39"/>
  <c r="G7" i="39"/>
  <c r="F7" i="39"/>
  <c r="E7" i="39"/>
  <c r="D7" i="39"/>
  <c r="C7" i="39"/>
  <c r="B7" i="39"/>
  <c r="M6" i="39"/>
  <c r="L6" i="39"/>
  <c r="K6" i="39"/>
  <c r="Y6" i="39" s="1"/>
  <c r="J6" i="39"/>
  <c r="I6" i="39"/>
  <c r="H6" i="39"/>
  <c r="G6" i="39"/>
  <c r="U6" i="39" s="1"/>
  <c r="F6" i="39"/>
  <c r="E6" i="39"/>
  <c r="D6" i="39"/>
  <c r="C6" i="39"/>
  <c r="Q6" i="39" s="1"/>
  <c r="B6" i="39"/>
  <c r="M3" i="39"/>
  <c r="AA3" i="39" s="1"/>
  <c r="L3" i="39"/>
  <c r="Z3" i="39" s="1"/>
  <c r="K3" i="39"/>
  <c r="Y3" i="39" s="1"/>
  <c r="J3" i="39"/>
  <c r="X3" i="39" s="1"/>
  <c r="I3" i="39"/>
  <c r="W3" i="39" s="1"/>
  <c r="H3" i="39"/>
  <c r="V3" i="39" s="1"/>
  <c r="G3" i="39"/>
  <c r="U3" i="39" s="1"/>
  <c r="F3" i="39"/>
  <c r="T3" i="39" s="1"/>
  <c r="E3" i="39"/>
  <c r="S3" i="39" s="1"/>
  <c r="D3" i="39"/>
  <c r="R3" i="39" s="1"/>
  <c r="C3" i="39"/>
  <c r="Q3" i="39" s="1"/>
  <c r="P3" i="39"/>
  <c r="N50" i="40" l="1"/>
  <c r="O28" i="37"/>
  <c r="D25" i="9" s="1"/>
  <c r="W36" i="39"/>
  <c r="C21" i="13"/>
  <c r="G21" i="13"/>
  <c r="R27" i="39"/>
  <c r="V27" i="39"/>
  <c r="Z27" i="39"/>
  <c r="R28" i="39"/>
  <c r="V28" i="39"/>
  <c r="Z28" i="39"/>
  <c r="R30" i="39"/>
  <c r="V30" i="39"/>
  <c r="Z30" i="39"/>
  <c r="S36" i="39"/>
  <c r="AA36" i="39"/>
  <c r="F83" i="39"/>
  <c r="F20" i="13"/>
  <c r="J20" i="13"/>
  <c r="E20" i="13"/>
  <c r="I20" i="13"/>
  <c r="M20" i="13"/>
  <c r="AB22" i="39"/>
  <c r="K21" i="13"/>
  <c r="D21" i="13"/>
  <c r="H21" i="13"/>
  <c r="L21" i="13"/>
  <c r="X27" i="39"/>
  <c r="Q28" i="39"/>
  <c r="N63" i="40"/>
  <c r="Z36" i="39"/>
  <c r="N85" i="40"/>
  <c r="N95" i="40"/>
  <c r="V20" i="39"/>
  <c r="H20" i="13" s="1"/>
  <c r="N114" i="40"/>
  <c r="P13" i="39"/>
  <c r="T13" i="39"/>
  <c r="X13" i="39"/>
  <c r="Z13" i="39"/>
  <c r="Q30" i="39"/>
  <c r="U30" i="39"/>
  <c r="Y30" i="39"/>
  <c r="N57" i="40"/>
  <c r="N43" i="40"/>
  <c r="N36" i="40"/>
  <c r="S13" i="39"/>
  <c r="W13" i="39"/>
  <c r="AA13" i="39"/>
  <c r="P36" i="39"/>
  <c r="P26" i="39"/>
  <c r="T26" i="39"/>
  <c r="X26" i="39"/>
  <c r="U20" i="39"/>
  <c r="G20" i="13" s="1"/>
  <c r="Q14" i="39"/>
  <c r="U14" i="39"/>
  <c r="Y14" i="39"/>
  <c r="Q36" i="39"/>
  <c r="Y36" i="39"/>
  <c r="P27" i="39"/>
  <c r="T27" i="39"/>
  <c r="P28" i="39"/>
  <c r="T28" i="39"/>
  <c r="X28" i="39"/>
  <c r="P29" i="39"/>
  <c r="T29" i="39"/>
  <c r="X29" i="39"/>
  <c r="M15" i="39"/>
  <c r="Y20" i="39"/>
  <c r="K20" i="13" s="1"/>
  <c r="W14" i="39"/>
  <c r="U26" i="39"/>
  <c r="U27" i="39"/>
  <c r="U28" i="39"/>
  <c r="U29" i="39"/>
  <c r="D55" i="39"/>
  <c r="H55" i="39"/>
  <c r="L55" i="39"/>
  <c r="I55" i="39"/>
  <c r="S29" i="39"/>
  <c r="T7" i="39"/>
  <c r="X7" i="39"/>
  <c r="F15" i="39"/>
  <c r="R26" i="39"/>
  <c r="Q27" i="39"/>
  <c r="Y27" i="39"/>
  <c r="Y28" i="39"/>
  <c r="Q29" i="39"/>
  <c r="Y29" i="39"/>
  <c r="U36" i="39"/>
  <c r="R6" i="39"/>
  <c r="Z6" i="39"/>
  <c r="S30" i="39"/>
  <c r="W30" i="39"/>
  <c r="AA30" i="39"/>
  <c r="Q26" i="39"/>
  <c r="B95" i="39"/>
  <c r="Q7" i="39"/>
  <c r="U7" i="39"/>
  <c r="Y7" i="39"/>
  <c r="Q20" i="39"/>
  <c r="C20" i="13" s="1"/>
  <c r="P14" i="39"/>
  <c r="T14" i="39"/>
  <c r="X14" i="39"/>
  <c r="R13" i="39"/>
  <c r="V13" i="39"/>
  <c r="S14" i="39"/>
  <c r="M29" i="39"/>
  <c r="C83" i="39"/>
  <c r="K83" i="39"/>
  <c r="N75" i="40"/>
  <c r="C15" i="39"/>
  <c r="G15" i="39"/>
  <c r="K15" i="39"/>
  <c r="P6" i="39"/>
  <c r="T6" i="39"/>
  <c r="X6" i="39"/>
  <c r="E15" i="39"/>
  <c r="R14" i="39"/>
  <c r="V14" i="39"/>
  <c r="Z14" i="39"/>
  <c r="B29" i="39"/>
  <c r="J29" i="39"/>
  <c r="S26" i="39"/>
  <c r="W26" i="39"/>
  <c r="AA26" i="39"/>
  <c r="I29" i="39"/>
  <c r="E29" i="39"/>
  <c r="I15" i="39"/>
  <c r="R20" i="39"/>
  <c r="D20" i="13" s="1"/>
  <c r="P7" i="39"/>
  <c r="AA14" i="39"/>
  <c r="V6" i="39"/>
  <c r="Z20" i="39"/>
  <c r="L20" i="13" s="1"/>
  <c r="S6" i="39"/>
  <c r="W6" i="39"/>
  <c r="AA6" i="39"/>
  <c r="R7" i="39"/>
  <c r="V7" i="39"/>
  <c r="Z7" i="39"/>
  <c r="V26" i="39"/>
  <c r="Q13" i="39"/>
  <c r="U13" i="39"/>
  <c r="Y13" i="39"/>
  <c r="Z26" i="39"/>
  <c r="AB59" i="39"/>
  <c r="S27" i="39"/>
  <c r="W27" i="39"/>
  <c r="AA27" i="39"/>
  <c r="S28" i="39"/>
  <c r="W28" i="39"/>
  <c r="AA28" i="39"/>
  <c r="W29" i="39"/>
  <c r="AA29" i="39"/>
  <c r="P30" i="39"/>
  <c r="T30" i="39"/>
  <c r="X30" i="39"/>
  <c r="AB58" i="39"/>
  <c r="F35" i="39"/>
  <c r="T21" i="39" s="1"/>
  <c r="F21" i="13" s="1"/>
  <c r="P37" i="39"/>
  <c r="T37" i="39"/>
  <c r="H95" i="39"/>
  <c r="S7" i="39"/>
  <c r="W7" i="39"/>
  <c r="AA7" i="39"/>
  <c r="B15" i="39"/>
  <c r="J15" i="39"/>
  <c r="F29" i="39"/>
  <c r="R29" i="39"/>
  <c r="V29" i="39"/>
  <c r="Z29" i="39"/>
  <c r="B55" i="39"/>
  <c r="F55" i="39"/>
  <c r="J55" i="39"/>
  <c r="AB56" i="39"/>
  <c r="R36" i="39"/>
  <c r="V36" i="39"/>
  <c r="F95" i="39"/>
  <c r="I83" i="39"/>
  <c r="W43" i="39"/>
  <c r="G29" i="39"/>
  <c r="I35" i="39"/>
  <c r="W21" i="39" s="1"/>
  <c r="I21" i="13" s="1"/>
  <c r="D15" i="39"/>
  <c r="H15" i="39"/>
  <c r="L15" i="39"/>
  <c r="D29" i="39"/>
  <c r="H29" i="39"/>
  <c r="L29" i="39"/>
  <c r="B35" i="39"/>
  <c r="P21" i="39" s="1"/>
  <c r="B21" i="13" s="1"/>
  <c r="J35" i="39"/>
  <c r="X21" i="39" s="1"/>
  <c r="J21" i="13" s="1"/>
  <c r="AB60" i="39"/>
  <c r="E83" i="39"/>
  <c r="S43" i="39"/>
  <c r="M83" i="39"/>
  <c r="AA43" i="39"/>
  <c r="C29" i="39"/>
  <c r="K29" i="39"/>
  <c r="E35" i="39"/>
  <c r="S21" i="39" s="1"/>
  <c r="E21" i="13" s="1"/>
  <c r="M35" i="39"/>
  <c r="AA21" i="39" s="1"/>
  <c r="M21" i="13" s="1"/>
  <c r="E55" i="39"/>
  <c r="M55" i="39"/>
  <c r="Q50" i="39"/>
  <c r="U50" i="39"/>
  <c r="G95" i="39"/>
  <c r="N69" i="40"/>
  <c r="T36" i="39"/>
  <c r="X36" i="39"/>
  <c r="S44" i="39"/>
  <c r="W44" i="39"/>
  <c r="AB57" i="39"/>
  <c r="N29" i="40"/>
  <c r="N15" i="40"/>
  <c r="N104" i="40"/>
  <c r="D95" i="39"/>
  <c r="L95" i="39"/>
  <c r="C55" i="39"/>
  <c r="G55" i="39"/>
  <c r="K55" i="39"/>
  <c r="S37" i="39"/>
  <c r="W37" i="39"/>
  <c r="AA37" i="39"/>
  <c r="P43" i="39"/>
  <c r="T43" i="39"/>
  <c r="X43" i="39"/>
  <c r="N22" i="40"/>
  <c r="N8" i="40"/>
  <c r="AB20" i="39" l="1"/>
  <c r="N20" i="13" s="1"/>
  <c r="AB50" i="39"/>
  <c r="AB26" i="39"/>
  <c r="AB30" i="39"/>
  <c r="AB6" i="39"/>
  <c r="AB27" i="39"/>
  <c r="AB37" i="39"/>
  <c r="AB44" i="39"/>
  <c r="AB36" i="39"/>
  <c r="AB29" i="39"/>
  <c r="AB7" i="39"/>
  <c r="AB28" i="39"/>
  <c r="AB13" i="39"/>
  <c r="AB14" i="39"/>
  <c r="J69" i="39"/>
  <c r="K69" i="39"/>
  <c r="AB43" i="39"/>
  <c r="C69" i="39"/>
  <c r="AB21" i="39"/>
  <c r="N21" i="13" s="1"/>
  <c r="G69" i="39"/>
  <c r="L69" i="39" l="1"/>
  <c r="L89" i="39"/>
  <c r="Z51" i="39" s="1"/>
  <c r="Z52" i="39"/>
  <c r="L50" i="13" s="1"/>
  <c r="W46" i="39"/>
  <c r="I76" i="39"/>
  <c r="W45" i="39" s="1"/>
  <c r="J62" i="39"/>
  <c r="X38" i="39" s="1"/>
  <c r="X39" i="39"/>
  <c r="H69" i="39"/>
  <c r="I69" i="39"/>
  <c r="S9" i="39"/>
  <c r="E8" i="39"/>
  <c r="S8" i="39" s="1"/>
  <c r="U39" i="39"/>
  <c r="G62" i="39"/>
  <c r="U38" i="39" s="1"/>
  <c r="M69" i="39"/>
  <c r="Y39" i="39"/>
  <c r="K62" i="39"/>
  <c r="Y38" i="39" s="1"/>
  <c r="Q39" i="39"/>
  <c r="C62" i="39"/>
  <c r="Q38" i="39" s="1"/>
  <c r="F89" i="39"/>
  <c r="T51" i="39" s="1"/>
  <c r="T52" i="39"/>
  <c r="F50" i="13" s="1"/>
  <c r="E69" i="39"/>
  <c r="AA16" i="39"/>
  <c r="M22" i="39"/>
  <c r="AA15" i="39" s="1"/>
  <c r="F69" i="39"/>
  <c r="C38" i="13" l="1"/>
  <c r="I45" i="13"/>
  <c r="K38" i="13"/>
  <c r="F51" i="13"/>
  <c r="L51" i="13"/>
  <c r="I43" i="13"/>
  <c r="I44" i="13"/>
  <c r="J37" i="13"/>
  <c r="J36" i="13"/>
  <c r="C37" i="13"/>
  <c r="C36" i="13"/>
  <c r="K37" i="13"/>
  <c r="K36" i="13"/>
  <c r="G38" i="13"/>
  <c r="J38" i="13"/>
  <c r="G37" i="13"/>
  <c r="G36" i="13"/>
  <c r="M14" i="13"/>
  <c r="M13" i="13"/>
  <c r="M15" i="13"/>
  <c r="E8" i="13"/>
  <c r="E6" i="13"/>
  <c r="E7" i="13"/>
  <c r="D105" i="39"/>
  <c r="R61" i="39" s="1"/>
  <c r="R62" i="39"/>
  <c r="Q52" i="39"/>
  <c r="C50" i="13" s="1"/>
  <c r="C89" i="39"/>
  <c r="Q51" i="39" s="1"/>
  <c r="C51" i="13" s="1"/>
  <c r="I89" i="39"/>
  <c r="W51" i="39" s="1"/>
  <c r="W52" i="39"/>
  <c r="I50" i="13" s="1"/>
  <c r="D76" i="39"/>
  <c r="R45" i="39" s="1"/>
  <c r="R46" i="39"/>
  <c r="E89" i="39"/>
  <c r="S51" i="39" s="1"/>
  <c r="S52" i="39"/>
  <c r="E50" i="13" s="1"/>
  <c r="F45" i="39"/>
  <c r="T31" i="39" s="1"/>
  <c r="T32" i="39"/>
  <c r="H89" i="39"/>
  <c r="V51" i="39" s="1"/>
  <c r="V52" i="39"/>
  <c r="H50" i="13" s="1"/>
  <c r="V39" i="39"/>
  <c r="H62" i="39"/>
  <c r="V38" i="39" s="1"/>
  <c r="H38" i="13" s="1"/>
  <c r="E105" i="39"/>
  <c r="S61" i="39" s="1"/>
  <c r="S62" i="39"/>
  <c r="L8" i="39"/>
  <c r="Z8" i="39" s="1"/>
  <c r="Z9" i="39"/>
  <c r="H105" i="39"/>
  <c r="V61" i="39" s="1"/>
  <c r="V62" i="39"/>
  <c r="M62" i="39"/>
  <c r="AA38" i="39" s="1"/>
  <c r="AA39" i="39"/>
  <c r="T62" i="39"/>
  <c r="F105" i="39"/>
  <c r="T61" i="39" s="1"/>
  <c r="D22" i="39"/>
  <c r="R15" i="39" s="1"/>
  <c r="R16" i="39"/>
  <c r="T39" i="39"/>
  <c r="F62" i="39"/>
  <c r="T38" i="39" s="1"/>
  <c r="H76" i="39"/>
  <c r="V45" i="39" s="1"/>
  <c r="V46" i="39"/>
  <c r="M8" i="39"/>
  <c r="AA8" i="39" s="1"/>
  <c r="AA9" i="39"/>
  <c r="M76" i="39"/>
  <c r="AA45" i="39" s="1"/>
  <c r="AA46" i="39"/>
  <c r="L76" i="39"/>
  <c r="Z45" i="39" s="1"/>
  <c r="Z46" i="39"/>
  <c r="U16" i="39"/>
  <c r="G22" i="39"/>
  <c r="U15" i="39" s="1"/>
  <c r="G15" i="13" s="1"/>
  <c r="J105" i="39"/>
  <c r="X61" i="39" s="1"/>
  <c r="X62" i="39"/>
  <c r="M89" i="39"/>
  <c r="AA51" i="39" s="1"/>
  <c r="AA52" i="39"/>
  <c r="M50" i="13" s="1"/>
  <c r="H45" i="39"/>
  <c r="V31" i="39" s="1"/>
  <c r="V32" i="39"/>
  <c r="L45" i="39"/>
  <c r="Z31" i="39" s="1"/>
  <c r="Z32" i="39"/>
  <c r="X9" i="39"/>
  <c r="J8" i="39"/>
  <c r="X8" i="39" s="1"/>
  <c r="H8" i="39"/>
  <c r="V8" i="39" s="1"/>
  <c r="V9" i="39"/>
  <c r="W32" i="39"/>
  <c r="I45" i="39"/>
  <c r="W31" i="39" s="1"/>
  <c r="J45" i="39"/>
  <c r="X31" i="39" s="1"/>
  <c r="X32" i="39"/>
  <c r="C105" i="39"/>
  <c r="Q61" i="39" s="1"/>
  <c r="Q62" i="39"/>
  <c r="W16" i="39"/>
  <c r="I22" i="39"/>
  <c r="W15" i="39" s="1"/>
  <c r="T16" i="39"/>
  <c r="F22" i="39"/>
  <c r="T15" i="39" s="1"/>
  <c r="E76" i="39"/>
  <c r="S45" i="39" s="1"/>
  <c r="S46" i="39"/>
  <c r="D8" i="39"/>
  <c r="R8" i="39" s="1"/>
  <c r="R9" i="39"/>
  <c r="G45" i="39"/>
  <c r="U31" i="39" s="1"/>
  <c r="U32" i="39"/>
  <c r="D45" i="39"/>
  <c r="R31" i="39" s="1"/>
  <c r="R32" i="39"/>
  <c r="J89" i="39"/>
  <c r="X51" i="39" s="1"/>
  <c r="X52" i="39"/>
  <c r="J50" i="13" s="1"/>
  <c r="W9" i="39"/>
  <c r="I8" i="39"/>
  <c r="W8" i="39" s="1"/>
  <c r="E62" i="39"/>
  <c r="S38" i="39" s="1"/>
  <c r="S39" i="39"/>
  <c r="H22" i="39"/>
  <c r="V15" i="39" s="1"/>
  <c r="V16" i="39"/>
  <c r="U9" i="39"/>
  <c r="G8" i="39"/>
  <c r="U8" i="39" s="1"/>
  <c r="I62" i="39"/>
  <c r="W38" i="39" s="1"/>
  <c r="W39" i="39"/>
  <c r="L105" i="39"/>
  <c r="Z61" i="39" s="1"/>
  <c r="Z62" i="39"/>
  <c r="M105" i="39"/>
  <c r="AA61" i="39" s="1"/>
  <c r="AA62" i="39"/>
  <c r="L22" i="39"/>
  <c r="Z15" i="39" s="1"/>
  <c r="Z16" i="39"/>
  <c r="K105" i="39"/>
  <c r="Y61" i="39" s="1"/>
  <c r="Y62" i="39"/>
  <c r="AA32" i="39"/>
  <c r="M45" i="39"/>
  <c r="AA31" i="39" s="1"/>
  <c r="Q46" i="39"/>
  <c r="C76" i="39"/>
  <c r="Q45" i="39" s="1"/>
  <c r="T9" i="39"/>
  <c r="F8" i="39"/>
  <c r="T8" i="39" s="1"/>
  <c r="D69" i="39"/>
  <c r="Z39" i="39"/>
  <c r="L62" i="39"/>
  <c r="Z38" i="39" s="1"/>
  <c r="G89" i="39"/>
  <c r="U51" i="39" s="1"/>
  <c r="U52" i="39"/>
  <c r="G50" i="13" s="1"/>
  <c r="U62" i="39"/>
  <c r="G105" i="39"/>
  <c r="U61" i="39" s="1"/>
  <c r="X16" i="39"/>
  <c r="J22" i="39"/>
  <c r="X15" i="39" s="1"/>
  <c r="E22" i="39"/>
  <c r="S15" i="39" s="1"/>
  <c r="S16" i="39"/>
  <c r="Y46" i="39"/>
  <c r="K76" i="39"/>
  <c r="Y45" i="39" s="1"/>
  <c r="S32" i="39"/>
  <c r="E45" i="39"/>
  <c r="S31" i="39" s="1"/>
  <c r="U46" i="39"/>
  <c r="G76" i="39"/>
  <c r="U45" i="39" s="1"/>
  <c r="T46" i="39"/>
  <c r="F76" i="39"/>
  <c r="T45" i="39" s="1"/>
  <c r="I105" i="39"/>
  <c r="W61" i="39" s="1"/>
  <c r="W62" i="39"/>
  <c r="K89" i="39"/>
  <c r="Y51" i="39" s="1"/>
  <c r="Y52" i="39"/>
  <c r="K50" i="13" s="1"/>
  <c r="X46" i="39"/>
  <c r="J76" i="39"/>
  <c r="X45" i="39" s="1"/>
  <c r="I61" i="13" l="1"/>
  <c r="E31" i="13"/>
  <c r="G61" i="13"/>
  <c r="F15" i="13"/>
  <c r="F8" i="13"/>
  <c r="G8" i="13"/>
  <c r="I15" i="13"/>
  <c r="C45" i="13"/>
  <c r="M38" i="13"/>
  <c r="F31" i="13"/>
  <c r="J45" i="13"/>
  <c r="G45" i="13"/>
  <c r="K45" i="13"/>
  <c r="I38" i="13"/>
  <c r="J8" i="13"/>
  <c r="F38" i="13"/>
  <c r="F61" i="13"/>
  <c r="D56" i="13"/>
  <c r="D60" i="13"/>
  <c r="D59" i="13"/>
  <c r="D57" i="13"/>
  <c r="D58" i="13"/>
  <c r="K61" i="13"/>
  <c r="C57" i="13"/>
  <c r="C58" i="13"/>
  <c r="C60" i="13"/>
  <c r="C59" i="13"/>
  <c r="C56" i="13"/>
  <c r="J56" i="13"/>
  <c r="J60" i="13"/>
  <c r="J58" i="13"/>
  <c r="J57" i="13"/>
  <c r="J59" i="13"/>
  <c r="F56" i="13"/>
  <c r="F58" i="13"/>
  <c r="F59" i="13"/>
  <c r="F57" i="13"/>
  <c r="F60" i="13"/>
  <c r="H59" i="13"/>
  <c r="H58" i="13"/>
  <c r="H57" i="13"/>
  <c r="H56" i="13"/>
  <c r="H60" i="13"/>
  <c r="E57" i="13"/>
  <c r="E60" i="13"/>
  <c r="E58" i="13"/>
  <c r="E56" i="13"/>
  <c r="E59" i="13"/>
  <c r="L56" i="13"/>
  <c r="L58" i="13"/>
  <c r="L57" i="13"/>
  <c r="L60" i="13"/>
  <c r="L59" i="13"/>
  <c r="K60" i="13"/>
  <c r="K59" i="13"/>
  <c r="K58" i="13"/>
  <c r="K57" i="13"/>
  <c r="K56" i="13"/>
  <c r="M56" i="13"/>
  <c r="M59" i="13"/>
  <c r="M57" i="13"/>
  <c r="M60" i="13"/>
  <c r="M58" i="13"/>
  <c r="L61" i="13"/>
  <c r="D61" i="13"/>
  <c r="M61" i="13"/>
  <c r="I59" i="13"/>
  <c r="I58" i="13"/>
  <c r="I56" i="13"/>
  <c r="I60" i="13"/>
  <c r="I57" i="13"/>
  <c r="G59" i="13"/>
  <c r="G56" i="13"/>
  <c r="G57" i="13"/>
  <c r="G58" i="13"/>
  <c r="G60" i="13"/>
  <c r="C61" i="13"/>
  <c r="J61" i="13"/>
  <c r="H61" i="13"/>
  <c r="E61" i="13"/>
  <c r="H51" i="13"/>
  <c r="E51" i="13"/>
  <c r="M51" i="13"/>
  <c r="I51" i="13"/>
  <c r="K51" i="13"/>
  <c r="G51" i="13"/>
  <c r="J51" i="13"/>
  <c r="F44" i="13"/>
  <c r="F43" i="13"/>
  <c r="K44" i="13"/>
  <c r="K43" i="13"/>
  <c r="L45" i="13"/>
  <c r="M44" i="13"/>
  <c r="M43" i="13"/>
  <c r="L43" i="13"/>
  <c r="L44" i="13"/>
  <c r="H43" i="13"/>
  <c r="H44" i="13"/>
  <c r="D44" i="13"/>
  <c r="D43" i="13"/>
  <c r="J44" i="13"/>
  <c r="J43" i="13"/>
  <c r="H45" i="13"/>
  <c r="D45" i="13"/>
  <c r="G43" i="13"/>
  <c r="G44" i="13"/>
  <c r="E43" i="13"/>
  <c r="E44" i="13"/>
  <c r="F45" i="13"/>
  <c r="C43" i="13"/>
  <c r="C44" i="13"/>
  <c r="E45" i="13"/>
  <c r="M45" i="13"/>
  <c r="E36" i="13"/>
  <c r="E37" i="13"/>
  <c r="F36" i="13"/>
  <c r="F37" i="13"/>
  <c r="L38" i="13"/>
  <c r="E38" i="13"/>
  <c r="H37" i="13"/>
  <c r="H36" i="13"/>
  <c r="L37" i="13"/>
  <c r="L36" i="13"/>
  <c r="I36" i="13"/>
  <c r="I37" i="13"/>
  <c r="M36" i="13"/>
  <c r="M37" i="13"/>
  <c r="D31" i="13"/>
  <c r="I31" i="13"/>
  <c r="J26" i="13"/>
  <c r="J28" i="13"/>
  <c r="J27" i="13"/>
  <c r="J30" i="13"/>
  <c r="J29" i="13"/>
  <c r="L28" i="13"/>
  <c r="L27" i="13"/>
  <c r="L30" i="13"/>
  <c r="L29" i="13"/>
  <c r="L26" i="13"/>
  <c r="J31" i="13"/>
  <c r="L31" i="13"/>
  <c r="G31" i="13"/>
  <c r="M27" i="13"/>
  <c r="M30" i="13"/>
  <c r="M28" i="13"/>
  <c r="M26" i="13"/>
  <c r="M29" i="13"/>
  <c r="H28" i="13"/>
  <c r="H30" i="13"/>
  <c r="H27" i="13"/>
  <c r="H29" i="13"/>
  <c r="H26" i="13"/>
  <c r="G29" i="13"/>
  <c r="G27" i="13"/>
  <c r="G28" i="13"/>
  <c r="G26" i="13"/>
  <c r="G30" i="13"/>
  <c r="I30" i="13"/>
  <c r="I27" i="13"/>
  <c r="I28" i="13"/>
  <c r="I26" i="13"/>
  <c r="I29" i="13"/>
  <c r="H31" i="13"/>
  <c r="E28" i="13"/>
  <c r="E29" i="13"/>
  <c r="E26" i="13"/>
  <c r="E27" i="13"/>
  <c r="E30" i="13"/>
  <c r="M31" i="13"/>
  <c r="D30" i="13"/>
  <c r="D28" i="13"/>
  <c r="D27" i="13"/>
  <c r="D26" i="13"/>
  <c r="D29" i="13"/>
  <c r="F26" i="13"/>
  <c r="F30" i="13"/>
  <c r="F29" i="13"/>
  <c r="F27" i="13"/>
  <c r="F28" i="13"/>
  <c r="L13" i="13"/>
  <c r="L14" i="13"/>
  <c r="E13" i="13"/>
  <c r="E14" i="13"/>
  <c r="H15" i="13"/>
  <c r="D15" i="13"/>
  <c r="I13" i="13"/>
  <c r="I14" i="13"/>
  <c r="J14" i="13"/>
  <c r="J13" i="13"/>
  <c r="H13" i="13"/>
  <c r="H14" i="13"/>
  <c r="D14" i="13"/>
  <c r="D13" i="13"/>
  <c r="L15" i="13"/>
  <c r="G14" i="13"/>
  <c r="G13" i="13"/>
  <c r="E15" i="13"/>
  <c r="J15" i="13"/>
  <c r="F13" i="13"/>
  <c r="F14" i="13"/>
  <c r="I6" i="13"/>
  <c r="I7" i="13"/>
  <c r="G6" i="13"/>
  <c r="G7" i="13"/>
  <c r="J6" i="13"/>
  <c r="J7" i="13"/>
  <c r="M7" i="13"/>
  <c r="M6" i="13"/>
  <c r="D7" i="13"/>
  <c r="D6" i="13"/>
  <c r="H6" i="13"/>
  <c r="H7" i="13"/>
  <c r="I8" i="13"/>
  <c r="D8" i="13"/>
  <c r="H8" i="13"/>
  <c r="L8" i="13"/>
  <c r="F7" i="13"/>
  <c r="F6" i="13"/>
  <c r="M8" i="13"/>
  <c r="L7" i="13"/>
  <c r="L6" i="13"/>
  <c r="C45" i="39"/>
  <c r="Q31" i="39" s="1"/>
  <c r="Q32" i="39"/>
  <c r="Q16" i="39"/>
  <c r="C22" i="39"/>
  <c r="Q15" i="39" s="1"/>
  <c r="Y9" i="39"/>
  <c r="K8" i="39"/>
  <c r="Y8" i="39" s="1"/>
  <c r="D62" i="39"/>
  <c r="R38" i="39" s="1"/>
  <c r="R39" i="39"/>
  <c r="Q9" i="39"/>
  <c r="C8" i="39"/>
  <c r="Q8" i="39" s="1"/>
  <c r="K45" i="39"/>
  <c r="Y31" i="39" s="1"/>
  <c r="Y32" i="39"/>
  <c r="Y16" i="39"/>
  <c r="K22" i="39"/>
  <c r="Y15" i="39" s="1"/>
  <c r="D89" i="39"/>
  <c r="R51" i="39" s="1"/>
  <c r="R52" i="39"/>
  <c r="D50" i="13" s="1"/>
  <c r="K15" i="13" l="1"/>
  <c r="C8" i="13"/>
  <c r="K8" i="13"/>
  <c r="D51" i="13"/>
  <c r="D37" i="13"/>
  <c r="D36" i="13"/>
  <c r="D38" i="13"/>
  <c r="C31" i="13"/>
  <c r="K26" i="13"/>
  <c r="K29" i="13"/>
  <c r="K30" i="13"/>
  <c r="K28" i="13"/>
  <c r="K27" i="13"/>
  <c r="K31" i="13"/>
  <c r="C29" i="13"/>
  <c r="C30" i="13"/>
  <c r="C27" i="13"/>
  <c r="C26" i="13"/>
  <c r="C28" i="13"/>
  <c r="C13" i="13"/>
  <c r="C14" i="13"/>
  <c r="C15" i="13"/>
  <c r="K13" i="13"/>
  <c r="K14" i="13"/>
  <c r="K6" i="13"/>
  <c r="K7" i="13"/>
  <c r="C6" i="13"/>
  <c r="C7" i="13"/>
  <c r="B69" i="39"/>
  <c r="B105" i="39"/>
  <c r="P61" i="39" s="1"/>
  <c r="P62" i="39"/>
  <c r="B76" i="39"/>
  <c r="P45" i="39" s="1"/>
  <c r="P46" i="39"/>
  <c r="B89" i="39"/>
  <c r="P51" i="39" s="1"/>
  <c r="P52" i="39"/>
  <c r="P16" i="39"/>
  <c r="B22" i="39"/>
  <c r="P15" i="39" s="1"/>
  <c r="P9" i="39"/>
  <c r="B8" i="39"/>
  <c r="P8" i="39" s="1"/>
  <c r="P32" i="39"/>
  <c r="B45" i="39"/>
  <c r="P31" i="39" s="1"/>
  <c r="AB62" i="39" l="1"/>
  <c r="B57" i="13"/>
  <c r="B56" i="13"/>
  <c r="B59" i="13"/>
  <c r="B60" i="13"/>
  <c r="B58" i="13"/>
  <c r="AB52" i="39"/>
  <c r="N50" i="13" s="1"/>
  <c r="B50" i="13"/>
  <c r="AB46" i="39"/>
  <c r="B44" i="13"/>
  <c r="B43" i="13"/>
  <c r="AB32" i="39"/>
  <c r="B28" i="13"/>
  <c r="B29" i="13"/>
  <c r="B26" i="13"/>
  <c r="B30" i="13"/>
  <c r="B27" i="13"/>
  <c r="AB16" i="39"/>
  <c r="B14" i="13"/>
  <c r="B13" i="13"/>
  <c r="AB9" i="39"/>
  <c r="B6" i="13"/>
  <c r="B7" i="13"/>
  <c r="AB8" i="39"/>
  <c r="B8" i="13"/>
  <c r="AB31" i="39"/>
  <c r="B31" i="13"/>
  <c r="AB15" i="39"/>
  <c r="B15" i="13"/>
  <c r="AB51" i="39"/>
  <c r="B51" i="13"/>
  <c r="AB45" i="39"/>
  <c r="B45" i="13"/>
  <c r="AB61" i="39"/>
  <c r="B61" i="13"/>
  <c r="P39" i="39"/>
  <c r="B62" i="39"/>
  <c r="P38" i="39" s="1"/>
  <c r="N61" i="13" l="1"/>
  <c r="N31" i="13"/>
  <c r="N58" i="13"/>
  <c r="N56" i="13"/>
  <c r="N57" i="13"/>
  <c r="N59" i="13"/>
  <c r="N60" i="13"/>
  <c r="N51" i="13"/>
  <c r="N45" i="13"/>
  <c r="N43" i="13"/>
  <c r="N44" i="13"/>
  <c r="AB39" i="39"/>
  <c r="B36" i="13"/>
  <c r="B37" i="13"/>
  <c r="N27" i="13"/>
  <c r="N30" i="13"/>
  <c r="N28" i="13"/>
  <c r="N29" i="13"/>
  <c r="N26" i="13"/>
  <c r="N15" i="13"/>
  <c r="N14" i="13"/>
  <c r="N13" i="13"/>
  <c r="N8" i="13"/>
  <c r="N6" i="13"/>
  <c r="N7" i="13"/>
  <c r="AB38" i="39"/>
  <c r="B38" i="13"/>
  <c r="N38" i="13" l="1"/>
  <c r="N36" i="13"/>
  <c r="N37" i="13"/>
  <c r="C2" i="15" l="1"/>
  <c r="D2" i="15" s="1"/>
  <c r="E2" i="15" s="1"/>
  <c r="F2" i="15" s="1"/>
  <c r="G2" i="15" s="1"/>
  <c r="H2" i="15" s="1"/>
  <c r="I2" i="15" s="1"/>
  <c r="J2" i="15" s="1"/>
  <c r="K2" i="15" s="1"/>
  <c r="L2" i="15" s="1"/>
  <c r="M2" i="15" s="1"/>
  <c r="C34" i="15"/>
  <c r="D34" i="15"/>
  <c r="E34" i="15"/>
  <c r="F34" i="15"/>
  <c r="G34" i="15"/>
  <c r="H34" i="15"/>
  <c r="I34" i="15"/>
  <c r="J34" i="15"/>
  <c r="K34" i="15"/>
  <c r="L34" i="15"/>
  <c r="M34" i="15"/>
  <c r="B34" i="15"/>
  <c r="N21" i="15"/>
  <c r="C16" i="15"/>
  <c r="D16" i="15"/>
  <c r="E16" i="15"/>
  <c r="F16" i="15"/>
  <c r="G16" i="15"/>
  <c r="H16" i="15"/>
  <c r="I16" i="15"/>
  <c r="J16" i="15"/>
  <c r="K16" i="15"/>
  <c r="L16" i="15"/>
  <c r="M16" i="15"/>
  <c r="B16" i="15"/>
  <c r="N22" i="13" l="1"/>
  <c r="C32" i="13"/>
  <c r="D32" i="13"/>
  <c r="E32" i="13"/>
  <c r="F32" i="13"/>
  <c r="G32" i="13"/>
  <c r="H32" i="13"/>
  <c r="I32" i="13"/>
  <c r="J32" i="13"/>
  <c r="K32" i="13"/>
  <c r="L32" i="13"/>
  <c r="M32" i="13"/>
  <c r="N32" i="13"/>
  <c r="B32" i="13"/>
  <c r="E8" i="10" l="1"/>
  <c r="F8" i="10" s="1"/>
  <c r="G8" i="10" s="1"/>
  <c r="H8" i="10" s="1"/>
  <c r="I8" i="10" s="1"/>
  <c r="J8" i="10" s="1"/>
  <c r="K8" i="10" s="1"/>
  <c r="L8" i="10" s="1"/>
  <c r="M8" i="10" s="1"/>
  <c r="N8" i="10" s="1"/>
  <c r="O8" i="10" s="1"/>
  <c r="C3" i="13" l="1"/>
  <c r="D3" i="13" s="1"/>
  <c r="E3" i="13" s="1"/>
  <c r="F3" i="13" s="1"/>
  <c r="G3" i="13" s="1"/>
  <c r="H3" i="13" s="1"/>
  <c r="I3" i="13" s="1"/>
  <c r="J3" i="13" s="1"/>
  <c r="K3" i="13" s="1"/>
  <c r="L3" i="13" s="1"/>
  <c r="M3" i="13" s="1"/>
  <c r="N33" i="15"/>
  <c r="N32" i="15"/>
  <c r="N31" i="15"/>
  <c r="N30" i="15"/>
  <c r="N29" i="15"/>
  <c r="N28" i="15"/>
  <c r="N25" i="15"/>
  <c r="N27" i="15"/>
  <c r="N26" i="15"/>
  <c r="N24" i="15"/>
  <c r="N23" i="15"/>
  <c r="N22" i="15"/>
  <c r="M20" i="15"/>
  <c r="L20" i="15"/>
  <c r="K20" i="15"/>
  <c r="J20" i="15"/>
  <c r="I20" i="15"/>
  <c r="H20" i="15"/>
  <c r="G20" i="15"/>
  <c r="F20" i="15"/>
  <c r="E20" i="15"/>
  <c r="D20" i="15"/>
  <c r="C20" i="15"/>
  <c r="B20" i="15"/>
  <c r="N15" i="15"/>
  <c r="N14" i="15"/>
  <c r="N13" i="15"/>
  <c r="D49" i="48" s="1"/>
  <c r="N12" i="15"/>
  <c r="D41" i="48" s="1"/>
  <c r="N11" i="15"/>
  <c r="N10" i="15"/>
  <c r="N7" i="15"/>
  <c r="N8" i="15"/>
  <c r="D23" i="48" s="1"/>
  <c r="N6" i="15"/>
  <c r="N5" i="15"/>
  <c r="N4" i="15"/>
  <c r="N3" i="15"/>
  <c r="D33" i="18" l="1"/>
  <c r="D32" i="18"/>
  <c r="D45" i="18"/>
  <c r="D44" i="18"/>
  <c r="H49" i="48"/>
  <c r="G49" i="48"/>
  <c r="H23" i="48"/>
  <c r="G23" i="48"/>
  <c r="G41" i="48"/>
  <c r="H41" i="48"/>
  <c r="N34" i="15"/>
  <c r="N9" i="15"/>
  <c r="N16" i="15" l="1"/>
  <c r="D31" i="48"/>
  <c r="H31" i="48" l="1"/>
  <c r="G31" i="48"/>
  <c r="G31" i="5"/>
  <c r="G30" i="5"/>
  <c r="G21" i="5" l="1"/>
  <c r="P11" i="10" l="1"/>
  <c r="C7" i="22"/>
  <c r="D8" i="16"/>
  <c r="D7" i="18"/>
  <c r="C7" i="21"/>
  <c r="C7" i="26"/>
  <c r="D7" i="11"/>
  <c r="C7" i="25"/>
  <c r="C7" i="24"/>
  <c r="D10" i="16" l="1"/>
  <c r="C9" i="25"/>
  <c r="D17" i="18"/>
  <c r="C9" i="26"/>
  <c r="C9" i="24"/>
  <c r="C9" i="21"/>
  <c r="C9" i="22"/>
  <c r="D11" i="9"/>
  <c r="G9" i="26" l="1"/>
  <c r="F9" i="26"/>
  <c r="J11" i="9" s="1"/>
  <c r="G9" i="25"/>
  <c r="F9" i="25"/>
  <c r="H11" i="9" s="1"/>
  <c r="G9" i="24"/>
  <c r="F9" i="24"/>
  <c r="G11" i="9" s="1"/>
  <c r="G9" i="22"/>
  <c r="F9" i="22"/>
  <c r="O11" i="9" s="1"/>
  <c r="H88" i="16"/>
  <c r="H86" i="16"/>
  <c r="H58" i="16"/>
  <c r="H48" i="16"/>
  <c r="H35" i="16"/>
  <c r="H31" i="16"/>
  <c r="H24" i="16"/>
  <c r="H45" i="18"/>
  <c r="H29" i="18"/>
  <c r="H33" i="18"/>
  <c r="F9" i="21"/>
  <c r="K11" i="9" s="1"/>
  <c r="H9" i="26" l="1"/>
  <c r="H9" i="25"/>
  <c r="G9" i="21"/>
  <c r="H9" i="22"/>
  <c r="H9" i="24"/>
  <c r="G17" i="18"/>
  <c r="G45" i="18"/>
  <c r="G33" i="18"/>
  <c r="G29" i="18"/>
  <c r="H9" i="21" l="1"/>
  <c r="H17" i="18"/>
  <c r="D105" i="18"/>
  <c r="D92" i="18"/>
  <c r="D83" i="18"/>
  <c r="D74" i="18"/>
  <c r="D65" i="18"/>
  <c r="D55" i="18"/>
  <c r="D46" i="18"/>
  <c r="D34" i="18"/>
  <c r="H34" i="18" s="1"/>
  <c r="D104" i="18"/>
  <c r="D91" i="18"/>
  <c r="D82" i="18"/>
  <c r="D73" i="18"/>
  <c r="D64" i="18"/>
  <c r="D54" i="18"/>
  <c r="D25" i="18"/>
  <c r="D20" i="18"/>
  <c r="D13" i="18"/>
  <c r="D9" i="18"/>
  <c r="Q11" i="9" l="1"/>
  <c r="S11" i="9" s="1"/>
  <c r="Q11" i="54"/>
  <c r="R11" i="54" s="1"/>
  <c r="G9" i="18"/>
  <c r="G32" i="18"/>
  <c r="H32" i="18"/>
  <c r="G73" i="18"/>
  <c r="H73" i="18"/>
  <c r="G13" i="18"/>
  <c r="H13" i="18"/>
  <c r="G44" i="18"/>
  <c r="H44" i="18"/>
  <c r="G82" i="18"/>
  <c r="H82" i="18"/>
  <c r="G20" i="18"/>
  <c r="H20" i="18"/>
  <c r="G54" i="18"/>
  <c r="H54" i="18"/>
  <c r="G91" i="18"/>
  <c r="H91" i="18"/>
  <c r="G25" i="18"/>
  <c r="H25" i="18"/>
  <c r="G64" i="18"/>
  <c r="H64" i="18"/>
  <c r="G104" i="18"/>
  <c r="H104" i="18"/>
  <c r="G46" i="18"/>
  <c r="H46" i="18"/>
  <c r="G83" i="18"/>
  <c r="H83" i="18"/>
  <c r="G55" i="18"/>
  <c r="H55" i="18"/>
  <c r="G92" i="18"/>
  <c r="H92" i="18"/>
  <c r="G65" i="18"/>
  <c r="H65" i="18"/>
  <c r="G105" i="18"/>
  <c r="H105" i="18"/>
  <c r="G74" i="18"/>
  <c r="H74" i="18"/>
  <c r="G34" i="18"/>
  <c r="D143" i="18"/>
  <c r="D144" i="18"/>
  <c r="G20" i="5" l="1"/>
  <c r="G48" i="16"/>
  <c r="D47" i="16"/>
  <c r="H47" i="16" s="1"/>
  <c r="G35" i="16"/>
  <c r="D34" i="16"/>
  <c r="H34" i="16" s="1"/>
  <c r="G24" i="16"/>
  <c r="D23" i="16"/>
  <c r="H23" i="16" s="1"/>
  <c r="D13" i="16"/>
  <c r="H13" i="16" s="1"/>
  <c r="H10" i="16"/>
  <c r="G23" i="16" l="1"/>
  <c r="G10" i="16"/>
  <c r="M11" i="9" s="1"/>
  <c r="G34" i="16"/>
  <c r="G47" i="16"/>
  <c r="G13" i="16"/>
  <c r="D120" i="18" l="1"/>
  <c r="D64" i="16"/>
  <c r="D127" i="18"/>
  <c r="D72" i="16"/>
  <c r="D131" i="18"/>
  <c r="D76" i="16"/>
  <c r="D136" i="18"/>
  <c r="D82" i="16"/>
  <c r="D121" i="18"/>
  <c r="D65" i="16"/>
  <c r="D128" i="18"/>
  <c r="D73" i="16"/>
  <c r="D137" i="18"/>
  <c r="D83" i="16"/>
  <c r="D118" i="18"/>
  <c r="D62" i="16"/>
  <c r="D122" i="18"/>
  <c r="D66" i="16"/>
  <c r="D125" i="18"/>
  <c r="D70" i="16"/>
  <c r="D129" i="18"/>
  <c r="D74" i="16"/>
  <c r="D134" i="18"/>
  <c r="D80" i="16"/>
  <c r="D119" i="18"/>
  <c r="D63" i="16"/>
  <c r="D126" i="18"/>
  <c r="D71" i="16"/>
  <c r="D130" i="18"/>
  <c r="D75" i="16"/>
  <c r="D135" i="18"/>
  <c r="D81" i="16"/>
  <c r="F23" i="21"/>
  <c r="F23" i="26"/>
  <c r="D117" i="18"/>
  <c r="D61" i="16"/>
  <c r="H52" i="13"/>
  <c r="D52" i="13"/>
  <c r="L22" i="13"/>
  <c r="K22" i="13"/>
  <c r="J22" i="13"/>
  <c r="I22" i="13"/>
  <c r="F22" i="13"/>
  <c r="D22" i="13"/>
  <c r="C22" i="13"/>
  <c r="L16" i="13"/>
  <c r="I16" i="13"/>
  <c r="H16" i="13"/>
  <c r="G16" i="13"/>
  <c r="D16" i="13"/>
  <c r="F23" i="22" l="1"/>
  <c r="O25" i="9" s="1"/>
  <c r="G23" i="22"/>
  <c r="D62" i="13"/>
  <c r="H22" i="13"/>
  <c r="F9" i="13"/>
  <c r="M22" i="13"/>
  <c r="F39" i="13"/>
  <c r="G119" i="18"/>
  <c r="H119" i="18"/>
  <c r="G131" i="18"/>
  <c r="H131" i="18"/>
  <c r="H71" i="16"/>
  <c r="G71" i="16"/>
  <c r="H82" i="16"/>
  <c r="G82" i="16"/>
  <c r="G135" i="18"/>
  <c r="H135" i="18"/>
  <c r="G126" i="18"/>
  <c r="H126" i="18"/>
  <c r="G134" i="18"/>
  <c r="H134" i="18"/>
  <c r="G125" i="18"/>
  <c r="H125" i="18"/>
  <c r="G118" i="18"/>
  <c r="H118" i="18"/>
  <c r="G128" i="18"/>
  <c r="H128" i="18"/>
  <c r="G136" i="18"/>
  <c r="H136" i="18"/>
  <c r="G127" i="18"/>
  <c r="H127" i="18"/>
  <c r="G130" i="18"/>
  <c r="H130" i="18"/>
  <c r="G129" i="18"/>
  <c r="H129" i="18"/>
  <c r="G122" i="18"/>
  <c r="H122" i="18"/>
  <c r="G137" i="18"/>
  <c r="H137" i="18"/>
  <c r="G121" i="18"/>
  <c r="H121" i="18"/>
  <c r="G120" i="18"/>
  <c r="H120" i="18"/>
  <c r="H81" i="16"/>
  <c r="G81" i="16"/>
  <c r="H80" i="16"/>
  <c r="G80" i="16"/>
  <c r="H70" i="16"/>
  <c r="G70" i="16"/>
  <c r="H62" i="16"/>
  <c r="G62" i="16"/>
  <c r="H73" i="16"/>
  <c r="G73" i="16"/>
  <c r="H72" i="16"/>
  <c r="G72" i="16"/>
  <c r="H75" i="16"/>
  <c r="G75" i="16"/>
  <c r="H63" i="16"/>
  <c r="G63" i="16"/>
  <c r="H74" i="16"/>
  <c r="G74" i="16"/>
  <c r="H66" i="16"/>
  <c r="G66" i="16"/>
  <c r="H83" i="16"/>
  <c r="G83" i="16"/>
  <c r="H65" i="16"/>
  <c r="G65" i="16"/>
  <c r="H76" i="16"/>
  <c r="G76" i="16"/>
  <c r="H64" i="16"/>
  <c r="G64" i="16"/>
  <c r="H23" i="26"/>
  <c r="J25" i="9"/>
  <c r="G117" i="18"/>
  <c r="H117" i="18"/>
  <c r="H61" i="16"/>
  <c r="G61" i="16"/>
  <c r="H23" i="21"/>
  <c r="K25" i="9"/>
  <c r="J9" i="13"/>
  <c r="J39" i="13"/>
  <c r="H9" i="13"/>
  <c r="E9" i="13"/>
  <c r="K39" i="13"/>
  <c r="D46" i="13"/>
  <c r="H46" i="13"/>
  <c r="L46" i="13"/>
  <c r="E46" i="13"/>
  <c r="G52" i="13"/>
  <c r="I9" i="13"/>
  <c r="M9" i="13"/>
  <c r="E16" i="13"/>
  <c r="M16" i="13"/>
  <c r="C39" i="13"/>
  <c r="G39" i="13"/>
  <c r="L52" i="13"/>
  <c r="D9" i="13"/>
  <c r="L9" i="13"/>
  <c r="C9" i="13"/>
  <c r="G9" i="13"/>
  <c r="K9" i="13"/>
  <c r="D39" i="13"/>
  <c r="H39" i="13"/>
  <c r="L39" i="13"/>
  <c r="E39" i="13"/>
  <c r="I39" i="13"/>
  <c r="M39" i="13"/>
  <c r="I46" i="13"/>
  <c r="M46" i="13"/>
  <c r="F46" i="13"/>
  <c r="J46" i="13"/>
  <c r="E52" i="13"/>
  <c r="I52" i="13"/>
  <c r="M52" i="13"/>
  <c r="C62" i="13"/>
  <c r="G62" i="13"/>
  <c r="B39" i="13"/>
  <c r="Q25" i="9" l="1"/>
  <c r="S25" i="9" s="1"/>
  <c r="Q25" i="54"/>
  <c r="H67" i="16"/>
  <c r="G84" i="16"/>
  <c r="H62" i="13"/>
  <c r="B46" i="13"/>
  <c r="C52" i="13"/>
  <c r="J52" i="13"/>
  <c r="E22" i="13"/>
  <c r="J16" i="13"/>
  <c r="G22" i="13"/>
  <c r="N46" i="13"/>
  <c r="F52" i="13"/>
  <c r="K16" i="13"/>
  <c r="F16" i="13"/>
  <c r="M62" i="13"/>
  <c r="K52" i="13"/>
  <c r="K46" i="13"/>
  <c r="C16" i="13"/>
  <c r="H84" i="16"/>
  <c r="G67" i="16"/>
  <c r="G77" i="16"/>
  <c r="H77" i="16"/>
  <c r="J62" i="13"/>
  <c r="I62" i="13"/>
  <c r="B62" i="13"/>
  <c r="B22" i="13"/>
  <c r="G46" i="13"/>
  <c r="F62" i="13"/>
  <c r="N9" i="13"/>
  <c r="B16" i="13"/>
  <c r="E62" i="13"/>
  <c r="N16" i="13"/>
  <c r="L62" i="13"/>
  <c r="C46" i="13"/>
  <c r="N52" i="13"/>
  <c r="B52" i="13"/>
  <c r="B9" i="13"/>
  <c r="K62" i="13"/>
  <c r="Q39" i="9" l="1"/>
  <c r="Q39" i="54"/>
  <c r="R25" i="54"/>
  <c r="S39" i="9"/>
  <c r="G86" i="16"/>
  <c r="N62" i="13"/>
  <c r="N39" i="13"/>
  <c r="P11" i="9"/>
  <c r="T11" i="9" s="1"/>
  <c r="R39" i="54" l="1"/>
  <c r="M25" i="9"/>
  <c r="P25" i="9" s="1"/>
  <c r="T25" i="9" s="1"/>
  <c r="O41" i="10"/>
  <c r="N41" i="10"/>
  <c r="M41" i="10"/>
  <c r="L41" i="10"/>
  <c r="K41" i="10"/>
  <c r="J41" i="10"/>
  <c r="I41" i="10"/>
  <c r="H41" i="10"/>
  <c r="G41" i="10"/>
  <c r="F41" i="10"/>
  <c r="E41" i="10"/>
  <c r="D41" i="10"/>
  <c r="O30" i="10"/>
  <c r="N30" i="10"/>
  <c r="M30" i="10"/>
  <c r="L30" i="10"/>
  <c r="K30" i="10"/>
  <c r="J30" i="10"/>
  <c r="I30" i="10"/>
  <c r="H30" i="10"/>
  <c r="G30" i="10"/>
  <c r="D3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N38" i="10"/>
  <c r="L38" i="10"/>
  <c r="J38" i="10"/>
  <c r="H38" i="10"/>
  <c r="F38" i="10"/>
  <c r="D38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D32" i="5"/>
  <c r="E32" i="5" s="1"/>
  <c r="H28" i="5"/>
  <c r="E28" i="5"/>
  <c r="E26" i="5"/>
  <c r="D24" i="5"/>
  <c r="E24" i="5" s="1"/>
  <c r="G17" i="5"/>
  <c r="H12" i="5"/>
  <c r="H14" i="5" s="1"/>
  <c r="E12" i="5"/>
  <c r="G11" i="5"/>
  <c r="H11" i="5" s="1"/>
  <c r="E11" i="5"/>
  <c r="H26" i="10" l="1"/>
  <c r="H35" i="10"/>
  <c r="E24" i="10"/>
  <c r="E35" i="10"/>
  <c r="M24" i="10"/>
  <c r="M35" i="10"/>
  <c r="E27" i="10"/>
  <c r="E38" i="10"/>
  <c r="M27" i="10"/>
  <c r="M38" i="10"/>
  <c r="F26" i="10"/>
  <c r="F35" i="10"/>
  <c r="J26" i="10"/>
  <c r="J35" i="10"/>
  <c r="N26" i="10"/>
  <c r="N35" i="10"/>
  <c r="D26" i="10"/>
  <c r="D35" i="10"/>
  <c r="L26" i="10"/>
  <c r="L35" i="10"/>
  <c r="I24" i="10"/>
  <c r="I35" i="10"/>
  <c r="I27" i="10"/>
  <c r="I38" i="10"/>
  <c r="G26" i="10"/>
  <c r="G35" i="10"/>
  <c r="K26" i="10"/>
  <c r="K35" i="10"/>
  <c r="O26" i="10"/>
  <c r="O35" i="10"/>
  <c r="G27" i="10"/>
  <c r="G38" i="10"/>
  <c r="K27" i="10"/>
  <c r="K38" i="10"/>
  <c r="O27" i="10"/>
  <c r="O38" i="10"/>
  <c r="F30" i="10"/>
  <c r="E30" i="10"/>
  <c r="D24" i="10"/>
  <c r="H24" i="10"/>
  <c r="L24" i="10"/>
  <c r="P13" i="10"/>
  <c r="P14" i="10"/>
  <c r="P15" i="10"/>
  <c r="P16" i="10"/>
  <c r="H27" i="10"/>
  <c r="L27" i="10"/>
  <c r="L28" i="10" s="1"/>
  <c r="L31" i="10" s="1"/>
  <c r="P17" i="10"/>
  <c r="P19" i="10"/>
  <c r="P20" i="10"/>
  <c r="P21" i="10"/>
  <c r="P22" i="10"/>
  <c r="P23" i="10"/>
  <c r="P41" i="10" s="1"/>
  <c r="F24" i="10"/>
  <c r="J24" i="10"/>
  <c r="N24" i="10"/>
  <c r="F27" i="10"/>
  <c r="J27" i="10"/>
  <c r="N27" i="10"/>
  <c r="N28" i="10" s="1"/>
  <c r="N31" i="10" s="1"/>
  <c r="D39" i="5"/>
  <c r="G32" i="5"/>
  <c r="H32" i="5" s="1"/>
  <c r="D33" i="5"/>
  <c r="E33" i="5"/>
  <c r="E35" i="5" s="1"/>
  <c r="P18" i="10"/>
  <c r="D18" i="48" s="1"/>
  <c r="E26" i="10"/>
  <c r="I26" i="10"/>
  <c r="I28" i="10" s="1"/>
  <c r="I31" i="10" s="1"/>
  <c r="M26" i="10"/>
  <c r="D27" i="10"/>
  <c r="P10" i="10"/>
  <c r="G24" i="10"/>
  <c r="K24" i="10"/>
  <c r="O24" i="10"/>
  <c r="P12" i="10"/>
  <c r="D14" i="18" s="1"/>
  <c r="D18" i="9" l="1"/>
  <c r="D35" i="48"/>
  <c r="D34" i="48"/>
  <c r="D32" i="48"/>
  <c r="H18" i="48"/>
  <c r="G18" i="48"/>
  <c r="D19" i="48"/>
  <c r="D20" i="9"/>
  <c r="D52" i="48"/>
  <c r="D51" i="48"/>
  <c r="D45" i="48"/>
  <c r="D44" i="48"/>
  <c r="D42" i="48"/>
  <c r="D22" i="18"/>
  <c r="D21" i="18"/>
  <c r="D14" i="48"/>
  <c r="D13" i="48"/>
  <c r="D41" i="18"/>
  <c r="D27" i="48"/>
  <c r="D26" i="48"/>
  <c r="D24" i="48"/>
  <c r="D10" i="48"/>
  <c r="H10" i="48" s="1"/>
  <c r="D42" i="10"/>
  <c r="M28" i="10"/>
  <c r="M31" i="10" s="1"/>
  <c r="I32" i="10"/>
  <c r="G42" i="10"/>
  <c r="K28" i="10"/>
  <c r="K31" i="10" s="1"/>
  <c r="K32" i="10" s="1"/>
  <c r="J28" i="10"/>
  <c r="J31" i="10" s="1"/>
  <c r="J32" i="10" s="1"/>
  <c r="H28" i="10"/>
  <c r="H31" i="10" s="1"/>
  <c r="H32" i="10" s="1"/>
  <c r="E42" i="10"/>
  <c r="P36" i="10"/>
  <c r="M32" i="10"/>
  <c r="P30" i="10"/>
  <c r="D8" i="11"/>
  <c r="C8" i="26"/>
  <c r="C8" i="21"/>
  <c r="C8" i="24"/>
  <c r="C8" i="25"/>
  <c r="F8" i="25" s="1"/>
  <c r="P35" i="10"/>
  <c r="E28" i="10"/>
  <c r="E31" i="10" s="1"/>
  <c r="E32" i="10" s="1"/>
  <c r="O42" i="10"/>
  <c r="K42" i="10"/>
  <c r="D16" i="9"/>
  <c r="P40" i="10"/>
  <c r="D14" i="9"/>
  <c r="P38" i="10"/>
  <c r="D13" i="9"/>
  <c r="P37" i="10"/>
  <c r="D12" i="9"/>
  <c r="F28" i="10"/>
  <c r="F31" i="10" s="1"/>
  <c r="F32" i="10" s="1"/>
  <c r="P39" i="10"/>
  <c r="O28" i="10"/>
  <c r="O31" i="10" s="1"/>
  <c r="O32" i="10" s="1"/>
  <c r="G28" i="10"/>
  <c r="G31" i="10" s="1"/>
  <c r="G32" i="10" s="1"/>
  <c r="I42" i="10"/>
  <c r="M42" i="10"/>
  <c r="F42" i="10"/>
  <c r="N42" i="10"/>
  <c r="L42" i="10"/>
  <c r="J42" i="10"/>
  <c r="H42" i="10"/>
  <c r="D10" i="9"/>
  <c r="C8" i="22"/>
  <c r="P27" i="10"/>
  <c r="L32" i="10"/>
  <c r="N32" i="10"/>
  <c r="C15" i="26"/>
  <c r="C15" i="22"/>
  <c r="C15" i="21"/>
  <c r="D26" i="18"/>
  <c r="D11" i="11"/>
  <c r="C19" i="26"/>
  <c r="C19" i="22"/>
  <c r="G19" i="22" s="1"/>
  <c r="C19" i="21"/>
  <c r="D111" i="18"/>
  <c r="D114" i="18"/>
  <c r="D110" i="18"/>
  <c r="D113" i="18"/>
  <c r="D109" i="18"/>
  <c r="D112" i="18"/>
  <c r="D52" i="16"/>
  <c r="D55" i="16"/>
  <c r="D51" i="16"/>
  <c r="D54" i="16"/>
  <c r="D50" i="16"/>
  <c r="D53" i="16"/>
  <c r="D44" i="11"/>
  <c r="D43" i="11"/>
  <c r="D46" i="11"/>
  <c r="D42" i="11"/>
  <c r="D45" i="11"/>
  <c r="D41" i="11"/>
  <c r="D15" i="9"/>
  <c r="C13" i="21"/>
  <c r="C13" i="26"/>
  <c r="C13" i="25"/>
  <c r="F13" i="25" s="1"/>
  <c r="C13" i="24"/>
  <c r="C13" i="22"/>
  <c r="D79" i="18"/>
  <c r="D78" i="18"/>
  <c r="D75" i="18"/>
  <c r="D22" i="11"/>
  <c r="C18" i="21"/>
  <c r="C18" i="26"/>
  <c r="C18" i="22"/>
  <c r="D88" i="18"/>
  <c r="D87" i="18"/>
  <c r="D23" i="11"/>
  <c r="C14" i="21"/>
  <c r="C14" i="26"/>
  <c r="C14" i="25"/>
  <c r="C14" i="24"/>
  <c r="C14" i="22"/>
  <c r="D100" i="18"/>
  <c r="D96" i="18"/>
  <c r="D99" i="18"/>
  <c r="D93" i="18"/>
  <c r="D97" i="18"/>
  <c r="D98" i="18"/>
  <c r="D101" i="18"/>
  <c r="D40" i="16"/>
  <c r="D43" i="16"/>
  <c r="D39" i="16"/>
  <c r="D36" i="16"/>
  <c r="D42" i="16"/>
  <c r="D38" i="16"/>
  <c r="D41" i="16"/>
  <c r="D30" i="11"/>
  <c r="D26" i="11"/>
  <c r="D29" i="11"/>
  <c r="D28" i="11"/>
  <c r="D31" i="11"/>
  <c r="D27" i="11"/>
  <c r="C12" i="26"/>
  <c r="C12" i="25"/>
  <c r="C12" i="21"/>
  <c r="C12" i="24"/>
  <c r="C12" i="22"/>
  <c r="D59" i="18"/>
  <c r="D56" i="18"/>
  <c r="D61" i="18"/>
  <c r="D60" i="18"/>
  <c r="D18" i="16"/>
  <c r="D17" i="16"/>
  <c r="D19" i="16"/>
  <c r="D15" i="16"/>
  <c r="D19" i="11"/>
  <c r="D18" i="11"/>
  <c r="D17" i="11"/>
  <c r="C17" i="26"/>
  <c r="C17" i="22"/>
  <c r="C17" i="21"/>
  <c r="D69" i="18"/>
  <c r="D68" i="18"/>
  <c r="D70" i="18"/>
  <c r="D26" i="16"/>
  <c r="D28" i="16"/>
  <c r="D27" i="16"/>
  <c r="D37" i="11"/>
  <c r="D36" i="11"/>
  <c r="D35" i="11"/>
  <c r="D19" i="9"/>
  <c r="C11" i="24"/>
  <c r="C11" i="22"/>
  <c r="C11" i="21"/>
  <c r="C11" i="26"/>
  <c r="C11" i="25"/>
  <c r="D39" i="18"/>
  <c r="D38" i="18"/>
  <c r="D37" i="18"/>
  <c r="D13" i="11"/>
  <c r="G14" i="18"/>
  <c r="H14" i="18"/>
  <c r="D10" i="18"/>
  <c r="D21" i="9"/>
  <c r="D22" i="9"/>
  <c r="E36" i="9" s="1"/>
  <c r="C20" i="26"/>
  <c r="C20" i="21"/>
  <c r="F20" i="21" s="1"/>
  <c r="C20" i="22"/>
  <c r="D139" i="18"/>
  <c r="C16" i="26"/>
  <c r="C16" i="22"/>
  <c r="C16" i="21"/>
  <c r="D49" i="18"/>
  <c r="D51" i="18"/>
  <c r="D50" i="18"/>
  <c r="D14" i="11"/>
  <c r="C10" i="25"/>
  <c r="C10" i="21"/>
  <c r="G10" i="21" s="1"/>
  <c r="C10" i="26"/>
  <c r="C10" i="24"/>
  <c r="C10" i="22"/>
  <c r="D10" i="11"/>
  <c r="E39" i="9"/>
  <c r="P24" i="10"/>
  <c r="D17" i="9"/>
  <c r="D28" i="10"/>
  <c r="D31" i="10" s="1"/>
  <c r="D32" i="10" s="1"/>
  <c r="P26" i="10"/>
  <c r="G24" i="5"/>
  <c r="H24" i="5" s="1"/>
  <c r="G10" i="48" l="1"/>
  <c r="N10" i="9" s="1"/>
  <c r="H32" i="48"/>
  <c r="G32" i="48"/>
  <c r="H19" i="48"/>
  <c r="H20" i="48" s="1"/>
  <c r="G19" i="48"/>
  <c r="G20" i="48" s="1"/>
  <c r="N17" i="9" s="1"/>
  <c r="G34" i="48"/>
  <c r="H34" i="48"/>
  <c r="H51" i="48"/>
  <c r="G51" i="48"/>
  <c r="H35" i="48"/>
  <c r="G35" i="48"/>
  <c r="H52" i="48"/>
  <c r="G52" i="48"/>
  <c r="H44" i="48"/>
  <c r="G44" i="48"/>
  <c r="H42" i="48"/>
  <c r="G42" i="48"/>
  <c r="H45" i="48"/>
  <c r="G45" i="48"/>
  <c r="G26" i="48"/>
  <c r="H26" i="48"/>
  <c r="H14" i="48"/>
  <c r="G14" i="48"/>
  <c r="H24" i="48"/>
  <c r="G24" i="48"/>
  <c r="H13" i="48"/>
  <c r="H15" i="48" s="1"/>
  <c r="G13" i="48"/>
  <c r="G15" i="48" s="1"/>
  <c r="N12" i="9" s="1"/>
  <c r="H27" i="48"/>
  <c r="G27" i="48"/>
  <c r="H41" i="18"/>
  <c r="G41" i="18"/>
  <c r="G22" i="18"/>
  <c r="H22" i="18"/>
  <c r="P42" i="10"/>
  <c r="P28" i="10"/>
  <c r="P31" i="10" s="1"/>
  <c r="P32" i="10" s="1"/>
  <c r="F10" i="26"/>
  <c r="J12" i="9" s="1"/>
  <c r="G10" i="26"/>
  <c r="G16" i="22"/>
  <c r="F16" i="22"/>
  <c r="O18" i="9" s="1"/>
  <c r="H13" i="11"/>
  <c r="G13" i="11"/>
  <c r="I13" i="9" s="1"/>
  <c r="F11" i="25"/>
  <c r="H13" i="9" s="1"/>
  <c r="G11" i="25"/>
  <c r="H26" i="16"/>
  <c r="G26" i="16"/>
  <c r="F17" i="21"/>
  <c r="K19" i="9" s="1"/>
  <c r="G17" i="21"/>
  <c r="H20" i="11"/>
  <c r="G20" i="11"/>
  <c r="I14" i="9" s="1"/>
  <c r="D20" i="11"/>
  <c r="H19" i="16"/>
  <c r="G19" i="16"/>
  <c r="G61" i="18"/>
  <c r="H61" i="18"/>
  <c r="G12" i="26"/>
  <c r="F12" i="26"/>
  <c r="J14" i="9" s="1"/>
  <c r="H38" i="16"/>
  <c r="G38" i="16"/>
  <c r="H43" i="16"/>
  <c r="G43" i="16"/>
  <c r="G97" i="18"/>
  <c r="H97" i="18"/>
  <c r="G100" i="18"/>
  <c r="H100" i="18"/>
  <c r="G14" i="25"/>
  <c r="F14" i="25"/>
  <c r="H16" i="9" s="1"/>
  <c r="F18" i="22"/>
  <c r="O20" i="9" s="1"/>
  <c r="G18" i="22"/>
  <c r="G78" i="18"/>
  <c r="H78" i="18"/>
  <c r="G13" i="24"/>
  <c r="F13" i="24"/>
  <c r="G15" i="9" s="1"/>
  <c r="H50" i="16"/>
  <c r="G50" i="16"/>
  <c r="H52" i="16"/>
  <c r="G52" i="16"/>
  <c r="G110" i="18"/>
  <c r="H110" i="18"/>
  <c r="F19" i="22"/>
  <c r="O21" i="9" s="1"/>
  <c r="F15" i="26"/>
  <c r="J17" i="9" s="1"/>
  <c r="G15" i="26"/>
  <c r="F10" i="22"/>
  <c r="O12" i="9" s="1"/>
  <c r="G10" i="22"/>
  <c r="F10" i="21"/>
  <c r="K12" i="9" s="1"/>
  <c r="G16" i="26"/>
  <c r="F16" i="26"/>
  <c r="J18" i="9" s="1"/>
  <c r="G20" i="22"/>
  <c r="F20" i="22"/>
  <c r="O22" i="9" s="1"/>
  <c r="H10" i="18"/>
  <c r="G10" i="18"/>
  <c r="C21" i="22"/>
  <c r="G8" i="22"/>
  <c r="F8" i="22"/>
  <c r="G37" i="18"/>
  <c r="F11" i="26"/>
  <c r="J13" i="9" s="1"/>
  <c r="G11" i="26"/>
  <c r="F11" i="24"/>
  <c r="G13" i="9" s="1"/>
  <c r="G11" i="24"/>
  <c r="G70" i="18"/>
  <c r="H70" i="18"/>
  <c r="F17" i="22"/>
  <c r="O19" i="9" s="1"/>
  <c r="G17" i="22"/>
  <c r="H17" i="16"/>
  <c r="G17" i="16"/>
  <c r="G56" i="18"/>
  <c r="H56" i="18"/>
  <c r="G12" i="24"/>
  <c r="F12" i="24"/>
  <c r="G14" i="9" s="1"/>
  <c r="G32" i="11"/>
  <c r="I16" i="9" s="1"/>
  <c r="H32" i="11"/>
  <c r="D32" i="11"/>
  <c r="H42" i="16"/>
  <c r="G42" i="16"/>
  <c r="H40" i="16"/>
  <c r="G40" i="16"/>
  <c r="G93" i="18"/>
  <c r="H93" i="18"/>
  <c r="F14" i="22"/>
  <c r="O16" i="9" s="1"/>
  <c r="G14" i="22"/>
  <c r="F14" i="26"/>
  <c r="J16" i="9" s="1"/>
  <c r="G14" i="26"/>
  <c r="H23" i="11"/>
  <c r="G23" i="11"/>
  <c r="I20" i="9" s="1"/>
  <c r="F18" i="26"/>
  <c r="J20" i="9" s="1"/>
  <c r="G18" i="26"/>
  <c r="G79" i="18"/>
  <c r="H79" i="18"/>
  <c r="G13" i="25"/>
  <c r="H15" i="9"/>
  <c r="H47" i="11"/>
  <c r="G47" i="11"/>
  <c r="I21" i="9" s="1"/>
  <c r="D47" i="11"/>
  <c r="H54" i="16"/>
  <c r="G54" i="16"/>
  <c r="G112" i="18"/>
  <c r="H112" i="18"/>
  <c r="G114" i="18"/>
  <c r="H114" i="18"/>
  <c r="F19" i="26"/>
  <c r="J21" i="9" s="1"/>
  <c r="G19" i="26"/>
  <c r="H26" i="18"/>
  <c r="G26" i="18"/>
  <c r="G21" i="18"/>
  <c r="H21" i="18"/>
  <c r="G51" i="18"/>
  <c r="H51" i="18"/>
  <c r="F8" i="21"/>
  <c r="C21" i="21"/>
  <c r="G8" i="21"/>
  <c r="F10" i="25"/>
  <c r="H12" i="9" s="1"/>
  <c r="G10" i="25"/>
  <c r="G14" i="11"/>
  <c r="I18" i="9" s="1"/>
  <c r="H14" i="11"/>
  <c r="G49" i="18"/>
  <c r="K22" i="9"/>
  <c r="G20" i="21"/>
  <c r="G8" i="24"/>
  <c r="C15" i="24"/>
  <c r="F8" i="24"/>
  <c r="G38" i="18"/>
  <c r="H38" i="18"/>
  <c r="G11" i="21"/>
  <c r="F11" i="21"/>
  <c r="K13" i="9" s="1"/>
  <c r="H27" i="16"/>
  <c r="G27" i="16"/>
  <c r="G68" i="18"/>
  <c r="H68" i="18"/>
  <c r="F17" i="26"/>
  <c r="J19" i="9" s="1"/>
  <c r="G17" i="26"/>
  <c r="H18" i="16"/>
  <c r="G18" i="16"/>
  <c r="G59" i="18"/>
  <c r="H59" i="18"/>
  <c r="F12" i="21"/>
  <c r="K14" i="9" s="1"/>
  <c r="G12" i="21"/>
  <c r="H36" i="16"/>
  <c r="G36" i="16"/>
  <c r="G101" i="18"/>
  <c r="H101" i="18"/>
  <c r="G99" i="18"/>
  <c r="H99" i="18"/>
  <c r="G14" i="21"/>
  <c r="F14" i="21"/>
  <c r="K16" i="9" s="1"/>
  <c r="G87" i="18"/>
  <c r="H87" i="18"/>
  <c r="F18" i="21"/>
  <c r="K20" i="9" s="1"/>
  <c r="G18" i="21"/>
  <c r="H22" i="11"/>
  <c r="G22" i="11"/>
  <c r="I15" i="9" s="1"/>
  <c r="F13" i="22"/>
  <c r="O15" i="9" s="1"/>
  <c r="G13" i="22"/>
  <c r="F13" i="26"/>
  <c r="J15" i="9" s="1"/>
  <c r="G13" i="26"/>
  <c r="H51" i="16"/>
  <c r="G51" i="16"/>
  <c r="G109" i="18"/>
  <c r="H109" i="18"/>
  <c r="G111" i="18"/>
  <c r="H111" i="18"/>
  <c r="F15" i="21"/>
  <c r="K17" i="9" s="1"/>
  <c r="G15" i="21"/>
  <c r="H10" i="11"/>
  <c r="G10" i="11"/>
  <c r="I12" i="9" s="1"/>
  <c r="F10" i="24"/>
  <c r="G12" i="9" s="1"/>
  <c r="G10" i="24"/>
  <c r="G50" i="18"/>
  <c r="H50" i="18"/>
  <c r="F16" i="21"/>
  <c r="K18" i="9" s="1"/>
  <c r="G16" i="21"/>
  <c r="F20" i="26"/>
  <c r="J22" i="9" s="1"/>
  <c r="G20" i="26"/>
  <c r="H8" i="11"/>
  <c r="G8" i="11"/>
  <c r="G8" i="25"/>
  <c r="C15" i="25"/>
  <c r="G8" i="26"/>
  <c r="F8" i="26"/>
  <c r="C21" i="26"/>
  <c r="G39" i="18"/>
  <c r="H39" i="18"/>
  <c r="G11" i="22"/>
  <c r="F11" i="22"/>
  <c r="O13" i="9" s="1"/>
  <c r="H38" i="11"/>
  <c r="G38" i="11"/>
  <c r="I19" i="9" s="1"/>
  <c r="D38" i="11"/>
  <c r="H28" i="16"/>
  <c r="G28" i="16"/>
  <c r="G69" i="18"/>
  <c r="H69" i="18"/>
  <c r="H15" i="16"/>
  <c r="G15" i="16"/>
  <c r="G60" i="18"/>
  <c r="H60" i="18"/>
  <c r="G12" i="22"/>
  <c r="F12" i="22"/>
  <c r="O14" i="9" s="1"/>
  <c r="G12" i="25"/>
  <c r="F12" i="25"/>
  <c r="H14" i="9" s="1"/>
  <c r="H41" i="16"/>
  <c r="G41" i="16"/>
  <c r="H39" i="16"/>
  <c r="G39" i="16"/>
  <c r="G98" i="18"/>
  <c r="H98" i="18"/>
  <c r="G96" i="18"/>
  <c r="H96" i="18"/>
  <c r="F14" i="24"/>
  <c r="G16" i="9" s="1"/>
  <c r="G14" i="24"/>
  <c r="G88" i="18"/>
  <c r="H88" i="18"/>
  <c r="G75" i="18"/>
  <c r="H75" i="18"/>
  <c r="G13" i="21"/>
  <c r="F13" i="21"/>
  <c r="K15" i="9" s="1"/>
  <c r="H53" i="16"/>
  <c r="G53" i="16"/>
  <c r="H55" i="16"/>
  <c r="G55" i="16"/>
  <c r="G113" i="18"/>
  <c r="H113" i="18"/>
  <c r="F19" i="21"/>
  <c r="K21" i="9" s="1"/>
  <c r="G19" i="21"/>
  <c r="H11" i="11"/>
  <c r="G11" i="11"/>
  <c r="I17" i="9" s="1"/>
  <c r="G15" i="22"/>
  <c r="F15" i="22"/>
  <c r="O17" i="9" s="1"/>
  <c r="E35" i="9"/>
  <c r="E33" i="9"/>
  <c r="E34" i="9"/>
  <c r="E32" i="9"/>
  <c r="P39" i="9"/>
  <c r="T39" i="9" s="1"/>
  <c r="D23" i="9"/>
  <c r="Q18" i="54" l="1"/>
  <c r="R18" i="54" s="1"/>
  <c r="Q18" i="9"/>
  <c r="S18" i="9" s="1"/>
  <c r="Q12" i="54"/>
  <c r="Q12" i="9"/>
  <c r="S12" i="9" s="1"/>
  <c r="Q19" i="54"/>
  <c r="R19" i="54" s="1"/>
  <c r="Q19" i="9"/>
  <c r="S19" i="9" s="1"/>
  <c r="Q14" i="54"/>
  <c r="Q14" i="9"/>
  <c r="S14" i="9" s="1"/>
  <c r="Q15" i="9"/>
  <c r="S15" i="9" s="1"/>
  <c r="Q15" i="54"/>
  <c r="Q21" i="54"/>
  <c r="R21" i="54" s="1"/>
  <c r="Q21" i="9"/>
  <c r="S21" i="9" s="1"/>
  <c r="Q20" i="9"/>
  <c r="S20" i="9" s="1"/>
  <c r="Q20" i="54"/>
  <c r="R20" i="54" s="1"/>
  <c r="Q13" i="9"/>
  <c r="S13" i="9" s="1"/>
  <c r="Q13" i="54"/>
  <c r="Q17" i="54"/>
  <c r="R17" i="54" s="1"/>
  <c r="Q17" i="9"/>
  <c r="S17" i="9" s="1"/>
  <c r="Q16" i="54"/>
  <c r="Q16" i="9"/>
  <c r="S16" i="9" s="1"/>
  <c r="Q10" i="9"/>
  <c r="S10" i="9" s="1"/>
  <c r="Q10" i="54"/>
  <c r="P22" i="9"/>
  <c r="G46" i="48"/>
  <c r="N15" i="9" s="1"/>
  <c r="H46" i="48"/>
  <c r="G53" i="48"/>
  <c r="N20" i="9" s="1"/>
  <c r="H53" i="48"/>
  <c r="G36" i="48"/>
  <c r="N18" i="9" s="1"/>
  <c r="G28" i="48"/>
  <c r="P12" i="9"/>
  <c r="H28" i="48"/>
  <c r="H49" i="11"/>
  <c r="I8" i="11"/>
  <c r="D49" i="11"/>
  <c r="I22" i="11"/>
  <c r="H13" i="25"/>
  <c r="I23" i="11"/>
  <c r="H20" i="22"/>
  <c r="H10" i="21"/>
  <c r="I13" i="11"/>
  <c r="H16" i="22"/>
  <c r="H20" i="26"/>
  <c r="I10" i="11"/>
  <c r="H14" i="21"/>
  <c r="I47" i="11"/>
  <c r="H11" i="26"/>
  <c r="H16" i="26"/>
  <c r="H18" i="22"/>
  <c r="I20" i="11"/>
  <c r="H19" i="26"/>
  <c r="I32" i="11"/>
  <c r="H17" i="22"/>
  <c r="H11" i="24"/>
  <c r="H44" i="16"/>
  <c r="H19" i="21"/>
  <c r="H14" i="24"/>
  <c r="G20" i="16"/>
  <c r="M14" i="9" s="1"/>
  <c r="I38" i="11"/>
  <c r="H15" i="26"/>
  <c r="H11" i="22"/>
  <c r="H19" i="22"/>
  <c r="G15" i="24"/>
  <c r="H8" i="24"/>
  <c r="O10" i="9"/>
  <c r="O23" i="9" s="1"/>
  <c r="O26" i="9" s="1"/>
  <c r="F21" i="22"/>
  <c r="F24" i="22" s="1"/>
  <c r="I11" i="11"/>
  <c r="H12" i="25"/>
  <c r="G15" i="25"/>
  <c r="H8" i="25"/>
  <c r="H16" i="21"/>
  <c r="H13" i="22"/>
  <c r="H18" i="21"/>
  <c r="G44" i="16"/>
  <c r="M16" i="9" s="1"/>
  <c r="H17" i="26"/>
  <c r="H11" i="21"/>
  <c r="H10" i="25"/>
  <c r="K10" i="9"/>
  <c r="K23" i="9" s="1"/>
  <c r="K26" i="9" s="1"/>
  <c r="F21" i="21"/>
  <c r="F24" i="21" s="1"/>
  <c r="H14" i="22"/>
  <c r="H12" i="24"/>
  <c r="G21" i="22"/>
  <c r="H8" i="22"/>
  <c r="G56" i="16"/>
  <c r="M21" i="9" s="1"/>
  <c r="H13" i="24"/>
  <c r="H12" i="26"/>
  <c r="G29" i="16"/>
  <c r="M19" i="9" s="1"/>
  <c r="H11" i="25"/>
  <c r="F21" i="26"/>
  <c r="F24" i="26" s="1"/>
  <c r="J10" i="9"/>
  <c r="J23" i="9" s="1"/>
  <c r="J26" i="9" s="1"/>
  <c r="H10" i="9"/>
  <c r="H23" i="9" s="1"/>
  <c r="H26" i="9" s="1"/>
  <c r="F15" i="25"/>
  <c r="G10" i="9"/>
  <c r="G23" i="9" s="1"/>
  <c r="G26" i="9" s="1"/>
  <c r="F15" i="24"/>
  <c r="F23" i="9"/>
  <c r="F26" i="9" s="1"/>
  <c r="H56" i="16"/>
  <c r="H29" i="16"/>
  <c r="H15" i="22"/>
  <c r="H13" i="21"/>
  <c r="H12" i="22"/>
  <c r="H20" i="16"/>
  <c r="G21" i="26"/>
  <c r="H8" i="26"/>
  <c r="I10" i="9"/>
  <c r="I23" i="9" s="1"/>
  <c r="I26" i="9" s="1"/>
  <c r="G49" i="11"/>
  <c r="H10" i="24"/>
  <c r="H15" i="21"/>
  <c r="H13" i="26"/>
  <c r="H12" i="21"/>
  <c r="H20" i="21"/>
  <c r="I14" i="11"/>
  <c r="H8" i="21"/>
  <c r="G21" i="21"/>
  <c r="H18" i="26"/>
  <c r="H14" i="26"/>
  <c r="H10" i="22"/>
  <c r="H14" i="25"/>
  <c r="H17" i="21"/>
  <c r="H10" i="26"/>
  <c r="E31" i="9"/>
  <c r="E30" i="9"/>
  <c r="E23" i="9"/>
  <c r="E26" i="9" s="1"/>
  <c r="H26" i="5"/>
  <c r="H33" i="5" s="1"/>
  <c r="H35" i="5" s="1"/>
  <c r="H36" i="5" s="1"/>
  <c r="H37" i="5" s="1"/>
  <c r="G33" i="5"/>
  <c r="G39" i="5"/>
  <c r="Q30" i="9" l="1"/>
  <c r="S30" i="9"/>
  <c r="S35" i="9"/>
  <c r="Q32" i="54"/>
  <c r="R32" i="54" s="1"/>
  <c r="R13" i="54"/>
  <c r="S33" i="9"/>
  <c r="S31" i="9"/>
  <c r="T12" i="9"/>
  <c r="P36" i="9"/>
  <c r="Q35" i="54"/>
  <c r="R35" i="54" s="1"/>
  <c r="R16" i="54"/>
  <c r="S32" i="9"/>
  <c r="Q33" i="54"/>
  <c r="R33" i="54" s="1"/>
  <c r="R14" i="54"/>
  <c r="Q31" i="54"/>
  <c r="R31" i="54" s="1"/>
  <c r="R12" i="54"/>
  <c r="Q30" i="54"/>
  <c r="R10" i="54"/>
  <c r="Q34" i="54"/>
  <c r="R34" i="54" s="1"/>
  <c r="R15" i="54"/>
  <c r="S34" i="9"/>
  <c r="Q34" i="9"/>
  <c r="Q31" i="9"/>
  <c r="H55" i="48"/>
  <c r="G55" i="48"/>
  <c r="G57" i="48"/>
  <c r="Q35" i="9"/>
  <c r="P20" i="9"/>
  <c r="T20" i="9" s="1"/>
  <c r="Q33" i="9"/>
  <c r="Q32" i="9"/>
  <c r="G38" i="48"/>
  <c r="N13" i="9"/>
  <c r="P13" i="9" s="1"/>
  <c r="T13" i="9" s="1"/>
  <c r="H38" i="48"/>
  <c r="H57" i="48"/>
  <c r="P18" i="9"/>
  <c r="T18" i="9" s="1"/>
  <c r="E37" i="9"/>
  <c r="E40" i="9" s="1"/>
  <c r="P19" i="9"/>
  <c r="T19" i="9" s="1"/>
  <c r="P17" i="9"/>
  <c r="T17" i="9" s="1"/>
  <c r="L23" i="9"/>
  <c r="L26" i="9" s="1"/>
  <c r="G31" i="16"/>
  <c r="G88" i="16"/>
  <c r="P21" i="9"/>
  <c r="T21" i="9" s="1"/>
  <c r="P15" i="9"/>
  <c r="T15" i="9" s="1"/>
  <c r="P10" i="9"/>
  <c r="T10" i="9" s="1"/>
  <c r="I49" i="11"/>
  <c r="H15" i="25"/>
  <c r="P14" i="9"/>
  <c r="T14" i="9" s="1"/>
  <c r="G24" i="21"/>
  <c r="H24" i="21" s="1"/>
  <c r="H21" i="21"/>
  <c r="G24" i="26"/>
  <c r="H24" i="26" s="1"/>
  <c r="H21" i="26"/>
  <c r="G24" i="22"/>
  <c r="H24" i="22" s="1"/>
  <c r="H21" i="22"/>
  <c r="P16" i="9"/>
  <c r="T16" i="9" s="1"/>
  <c r="G58" i="16"/>
  <c r="H15" i="24"/>
  <c r="R30" i="54" l="1"/>
  <c r="N23" i="9"/>
  <c r="N26" i="9" s="1"/>
  <c r="P31" i="9"/>
  <c r="T31" i="9" s="1"/>
  <c r="P34" i="9"/>
  <c r="T34" i="9" s="1"/>
  <c r="M23" i="9"/>
  <c r="M26" i="9" s="1"/>
  <c r="P30" i="9"/>
  <c r="T30" i="9" s="1"/>
  <c r="P35" i="9"/>
  <c r="T35" i="9" s="1"/>
  <c r="P23" i="9"/>
  <c r="P32" i="9"/>
  <c r="T32" i="9" s="1"/>
  <c r="P33" i="9"/>
  <c r="T33" i="9" s="1"/>
  <c r="P37" i="9" l="1"/>
  <c r="P40" i="9" s="1"/>
  <c r="P26" i="9"/>
  <c r="Q22" i="54" l="1"/>
  <c r="Q22" i="9"/>
  <c r="Q22" i="55"/>
  <c r="R22" i="9"/>
  <c r="S22" i="9" l="1"/>
  <c r="Q36" i="9"/>
  <c r="Q37" i="9" s="1"/>
  <c r="Q40" i="9" s="1"/>
  <c r="Q23" i="9"/>
  <c r="Q26" i="9" s="1"/>
  <c r="R36" i="9"/>
  <c r="R37" i="9" s="1"/>
  <c r="R40" i="9" s="1"/>
  <c r="R23" i="9"/>
  <c r="R26" i="9" s="1"/>
  <c r="Q36" i="55"/>
  <c r="R22" i="55"/>
  <c r="Q23" i="55"/>
  <c r="Q36" i="54"/>
  <c r="R22" i="54"/>
  <c r="Q23" i="54"/>
  <c r="R23" i="55" l="1"/>
  <c r="Q26" i="55"/>
  <c r="R26" i="55" s="1"/>
  <c r="Q26" i="54"/>
  <c r="R26" i="54" s="1"/>
  <c r="R23" i="54"/>
  <c r="R36" i="55"/>
  <c r="Q37" i="55"/>
  <c r="R36" i="54"/>
  <c r="Q37" i="54"/>
  <c r="S36" i="9"/>
  <c r="S23" i="9"/>
  <c r="T22" i="9"/>
  <c r="R37" i="54" l="1"/>
  <c r="Q40" i="54"/>
  <c r="R40" i="54" s="1"/>
  <c r="S26" i="9"/>
  <c r="T26" i="9" s="1"/>
  <c r="T23" i="9"/>
  <c r="R37" i="55"/>
  <c r="Q40" i="55"/>
  <c r="R40" i="55" s="1"/>
  <c r="T36" i="9"/>
  <c r="S37" i="9"/>
  <c r="S40" i="9" l="1"/>
  <c r="T40" i="9" s="1"/>
  <c r="T37" i="9"/>
</calcChain>
</file>

<file path=xl/comments1.xml><?xml version="1.0" encoding="utf-8"?>
<comments xmlns="http://schemas.openxmlformats.org/spreadsheetml/2006/main">
  <authors>
    <author>jphelp</author>
  </authors>
  <commentList>
    <comment ref="F52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  <comment ref="F74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  <comment ref="F93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</commentList>
</comments>
</file>

<file path=xl/sharedStrings.xml><?xml version="1.0" encoding="utf-8"?>
<sst xmlns="http://schemas.openxmlformats.org/spreadsheetml/2006/main" count="2447" uniqueCount="481">
  <si>
    <t>Puget Sound Energy</t>
  </si>
  <si>
    <t>Proposed</t>
  </si>
  <si>
    <t>Revenue</t>
  </si>
  <si>
    <t>Volume (Therms)</t>
  </si>
  <si>
    <t>Rate Class</t>
  </si>
  <si>
    <t>Current</t>
  </si>
  <si>
    <t>Total</t>
  </si>
  <si>
    <t>Residential</t>
  </si>
  <si>
    <t>Commercial &amp; Industrial</t>
  </si>
  <si>
    <t>Large Volume</t>
  </si>
  <si>
    <t>Interruptible</t>
  </si>
  <si>
    <t>Limited Interruptible</t>
  </si>
  <si>
    <t>Non-exclusive Interruptible</t>
  </si>
  <si>
    <t>Contracts</t>
  </si>
  <si>
    <t>Subtotal</t>
  </si>
  <si>
    <t>Forecasted</t>
  </si>
  <si>
    <t>Sched 140</t>
  </si>
  <si>
    <t>Rate</t>
  </si>
  <si>
    <t>Sched 101</t>
  </si>
  <si>
    <t>Sched 106</t>
  </si>
  <si>
    <t>Percent</t>
  </si>
  <si>
    <t>Schedule</t>
  </si>
  <si>
    <t>Rates</t>
  </si>
  <si>
    <t>Current Rates</t>
  </si>
  <si>
    <t>Change</t>
  </si>
  <si>
    <t>A</t>
  </si>
  <si>
    <t>B</t>
  </si>
  <si>
    <t>C</t>
  </si>
  <si>
    <t>D</t>
  </si>
  <si>
    <t>J</t>
  </si>
  <si>
    <t>23,53</t>
  </si>
  <si>
    <t>Residential Gas Lights</t>
  </si>
  <si>
    <t>Commercial &amp; Industrial Transportation</t>
  </si>
  <si>
    <t>31T</t>
  </si>
  <si>
    <t>Large Volume Transportation</t>
  </si>
  <si>
    <t>41T</t>
  </si>
  <si>
    <t>Interruptible Transportation</t>
  </si>
  <si>
    <t>85T</t>
  </si>
  <si>
    <t>Limited Interruptible Transportation</t>
  </si>
  <si>
    <t>86T</t>
  </si>
  <si>
    <t>Non-exclusive Interruptible Transportation</t>
  </si>
  <si>
    <t>87T</t>
  </si>
  <si>
    <t>By Customer Class</t>
  </si>
  <si>
    <t>Residential (16,23,53)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</si>
  <si>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</si>
  <si>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</si>
  <si>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</si>
  <si>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</si>
  <si>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</si>
  <si>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Check</t>
  </si>
  <si>
    <t>Sched 120</t>
  </si>
  <si>
    <t>K</t>
  </si>
  <si>
    <r>
      <t>Rates</t>
    </r>
    <r>
      <rPr>
        <vertAlign val="superscript"/>
        <sz val="11"/>
        <rFont val="Calibri"/>
        <family val="2"/>
      </rPr>
      <t xml:space="preserve"> (1)</t>
    </r>
  </si>
  <si>
    <t>Charges</t>
  </si>
  <si>
    <t>Volume (therms)</t>
  </si>
  <si>
    <t>Customer charge ($/month)</t>
  </si>
  <si>
    <t>Basic charge</t>
  </si>
  <si>
    <t>Volumetric charges ($/therm)</t>
  </si>
  <si>
    <t>Delivery charge (Schedule 23)</t>
  </si>
  <si>
    <t>Property tax charge (Schedule 140)</t>
  </si>
  <si>
    <t>Decoupling charge (Schedule 142)</t>
  </si>
  <si>
    <t>Low income charge (Schedule 129)</t>
  </si>
  <si>
    <t>CRM Charge (Schedule 149)</t>
  </si>
  <si>
    <t>Conservation charge (Schedule 120)</t>
  </si>
  <si>
    <t>Merger rate credit (Schedule 132)</t>
  </si>
  <si>
    <t>Cost of gas (Schedule 101)</t>
  </si>
  <si>
    <t>Deferral amortization (Schedule 106)</t>
  </si>
  <si>
    <t>Total volumetric charges</t>
  </si>
  <si>
    <t>Total monthly bill</t>
  </si>
  <si>
    <t>Change from bill under current rates</t>
  </si>
  <si>
    <t>Percent change from bill under current rates</t>
  </si>
  <si>
    <t>Total volumetric rates less gas costs</t>
  </si>
  <si>
    <t>Sch 142</t>
  </si>
  <si>
    <t xml:space="preserve">Proposed </t>
  </si>
  <si>
    <t>Decoupling</t>
  </si>
  <si>
    <t>23/53</t>
  </si>
  <si>
    <t>Commercial &amp; industrial</t>
  </si>
  <si>
    <t>Large volume</t>
  </si>
  <si>
    <t>Demand Charge</t>
  </si>
  <si>
    <t>Delivery Charge:</t>
  </si>
  <si>
    <t>901 to 5,000 therms</t>
  </si>
  <si>
    <t>Over 5,000 therms</t>
  </si>
  <si>
    <t>Large volume - Trans.</t>
  </si>
  <si>
    <t>Procurement Credit</t>
  </si>
  <si>
    <t>Large Volume Total</t>
  </si>
  <si>
    <t>41/41T</t>
  </si>
  <si>
    <t xml:space="preserve">Basic Service Charge </t>
  </si>
  <si>
    <t>Procurement Charge</t>
  </si>
  <si>
    <t>First 25,000 therms</t>
  </si>
  <si>
    <t>Next 25,000 therms</t>
  </si>
  <si>
    <t>Over 50,000 therms</t>
  </si>
  <si>
    <t>Interruptible - Trans.</t>
  </si>
  <si>
    <t>Interruptible Total</t>
  </si>
  <si>
    <t>85/85T</t>
  </si>
  <si>
    <t>First 1,000 therms</t>
  </si>
  <si>
    <t>Over 1,000 therms</t>
  </si>
  <si>
    <t>Limited Interruptible - Trans.</t>
  </si>
  <si>
    <t>Limited Interruptible Total</t>
  </si>
  <si>
    <t>86/86T</t>
  </si>
  <si>
    <t>Next 50,000 therms</t>
  </si>
  <si>
    <t>Next 100,000 therms</t>
  </si>
  <si>
    <t>Next 300,000 therms</t>
  </si>
  <si>
    <t>Over 500,000 therms</t>
  </si>
  <si>
    <t>Non-Exclusive Interruptible Total</t>
  </si>
  <si>
    <t>87/87T</t>
  </si>
  <si>
    <t>Firm Sales</t>
  </si>
  <si>
    <t>Interruptible Sales</t>
  </si>
  <si>
    <t>Total Sales</t>
  </si>
  <si>
    <t>Transport</t>
  </si>
  <si>
    <t>check</t>
  </si>
  <si>
    <t>Sched 149</t>
  </si>
  <si>
    <t>H</t>
  </si>
  <si>
    <t>L</t>
  </si>
  <si>
    <t>N</t>
  </si>
  <si>
    <t>Sched 132</t>
  </si>
  <si>
    <t>Sched 129</t>
  </si>
  <si>
    <t>Estimated</t>
  </si>
  <si>
    <t>Customer Class</t>
  </si>
  <si>
    <t>Transportation</t>
  </si>
  <si>
    <t>Gas Lighting</t>
  </si>
  <si>
    <t>Schedule 71 - Residential Water Heater Rental Service</t>
  </si>
  <si>
    <t xml:space="preserve">Standard Models </t>
  </si>
  <si>
    <t>71G-A</t>
  </si>
  <si>
    <t xml:space="preserve">Conservation Models </t>
  </si>
  <si>
    <t>71G-B</t>
  </si>
  <si>
    <t xml:space="preserve">Direct Vent Models </t>
  </si>
  <si>
    <t>71G-C</t>
  </si>
  <si>
    <t xml:space="preserve">High Recovery Models </t>
  </si>
  <si>
    <t>71G-D</t>
  </si>
  <si>
    <t xml:space="preserve">High Efficiency Standard (Energy Factor ≥.60)  </t>
  </si>
  <si>
    <t>71G-E</t>
  </si>
  <si>
    <t xml:space="preserve">High Efficiency Direct Vent (Energy Factor ≥.60) </t>
  </si>
  <si>
    <t>71G-F</t>
  </si>
  <si>
    <t xml:space="preserve">Total </t>
  </si>
  <si>
    <t>Schedule 72 - Large Volume Water Heater Rental Service</t>
  </si>
  <si>
    <t xml:space="preserve">25 - 40 gallon storage 30,000 to 50,000 </t>
  </si>
  <si>
    <t>72G-F</t>
  </si>
  <si>
    <t xml:space="preserve">45 - 55 gallon storage 70,000 to 79,000 </t>
  </si>
  <si>
    <t>72G-G</t>
  </si>
  <si>
    <t xml:space="preserve">45 - 55 gallon storage 51,000 to 75,000 </t>
  </si>
  <si>
    <t>72G-H</t>
  </si>
  <si>
    <t xml:space="preserve">50 - 65 gallon storage 60,000 to 69,000 </t>
  </si>
  <si>
    <t>72G-I</t>
  </si>
  <si>
    <t xml:space="preserve">60 - 84 gallon storage 70,000 to 129,000 </t>
  </si>
  <si>
    <t>72G-J</t>
  </si>
  <si>
    <t xml:space="preserve">75 - 90 gallon storage 130,000 to 169,000 </t>
  </si>
  <si>
    <t>72G-K</t>
  </si>
  <si>
    <t xml:space="preserve">75 - 100 gallon storage 170,000 to 200,000 </t>
  </si>
  <si>
    <t>72G-L</t>
  </si>
  <si>
    <t>Total Margin Revenue</t>
  </si>
  <si>
    <t>Schedule 74 - Gas Conversion Burner Rental Service</t>
  </si>
  <si>
    <t xml:space="preserve">45,000 to 400,000 Standard Models </t>
  </si>
  <si>
    <t>74G-A</t>
  </si>
  <si>
    <t xml:space="preserve">401,000 to 700,000 Standard Models </t>
  </si>
  <si>
    <t>74G-B</t>
  </si>
  <si>
    <t xml:space="preserve">701,000 to 1,300,000 Standard Models </t>
  </si>
  <si>
    <t>74G-C</t>
  </si>
  <si>
    <t xml:space="preserve">45,000 to 400,000 Conservation Models </t>
  </si>
  <si>
    <t>74G-D</t>
  </si>
  <si>
    <t>Total Rentals</t>
  </si>
  <si>
    <t>71/72/74</t>
  </si>
  <si>
    <t xml:space="preserve">Weather Normalized Bill Frequency </t>
  </si>
  <si>
    <t>Schedule Number</t>
  </si>
  <si>
    <t>41T-C</t>
  </si>
  <si>
    <t>First 900 therms</t>
  </si>
  <si>
    <t>Next 4,100 therms</t>
  </si>
  <si>
    <t>All over 5,000 therms</t>
  </si>
  <si>
    <t>41T-I</t>
  </si>
  <si>
    <t>85T-C</t>
  </si>
  <si>
    <t>All over 50,000 therms</t>
  </si>
  <si>
    <t>85T-I</t>
  </si>
  <si>
    <t>86TG-I</t>
  </si>
  <si>
    <t>All over 1,000 therms</t>
  </si>
  <si>
    <t>87T-C</t>
  </si>
  <si>
    <t>All over 500,000 therms</t>
  </si>
  <si>
    <t>87T-I</t>
  </si>
  <si>
    <t>41G-C2</t>
  </si>
  <si>
    <t xml:space="preserve">First 900 therms or less  </t>
  </si>
  <si>
    <t>41G-I2</t>
  </si>
  <si>
    <t>85G-C3</t>
  </si>
  <si>
    <t>85G-I3</t>
  </si>
  <si>
    <t>86G-C2</t>
  </si>
  <si>
    <t>86G-I2</t>
  </si>
  <si>
    <t>87G-C4</t>
  </si>
  <si>
    <t>87G-I4</t>
  </si>
  <si>
    <t xml:space="preserve">Weather Normalized Therms By Block </t>
  </si>
  <si>
    <t>41G</t>
  </si>
  <si>
    <t>85G</t>
  </si>
  <si>
    <t>86G</t>
  </si>
  <si>
    <t>87G</t>
  </si>
  <si>
    <t>12 MO Total</t>
  </si>
  <si>
    <t>Residential (16)</t>
  </si>
  <si>
    <t>Residential (23)</t>
  </si>
  <si>
    <t>Residential (53)</t>
  </si>
  <si>
    <t>Commercial &amp; industrial (31)</t>
  </si>
  <si>
    <t>Large volume (41)</t>
  </si>
  <si>
    <t>Transportation - large volume (41T)</t>
  </si>
  <si>
    <t>Transportation - general services (31T)</t>
  </si>
  <si>
    <t>Interruptible (85)</t>
  </si>
  <si>
    <t>Transportation - interruptible (85T)</t>
  </si>
  <si>
    <t>Limited interruptible (86)</t>
  </si>
  <si>
    <t>Transportation - limited interruptible (86T)</t>
  </si>
  <si>
    <t>Non exclusive interruptible (87)</t>
  </si>
  <si>
    <t>Transportation - non exclusive interrupt (87T)</t>
  </si>
  <si>
    <t>Demand</t>
  </si>
  <si>
    <t>Water Heater Counts</t>
  </si>
  <si>
    <t>12 MO total</t>
  </si>
  <si>
    <t>Basic Charge Counts</t>
  </si>
  <si>
    <t xml:space="preserve">Rate Plan </t>
  </si>
  <si>
    <t>at Existing Rates</t>
  </si>
  <si>
    <t>at Proposed Rates</t>
  </si>
  <si>
    <t>Existing</t>
  </si>
  <si>
    <t>Changes</t>
  </si>
  <si>
    <t>Commercial &amp; industrial - Trans.</t>
  </si>
  <si>
    <t>ERF</t>
  </si>
  <si>
    <t>Description</t>
  </si>
  <si>
    <t>Schedule 23 Residential</t>
  </si>
  <si>
    <t>Schedule 53 Residential Propane</t>
  </si>
  <si>
    <t>Schedule 16 Gas Lights</t>
  </si>
  <si>
    <t>Schedule 31 Commercial &amp; Industrial - Sales</t>
  </si>
  <si>
    <t>Schedule 31 Commercial &amp; Industrial - Transportation</t>
  </si>
  <si>
    <t>Schedule 61 Standby &amp; Auxiliary Heating</t>
  </si>
  <si>
    <t>Schedule 41 Large Volume High Load Factor - Sales</t>
  </si>
  <si>
    <t>Total Volume</t>
  </si>
  <si>
    <t>Schedule 41 Large Volume High Load Factor - Transportation</t>
  </si>
  <si>
    <t>Schedule 85 Interruptible - Sales</t>
  </si>
  <si>
    <t>First 25,000 Therms</t>
  </si>
  <si>
    <t>Next 25,000 Therms</t>
  </si>
  <si>
    <t>All over 50,000 Therms</t>
  </si>
  <si>
    <t>Schedule 85 Interruptible - Transportation</t>
  </si>
  <si>
    <t>Next 50,000 Therms</t>
  </si>
  <si>
    <t>Schedule 86 Limited Interruptible - Sales</t>
  </si>
  <si>
    <t>Schedule 86 Limited Interruptible - Transportation</t>
  </si>
  <si>
    <t>Schedule 87 Non-exclusive Interruptible - Sales</t>
  </si>
  <si>
    <t>Schedule 87 Non-exclusive Interruptible - Transportation</t>
  </si>
  <si>
    <t>Schedule 141</t>
  </si>
  <si>
    <t>Units</t>
  </si>
  <si>
    <t>Basic Charge</t>
  </si>
  <si>
    <t>Bills</t>
  </si>
  <si>
    <t>Delivery Charge</t>
  </si>
  <si>
    <t>Therms</t>
  </si>
  <si>
    <t>Mantles</t>
  </si>
  <si>
    <t>Minimum Bill</t>
  </si>
  <si>
    <t>Minimum Bills</t>
  </si>
  <si>
    <t xml:space="preserve">check </t>
  </si>
  <si>
    <t>therms</t>
  </si>
  <si>
    <t>Delivery</t>
  </si>
  <si>
    <t>Revenue Change</t>
  </si>
  <si>
    <t>Revenue Changes</t>
  </si>
  <si>
    <t xml:space="preserve">Rate </t>
  </si>
  <si>
    <t>Decoupling Revenue</t>
  </si>
  <si>
    <t>Rate Plan Revenue</t>
  </si>
  <si>
    <t>31, 31T</t>
  </si>
  <si>
    <t>41, 41T</t>
  </si>
  <si>
    <t>86, 86T</t>
  </si>
  <si>
    <t>87, 87T</t>
  </si>
  <si>
    <t>85, 85T</t>
  </si>
  <si>
    <t>23, 16,53</t>
  </si>
  <si>
    <t>I</t>
  </si>
  <si>
    <t>M</t>
  </si>
  <si>
    <t>O</t>
  </si>
  <si>
    <t>P</t>
  </si>
  <si>
    <t>SC</t>
  </si>
  <si>
    <t>Effective January 1, 2018</t>
  </si>
  <si>
    <t>Current and Proposed Rates by Rate Schedule</t>
  </si>
  <si>
    <t xml:space="preserve">Billing </t>
  </si>
  <si>
    <t xml:space="preserve">Difference </t>
  </si>
  <si>
    <t>Target</t>
  </si>
  <si>
    <t>Resulting</t>
  </si>
  <si>
    <t>Determinants</t>
  </si>
  <si>
    <t>Revenues</t>
  </si>
  <si>
    <t>$</t>
  </si>
  <si>
    <t>%</t>
  </si>
  <si>
    <t>Increase</t>
  </si>
  <si>
    <t>Schedule 23</t>
  </si>
  <si>
    <t>TARGET 23/53</t>
  </si>
  <si>
    <t>over (under)</t>
  </si>
  <si>
    <t>Gas Revenue (Schedule 101) (1)</t>
  </si>
  <si>
    <t>Total Revenues</t>
  </si>
  <si>
    <t>Schedule 53</t>
  </si>
  <si>
    <t>Total Delivery Charges</t>
  </si>
  <si>
    <t>Gas Revenue (Schedule 101)</t>
  </si>
  <si>
    <t>Schedule 16</t>
  </si>
  <si>
    <t>TARGET 16</t>
  </si>
  <si>
    <t>Total Delivery Charge</t>
  </si>
  <si>
    <t>Calculated Total Therms</t>
  </si>
  <si>
    <t>Residential Summary</t>
  </si>
  <si>
    <t>Total Residential Gas (Schedule 101) Revenues</t>
  </si>
  <si>
    <t>Total Residential Margin Revenues</t>
  </si>
  <si>
    <t>Total Residential Revenues</t>
  </si>
  <si>
    <t>(1) Schedule 101 rates at proposed revenue adjustment factor (RAF).</t>
  </si>
  <si>
    <t>Schedule 31 - Sales</t>
  </si>
  <si>
    <t>TARGET 31/31T</t>
  </si>
  <si>
    <t>Schedule 31 - Transportation</t>
  </si>
  <si>
    <t>Gas Balancing Service Charge</t>
  </si>
  <si>
    <t>Schedule 31 - Total</t>
  </si>
  <si>
    <t>Schedule 41 - Sales</t>
  </si>
  <si>
    <t>TARGET 41/41T</t>
  </si>
  <si>
    <t>in minimum bills</t>
  </si>
  <si>
    <t>Volumetric Charge</t>
  </si>
  <si>
    <t>Total Gas Revenue</t>
  </si>
  <si>
    <t>Schedule 41 - Transportation</t>
  </si>
  <si>
    <t>Schedule 41 - Total</t>
  </si>
  <si>
    <t>Commercial &amp; Industrial Summary</t>
  </si>
  <si>
    <t>Total Gas (Schedule 101) Revenues</t>
  </si>
  <si>
    <t>Schedules 31, 31T, 61</t>
  </si>
  <si>
    <t>Schedule 41, 41T</t>
  </si>
  <si>
    <t>Total Margin Revenues</t>
  </si>
  <si>
    <t>Schedules 31, 31T</t>
  </si>
  <si>
    <t>Total Revenue</t>
  </si>
  <si>
    <t>Schedule 85 - Sales</t>
  </si>
  <si>
    <t>TARGET 85/85T</t>
  </si>
  <si>
    <t>Schedule 85 - Transportation</t>
  </si>
  <si>
    <t>Schedule 85 - Total</t>
  </si>
  <si>
    <t>Schedule 86 - Sales</t>
  </si>
  <si>
    <t>TARGET 86/86T</t>
  </si>
  <si>
    <t>Schedule 86 - Transportation</t>
  </si>
  <si>
    <t>Schedule 86 - Total</t>
  </si>
  <si>
    <t>Schedule 87 - Sales</t>
  </si>
  <si>
    <t>TARGET 87/87T</t>
  </si>
  <si>
    <t xml:space="preserve"> </t>
  </si>
  <si>
    <t>Schedule 87 - Transportation</t>
  </si>
  <si>
    <t>Schedule 87 - Total</t>
  </si>
  <si>
    <t>Interruptible Summary</t>
  </si>
  <si>
    <t>Schedules 85, 85T</t>
  </si>
  <si>
    <t>Schedules 86, 86T</t>
  </si>
  <si>
    <t>Schedules 87, 87T</t>
  </si>
  <si>
    <t>Total Summary</t>
  </si>
  <si>
    <t>Plus Contracts</t>
  </si>
  <si>
    <t>Plus Rentals</t>
  </si>
  <si>
    <t>Grand Total</t>
  </si>
  <si>
    <t>Rental Schedules 71, 72 and 74</t>
  </si>
  <si>
    <t>Annual</t>
  </si>
  <si>
    <t xml:space="preserve">Under </t>
  </si>
  <si>
    <t>Line</t>
  </si>
  <si>
    <t>Existing Rates</t>
  </si>
  <si>
    <t>Proposed Rates</t>
  </si>
  <si>
    <t>E</t>
  </si>
  <si>
    <t>F</t>
  </si>
  <si>
    <t>G</t>
  </si>
  <si>
    <t>71</t>
  </si>
  <si>
    <t>72</t>
  </si>
  <si>
    <t>74</t>
  </si>
  <si>
    <t>TARGET</t>
  </si>
  <si>
    <t>Weather Normalization of Volume</t>
  </si>
  <si>
    <t>Rate Sch.</t>
  </si>
  <si>
    <t>Residential lamps</t>
  </si>
  <si>
    <t>Propane</t>
  </si>
  <si>
    <t>General service - commercial</t>
  </si>
  <si>
    <t>Large volume - commercial</t>
  </si>
  <si>
    <t>Interruptible with firm option - com</t>
  </si>
  <si>
    <t>Limited interrupt w/ firm option - com</t>
  </si>
  <si>
    <t>Non-exclus interrupt/firm option - com</t>
  </si>
  <si>
    <t>General service - industrial</t>
  </si>
  <si>
    <t>Large volume - industrial</t>
  </si>
  <si>
    <t>Interruptible with firm option - ind</t>
  </si>
  <si>
    <t>Limited interrupt w/ firm option - ind</t>
  </si>
  <si>
    <t>Non-excl interrupt w/ firm option - ind</t>
  </si>
  <si>
    <t>Trans.  - commercial</t>
  </si>
  <si>
    <t>Trans. large volume - commercial</t>
  </si>
  <si>
    <t>Trans. interrupt with firm option - com</t>
  </si>
  <si>
    <t>Trans. non-exclus inter w/ firm option - com</t>
  </si>
  <si>
    <t>Trans. large volume - industrial</t>
  </si>
  <si>
    <t>Trans. interrupt with firm option - ind</t>
  </si>
  <si>
    <t>Trans. limited interrupt w/ firm option - ind</t>
  </si>
  <si>
    <t>Trans. non-exclus inter w/ firm option - ind</t>
  </si>
  <si>
    <t>Special contracts - ind</t>
  </si>
  <si>
    <t>Total sales &amp; transportation volume</t>
  </si>
  <si>
    <t>Subtotal transportation</t>
  </si>
  <si>
    <t>Customer Counts</t>
  </si>
  <si>
    <t xml:space="preserve">General service - commercial </t>
  </si>
  <si>
    <t xml:space="preserve">Large volume - commercial </t>
  </si>
  <si>
    <t>Non-excl interrupt w/ firm option - com</t>
  </si>
  <si>
    <t>Usage Per Customer (Therms)</t>
  </si>
  <si>
    <t>Weather Data</t>
  </si>
  <si>
    <t>Actual heating degree days (HDD)</t>
  </si>
  <si>
    <t>Normal heating degree days (HDD)</t>
  </si>
  <si>
    <t>Difference (actual - normal HDD)</t>
  </si>
  <si>
    <t>Weather Normalization Coefficients</t>
  </si>
  <si>
    <t>Weather Normalized Usage per Customer (Therms)</t>
  </si>
  <si>
    <t>Weather Normalized Volume - Rate Class Analysis (Therms)</t>
  </si>
  <si>
    <t>Total weather normalized portion of volume</t>
  </si>
  <si>
    <t>Weather Adjustment to Volume - Rate Class Analysis (Therms)</t>
  </si>
  <si>
    <t>Total adjustment</t>
  </si>
  <si>
    <t>Percent change</t>
  </si>
  <si>
    <t>Weather Adjustment by Group - System Level Analysis (Therms)</t>
  </si>
  <si>
    <t>Firm</t>
  </si>
  <si>
    <t>Weather Adjustment to Volume - System Level Analysis Spread to Rate Classes (Therms)</t>
  </si>
  <si>
    <t>Weather Normalized Volume - System Level Analysis (Therms)</t>
  </si>
  <si>
    <t>Residential lights</t>
  </si>
  <si>
    <t>Trans. - commercial</t>
  </si>
  <si>
    <t>Total other volume</t>
  </si>
  <si>
    <t>Total weather normalized volume</t>
  </si>
  <si>
    <t>Weather Adjustment by Rate Class (Therms)</t>
  </si>
  <si>
    <t>Residential (23,53)</t>
  </si>
  <si>
    <t>Standby &amp; auxiliary heating (61)</t>
  </si>
  <si>
    <t>Trans. General services (31T)</t>
  </si>
  <si>
    <t>Trans. large volume (41T)</t>
  </si>
  <si>
    <t>Trans. interrupt with firm option (85T)</t>
  </si>
  <si>
    <t>Trans. limited interrupt w/ firm option - ind (86T)</t>
  </si>
  <si>
    <t>Trans. non-exclus inter w/firm option (87T)</t>
  </si>
  <si>
    <t>Summary of Weather Normalized Volume by Rate Class (Therms)</t>
  </si>
  <si>
    <t>Trans. limited interrupt w/ firm option (86T)</t>
  </si>
  <si>
    <t>Total sales and transport volume</t>
  </si>
  <si>
    <t>Summary of Customer Counts by Rate Groups</t>
  </si>
  <si>
    <t xml:space="preserve">Residential (16,23,53) </t>
  </si>
  <si>
    <t>Total customer counts</t>
  </si>
  <si>
    <t>Summary of Weather Normalized Volume by Rate Groups (Therms)</t>
  </si>
  <si>
    <t>Total sales volume</t>
  </si>
  <si>
    <t>Total transportation volume</t>
  </si>
  <si>
    <t>Weather Normalized Usage Per Customer (Therms)</t>
  </si>
  <si>
    <t>Residential &amp; residential propane</t>
  </si>
  <si>
    <t>General service - commercial &amp; industrial</t>
  </si>
  <si>
    <t xml:space="preserve">Large volume </t>
  </si>
  <si>
    <t xml:space="preserve">Interruptible with firm option </t>
  </si>
  <si>
    <t xml:space="preserve">Limited interrupt w/ firm option </t>
  </si>
  <si>
    <t xml:space="preserve">Non-exclus interrupt/firm option </t>
  </si>
  <si>
    <t>Test Year Ended September 2016</t>
  </si>
  <si>
    <t>Effective December 19, 2017</t>
  </si>
  <si>
    <t>Purchased Gas Adjustment - Deferred Account Adjustment (Schedule 106)</t>
  </si>
  <si>
    <t>Conservation Program Tracker (Schedule 120)</t>
  </si>
  <si>
    <t>Low Income Program (Schedule 129)</t>
  </si>
  <si>
    <t>Merger Rate Credit (Schedule 132)</t>
  </si>
  <si>
    <t>Rentals</t>
  </si>
  <si>
    <t>Property Tax Tracker Revenue (Schedule 140)</t>
  </si>
  <si>
    <t>Cost Recovery Mechanism (Schedule 149)</t>
  </si>
  <si>
    <t>Revenue Decoupling Adjustment Mechanism (Schedule 142) Rate Plan</t>
  </si>
  <si>
    <t>Revenue Decoupling Adjustment Mechanism (Schedule 142) Decoupling</t>
  </si>
  <si>
    <t>Demand Units</t>
  </si>
  <si>
    <t xml:space="preserve">Calendar Therms By Block </t>
  </si>
  <si>
    <t>Rate Plan</t>
  </si>
  <si>
    <t>Sched 142</t>
  </si>
  <si>
    <r>
      <t>ERF</t>
    </r>
    <r>
      <rPr>
        <sz val="11"/>
        <rFont val="Calibri"/>
        <family val="2"/>
        <scheme val="minor"/>
      </rPr>
      <t xml:space="preserve"> adjusting charge (Schedule 141)</t>
    </r>
  </si>
  <si>
    <t>Effective May 1, 2018</t>
  </si>
  <si>
    <t>Sched 141</t>
  </si>
  <si>
    <t>2018 Gas Expedited Rate Filing (ERF)</t>
  </si>
  <si>
    <t>Schedule 141 Rate Change</t>
  </si>
  <si>
    <t>Normalized</t>
  </si>
  <si>
    <t>Total Normalized</t>
  </si>
  <si>
    <t>Source: Normalized Therms</t>
  </si>
  <si>
    <t>Normalized Therms</t>
  </si>
  <si>
    <t>2017 Gas General Rate Case - Updated for Tax Reform</t>
  </si>
  <si>
    <t>2018 Expedited Rate Filing (Schedule 141)</t>
  </si>
  <si>
    <t>Calendarized Volume (Therms)</t>
  </si>
  <si>
    <t>Trans. General Service - Industrial</t>
  </si>
  <si>
    <t>Total sales &amp; transportation volume Schedules (85,87,85T &amp; 87T) &amp; Special Contracts</t>
  </si>
  <si>
    <t>Standby &amp; auxiliary heating - res</t>
  </si>
  <si>
    <t>Standby &amp; auxiliary heating - com</t>
  </si>
  <si>
    <t>Standby &amp; auxiliary heating - ind</t>
  </si>
  <si>
    <t>Standby service (61)</t>
  </si>
  <si>
    <t>Emergency Compressed Nature Gas Service</t>
  </si>
  <si>
    <t>In Minimum Bills</t>
  </si>
  <si>
    <t xml:space="preserve">I </t>
  </si>
  <si>
    <t>Margin Revenue (1)</t>
  </si>
  <si>
    <t>Rentals (2)</t>
  </si>
  <si>
    <t>Jul 17 - Jun 18</t>
  </si>
  <si>
    <t>12ME Jun 2018</t>
  </si>
  <si>
    <r>
      <rPr>
        <vertAlign val="superscript"/>
        <sz val="11"/>
        <color theme="1"/>
        <rFont val="Calibri"/>
        <family val="2"/>
      </rPr>
      <t xml:space="preserve">(2) </t>
    </r>
    <r>
      <rPr>
        <sz val="11"/>
        <color theme="1"/>
        <rFont val="Calibri"/>
        <family val="2"/>
        <scheme val="minor"/>
      </rPr>
      <t>Annual rental counts for the 12 months ending June 30, 2018.</t>
    </r>
  </si>
  <si>
    <t>Effective November 1, 2018</t>
  </si>
  <si>
    <t>July 2017 - June 2018</t>
  </si>
  <si>
    <t>Test Year Ended June 30, 2018</t>
  </si>
  <si>
    <t>12 ME Jun 2018</t>
  </si>
  <si>
    <t>12 ME June 2018</t>
  </si>
  <si>
    <t>Effective October 4, 2018</t>
  </si>
  <si>
    <r>
      <rPr>
        <vertAlign val="superscript"/>
        <sz val="11"/>
        <color theme="1"/>
        <rFont val="Calibri"/>
        <family val="2"/>
      </rPr>
      <t xml:space="preserve">(1) </t>
    </r>
    <r>
      <rPr>
        <sz val="11"/>
        <color theme="1"/>
        <rFont val="Calibri"/>
        <family val="2"/>
        <scheme val="minor"/>
      </rPr>
      <t>Proforma margin revenue for the 12 months ending June 30, 2018 from exhibit JAP-3</t>
    </r>
  </si>
  <si>
    <r>
      <rPr>
        <vertAlign val="superscript"/>
        <sz val="11"/>
        <rFont val="Calibri"/>
        <family val="2"/>
      </rPr>
      <t xml:space="preserve">(1) </t>
    </r>
    <r>
      <rPr>
        <sz val="11"/>
        <rFont val="Calibri"/>
        <family val="2"/>
        <scheme val="minor"/>
      </rPr>
      <t>Rates for Schedule 23 customers in effect Nov. 1, 2018</t>
    </r>
  </si>
  <si>
    <t>2018 Expedited Rate Filing (Schedule X)</t>
  </si>
  <si>
    <t>Schedule X</t>
  </si>
  <si>
    <t>ARAM</t>
  </si>
  <si>
    <t>Q</t>
  </si>
  <si>
    <t xml:space="preserve">R </t>
  </si>
  <si>
    <t>S= R/O</t>
  </si>
  <si>
    <t>Rate Change Impacts by Rate Schedule of Proposed Schedule 141 Rate Changes</t>
  </si>
  <si>
    <t>Q= P/O</t>
  </si>
  <si>
    <t>ARAM (Schedule X)</t>
  </si>
  <si>
    <t>Rate Change Impacts by Rate Schedule of Proposed Schedule 141 &amp; Schedule 141X Rate Changes</t>
  </si>
  <si>
    <t>Sched 141X</t>
  </si>
  <si>
    <t>Rate Change Impacts by Rate Schedule of Proposed Schedule 141X Rate Changes</t>
  </si>
  <si>
    <t>Typical Residential Bill Impacts of Proposed Schedule 141 &amp; Schedule 141X Rate Changes</t>
  </si>
  <si>
    <t>Schedule 141X Rate Change</t>
  </si>
  <si>
    <t>Schedule 141 &amp; 141X Rate Change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</si>
</sst>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2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&quot;$&quot;* #,##0.00000_);_(&quot;$&quot;* \(#,##0.00000\);_(&quot;$&quot;* &quot;-&quot;??_);_(@_)"/>
    <numFmt numFmtId="166" formatCode="_(&quot;$&quot;* #,##0.00000_);_(&quot;$&quot;* \(#,##0.00000\);_(&quot;$&quot;* &quot;-&quot;?????_);_(@_)"/>
    <numFmt numFmtId="167" formatCode="_(&quot;$&quot;* #,##0.00_);_(&quot;$&quot;* \(#,##0.00\);_(&quot;$&quot;* &quot;-&quot;?????_);_(@_)"/>
    <numFmt numFmtId="168" formatCode="_(* #,##0_);_(* \(#,##0\);_(* &quot;-&quot;??_);_(@_)"/>
    <numFmt numFmtId="169" formatCode="_(&quot;$&quot;* #,##0_);_(&quot;$&quot;* \(#,##0\);_(&quot;$&quot;* &quot;-&quot;??_);_(@_)"/>
    <numFmt numFmtId="170" formatCode="0.000000"/>
    <numFmt numFmtId="171" formatCode="[$-409]mmm\-yy;@"/>
    <numFmt numFmtId="172" formatCode="&quot;$&quot;#,##0\ ;\(&quot;$&quot;#,##0\)"/>
    <numFmt numFmtId="173" formatCode="0.0000%"/>
    <numFmt numFmtId="174" formatCode="0.000%"/>
    <numFmt numFmtId="175" formatCode="_(&quot;$&quot;* #,##0.00_);_(&quot;$&quot;* \(#,##0.00\);_(&quot;$&quot;* &quot;-&quot;_);_(@_)"/>
    <numFmt numFmtId="176" formatCode="_(&quot;$&quot;* #,##0.000_);_(&quot;$&quot;* \(#,##0.000\);_(&quot;$&quot;* &quot;-&quot;_);_(@_)"/>
    <numFmt numFmtId="177" formatCode="&quot;$&quot;#,##0.00000_);[Red]\(&quot;$&quot;#,##0.00000\)"/>
    <numFmt numFmtId="178" formatCode="#,##0.0"/>
    <numFmt numFmtId="179" formatCode="0.0000"/>
    <numFmt numFmtId="180" formatCode="&quot;$&quot;#,##0.00\ ;\(&quot;$&quot;#,##0.00\)"/>
    <numFmt numFmtId="181" formatCode="&quot;$&quot;#,##0.00000"/>
    <numFmt numFmtId="182" formatCode="&quot;$&quot;#,##0.00000\ ;\(&quot;$&quot;#,##0.00000\)"/>
    <numFmt numFmtId="183" formatCode="#,##0.00000"/>
    <numFmt numFmtId="184" formatCode="&quot;$&quot;#,##0.0000\ ;\(&quot;$&quot;#,##0.0000\)"/>
    <numFmt numFmtId="185" formatCode="&quot;$&quot;#,##0"/>
    <numFmt numFmtId="186" formatCode="&quot;$&quot;#,##0.000\ ;\(&quot;$&quot;#,##0.000\)"/>
    <numFmt numFmtId="187" formatCode="0.00000"/>
    <numFmt numFmtId="188" formatCode="_(&quot;$&quot;* #,##0_);_(&quot;$&quot;* \(#,##0\);_(&quot;$&quot;* &quot;-&quot;?????_);_(@_)"/>
    <numFmt numFmtId="189" formatCode="_(* #,##0.000000_);_(* \(#,##0.000000\);_(* &quot;-&quot;??_);_(@_)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008080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color theme="1"/>
      <name val="Calibri"/>
      <family val="2"/>
    </font>
    <font>
      <sz val="10"/>
      <name val="Arial"/>
      <family val="2"/>
    </font>
    <font>
      <sz val="11"/>
      <name val="Calibri"/>
      <family val="2"/>
    </font>
    <font>
      <sz val="11"/>
      <color indexed="21"/>
      <name val="Calibri"/>
      <family val="2"/>
    </font>
    <font>
      <sz val="11"/>
      <color rgb="FF0000FF"/>
      <name val="Calibri"/>
      <family val="2"/>
    </font>
    <font>
      <b/>
      <sz val="11"/>
      <name val="Calibri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1"/>
      <color theme="1"/>
      <name val="Calibri"/>
      <family val="2"/>
    </font>
    <font>
      <sz val="10"/>
      <color indexed="10"/>
      <name val="Arial"/>
      <family val="2"/>
    </font>
    <font>
      <vertAlign val="superscript"/>
      <sz val="11"/>
      <name val="Calibri"/>
      <family val="2"/>
    </font>
    <font>
      <sz val="11"/>
      <color indexed="12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sz val="10"/>
      <color rgb="FF008080"/>
      <name val="Arial"/>
      <family val="2"/>
    </font>
    <font>
      <sz val="11"/>
      <color rgb="FFFF0000"/>
      <name val="Calibri"/>
      <family val="2"/>
    </font>
    <font>
      <sz val="11"/>
      <color indexed="12"/>
      <name val="Calibri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10"/>
      <color indexed="21"/>
      <name val="Arial"/>
      <family val="2"/>
    </font>
    <font>
      <b/>
      <sz val="11"/>
      <name val="Calibri"/>
      <family val="2"/>
      <scheme val="minor"/>
    </font>
    <font>
      <sz val="11"/>
      <color rgb="FF008080"/>
      <name val="Calibri"/>
      <family val="2"/>
    </font>
    <font>
      <sz val="9"/>
      <color theme="1"/>
      <name val="Arial"/>
      <family val="2"/>
    </font>
    <font>
      <sz val="10"/>
      <color indexed="9"/>
      <name val="Arial"/>
      <family val="2"/>
    </font>
    <font>
      <sz val="10"/>
      <color rgb="FFFF0000"/>
      <name val="Arial"/>
      <family val="2"/>
    </font>
    <font>
      <sz val="10"/>
      <color theme="8" tint="-0.249977111117893"/>
      <name val="Arial"/>
      <family val="2"/>
    </font>
    <font>
      <u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ECECEC"/>
      </left>
      <right/>
      <top/>
      <bottom style="thin">
        <color indexed="64"/>
      </bottom>
      <diagonal/>
    </border>
    <border>
      <left style="medium">
        <color rgb="FFECECEC"/>
      </left>
      <right style="medium">
        <color rgb="FFECECEC"/>
      </right>
      <top/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0" fontId="6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93">
    <xf numFmtId="0" fontId="0" fillId="0" borderId="0" xfId="0"/>
    <xf numFmtId="0" fontId="0" fillId="0" borderId="0" xfId="0" applyFont="1"/>
    <xf numFmtId="164" fontId="0" fillId="0" borderId="0" xfId="0" applyNumberFormat="1" applyFont="1"/>
    <xf numFmtId="164" fontId="0" fillId="0" borderId="2" xfId="0" applyNumberFormat="1" applyFont="1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42" fontId="0" fillId="0" borderId="0" xfId="0" applyNumberFormat="1" applyBorder="1" applyAlignment="1">
      <alignment horizontal="center"/>
    </xf>
    <xf numFmtId="0" fontId="0" fillId="0" borderId="0" xfId="0" applyAlignment="1">
      <alignment horizontal="left"/>
    </xf>
    <xf numFmtId="165" fontId="0" fillId="0" borderId="0" xfId="0" applyNumberFormat="1"/>
    <xf numFmtId="165" fontId="2" fillId="0" borderId="0" xfId="0" applyNumberFormat="1" applyFont="1"/>
    <xf numFmtId="165" fontId="2" fillId="0" borderId="0" xfId="0" applyNumberFormat="1" applyFont="1" applyFill="1"/>
    <xf numFmtId="42" fontId="0" fillId="0" borderId="0" xfId="0" applyNumberFormat="1"/>
    <xf numFmtId="165" fontId="4" fillId="0" borderId="0" xfId="0" applyNumberFormat="1" applyFont="1"/>
    <xf numFmtId="165" fontId="2" fillId="0" borderId="1" xfId="0" applyNumberFormat="1" applyFont="1" applyBorder="1"/>
    <xf numFmtId="3" fontId="0" fillId="0" borderId="2" xfId="0" applyNumberFormat="1" applyBorder="1"/>
    <xf numFmtId="42" fontId="0" fillId="0" borderId="2" xfId="0" applyNumberFormat="1" applyBorder="1"/>
    <xf numFmtId="0" fontId="7" fillId="0" borderId="0" xfId="0" applyFont="1" applyBorder="1" applyAlignment="1">
      <alignment horizontal="left"/>
    </xf>
    <xf numFmtId="3" fontId="7" fillId="0" borderId="0" xfId="0" applyNumberFormat="1" applyFont="1" applyFill="1" applyBorder="1"/>
    <xf numFmtId="42" fontId="7" fillId="0" borderId="0" xfId="0" applyNumberFormat="1" applyFont="1" applyFill="1" applyBorder="1"/>
    <xf numFmtId="166" fontId="7" fillId="0" borderId="0" xfId="0" applyNumberFormat="1" applyFont="1" applyFill="1" applyBorder="1"/>
    <xf numFmtId="166" fontId="7" fillId="0" borderId="0" xfId="0" applyNumberFormat="1" applyFont="1" applyFill="1"/>
    <xf numFmtId="166" fontId="8" fillId="0" borderId="0" xfId="0" applyNumberFormat="1" applyFont="1"/>
    <xf numFmtId="164" fontId="7" fillId="0" borderId="0" xfId="0" applyNumberFormat="1" applyFont="1"/>
    <xf numFmtId="0" fontId="7" fillId="0" borderId="0" xfId="0" applyFont="1"/>
    <xf numFmtId="37" fontId="7" fillId="0" borderId="0" xfId="0" applyNumberFormat="1" applyFont="1"/>
    <xf numFmtId="167" fontId="9" fillId="0" borderId="0" xfId="0" applyNumberFormat="1" applyFont="1" applyFill="1" applyBorder="1"/>
    <xf numFmtId="10" fontId="7" fillId="0" borderId="0" xfId="0" applyNumberFormat="1" applyFont="1"/>
    <xf numFmtId="37" fontId="7" fillId="0" borderId="0" xfId="0" applyNumberFormat="1" applyFont="1" applyFill="1"/>
    <xf numFmtId="0" fontId="7" fillId="0" borderId="0" xfId="0" applyFont="1" applyAlignment="1">
      <alignment horizontal="left"/>
    </xf>
    <xf numFmtId="42" fontId="7" fillId="0" borderId="2" xfId="0" applyNumberFormat="1" applyFont="1" applyFill="1" applyBorder="1"/>
    <xf numFmtId="0" fontId="7" fillId="0" borderId="0" xfId="0" applyFont="1" applyFill="1"/>
    <xf numFmtId="3" fontId="0" fillId="0" borderId="0" xfId="0" applyNumberFormat="1"/>
    <xf numFmtId="0" fontId="10" fillId="0" borderId="0" xfId="0" applyFont="1" applyAlignment="1">
      <alignment horizontal="left"/>
    </xf>
    <xf numFmtId="42" fontId="7" fillId="0" borderId="0" xfId="0" applyNumberFormat="1" applyFont="1"/>
    <xf numFmtId="169" fontId="7" fillId="0" borderId="0" xfId="0" applyNumberFormat="1" applyFont="1" applyFill="1"/>
    <xf numFmtId="0" fontId="7" fillId="0" borderId="0" xfId="0" applyFont="1" applyFill="1" applyBorder="1" applyAlignment="1">
      <alignment horizontal="left" vertical="center" textRotation="180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7" fillId="0" borderId="0" xfId="0" applyFont="1" applyBorder="1"/>
    <xf numFmtId="0" fontId="7" fillId="0" borderId="1" xfId="0" applyFont="1" applyBorder="1" applyAlignment="1">
      <alignment horizontal="left"/>
    </xf>
    <xf numFmtId="0" fontId="7" fillId="0" borderId="2" xfId="0" applyFont="1" applyBorder="1" applyAlignment="1">
      <alignment horizontal="left"/>
    </xf>
    <xf numFmtId="169" fontId="7" fillId="0" borderId="2" xfId="0" applyNumberFormat="1" applyFont="1" applyFill="1" applyBorder="1"/>
    <xf numFmtId="44" fontId="7" fillId="0" borderId="0" xfId="0" applyNumberFormat="1" applyFont="1"/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Border="1"/>
    <xf numFmtId="0" fontId="4" fillId="0" borderId="1" xfId="0" applyFont="1" applyBorder="1" applyAlignment="1">
      <alignment horizontal="centerContinuous"/>
    </xf>
    <xf numFmtId="0" fontId="4" fillId="0" borderId="0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7" fillId="0" borderId="0" xfId="0" applyFont="1"/>
    <xf numFmtId="175" fontId="4" fillId="0" borderId="0" xfId="0" applyNumberFormat="1" applyFont="1"/>
    <xf numFmtId="0" fontId="17" fillId="0" borderId="0" xfId="0" applyFont="1" applyBorder="1"/>
    <xf numFmtId="44" fontId="17" fillId="0" borderId="0" xfId="0" applyNumberFormat="1" applyFont="1"/>
    <xf numFmtId="44" fontId="17" fillId="0" borderId="0" xfId="0" applyNumberFormat="1" applyFont="1" applyBorder="1"/>
    <xf numFmtId="44" fontId="4" fillId="0" borderId="0" xfId="0" applyNumberFormat="1" applyFont="1"/>
    <xf numFmtId="166" fontId="17" fillId="0" borderId="0" xfId="0" applyNumberFormat="1" applyFont="1" applyBorder="1"/>
    <xf numFmtId="166" fontId="4" fillId="0" borderId="0" xfId="0" applyNumberFormat="1" applyFont="1"/>
    <xf numFmtId="166" fontId="4" fillId="0" borderId="2" xfId="0" applyNumberFormat="1" applyFont="1" applyBorder="1"/>
    <xf numFmtId="175" fontId="4" fillId="0" borderId="2" xfId="0" applyNumberFormat="1" applyFont="1" applyBorder="1"/>
    <xf numFmtId="166" fontId="4" fillId="0" borderId="0" xfId="0" applyNumberFormat="1" applyFont="1" applyBorder="1"/>
    <xf numFmtId="44" fontId="4" fillId="0" borderId="0" xfId="0" applyNumberFormat="1" applyFont="1" applyBorder="1"/>
    <xf numFmtId="164" fontId="4" fillId="0" borderId="0" xfId="0" applyNumberFormat="1" applyFont="1"/>
    <xf numFmtId="164" fontId="4" fillId="0" borderId="0" xfId="0" applyNumberFormat="1" applyFont="1" applyBorder="1"/>
    <xf numFmtId="0" fontId="4" fillId="0" borderId="0" xfId="0" applyFont="1" applyFill="1" applyAlignment="1"/>
    <xf numFmtId="0" fontId="4" fillId="0" borderId="0" xfId="0" applyFont="1" applyAlignment="1"/>
    <xf numFmtId="0" fontId="14" fillId="0" borderId="0" xfId="0" applyFont="1" applyAlignment="1">
      <alignment horizontal="centerContinuous"/>
    </xf>
    <xf numFmtId="0" fontId="14" fillId="0" borderId="0" xfId="0" applyFont="1"/>
    <xf numFmtId="168" fontId="14" fillId="0" borderId="0" xfId="0" applyNumberFormat="1" applyFont="1"/>
    <xf numFmtId="3" fontId="14" fillId="0" borderId="0" xfId="0" applyNumberFormat="1" applyFont="1"/>
    <xf numFmtId="0" fontId="14" fillId="0" borderId="1" xfId="0" applyFont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14" fillId="0" borderId="0" xfId="0" applyFont="1" applyAlignment="1">
      <alignment horizontal="left"/>
    </xf>
    <xf numFmtId="3" fontId="14" fillId="0" borderId="2" xfId="0" applyNumberFormat="1" applyFont="1" applyBorder="1"/>
    <xf numFmtId="0" fontId="22" fillId="0" borderId="0" xfId="0" applyFont="1" applyAlignment="1">
      <alignment horizontal="left"/>
    </xf>
    <xf numFmtId="168" fontId="22" fillId="0" borderId="0" xfId="0" applyNumberFormat="1" applyFont="1"/>
    <xf numFmtId="171" fontId="0" fillId="0" borderId="1" xfId="0" applyNumberFormat="1" applyBorder="1"/>
    <xf numFmtId="166" fontId="23" fillId="0" borderId="0" xfId="0" applyNumberFormat="1" applyFont="1"/>
    <xf numFmtId="166" fontId="23" fillId="0" borderId="0" xfId="0" applyNumberFormat="1" applyFont="1" applyFill="1"/>
    <xf numFmtId="166" fontId="17" fillId="0" borderId="0" xfId="0" applyNumberFormat="1" applyFont="1" applyFill="1"/>
    <xf numFmtId="0" fontId="25" fillId="0" borderId="0" xfId="0" applyFont="1" applyAlignment="1">
      <alignment horizontal="centerContinuous"/>
    </xf>
    <xf numFmtId="0" fontId="25" fillId="0" borderId="0" xfId="0" applyFont="1"/>
    <xf numFmtId="0" fontId="2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5" fillId="0" borderId="1" xfId="0" applyFont="1" applyBorder="1" applyAlignment="1">
      <alignment horizontal="center"/>
    </xf>
    <xf numFmtId="169" fontId="0" fillId="0" borderId="0" xfId="0" applyNumberFormat="1" applyFont="1"/>
    <xf numFmtId="3" fontId="25" fillId="0" borderId="0" xfId="0" applyNumberFormat="1" applyFont="1"/>
    <xf numFmtId="3" fontId="26" fillId="0" borderId="0" xfId="0" applyNumberFormat="1" applyFont="1"/>
    <xf numFmtId="3" fontId="25" fillId="0" borderId="0" xfId="0" applyNumberFormat="1" applyFont="1" applyFill="1"/>
    <xf numFmtId="169" fontId="26" fillId="0" borderId="0" xfId="0" applyNumberFormat="1" applyFont="1"/>
    <xf numFmtId="176" fontId="25" fillId="0" borderId="0" xfId="0" applyNumberFormat="1" applyFont="1"/>
    <xf numFmtId="43" fontId="25" fillId="0" borderId="0" xfId="0" applyNumberFormat="1" applyFont="1"/>
    <xf numFmtId="8" fontId="25" fillId="0" borderId="0" xfId="0" applyNumberFormat="1" applyFont="1"/>
    <xf numFmtId="3" fontId="26" fillId="0" borderId="0" xfId="0" applyNumberFormat="1" applyFont="1" applyFill="1"/>
    <xf numFmtId="177" fontId="25" fillId="0" borderId="0" xfId="0" applyNumberFormat="1" applyFont="1"/>
    <xf numFmtId="3" fontId="25" fillId="0" borderId="1" xfId="0" applyNumberFormat="1" applyFont="1" applyBorder="1"/>
    <xf numFmtId="169" fontId="0" fillId="0" borderId="1" xfId="0" applyNumberFormat="1" applyFont="1" applyBorder="1"/>
    <xf numFmtId="0" fontId="25" fillId="0" borderId="0" xfId="0" applyFont="1" applyBorder="1"/>
    <xf numFmtId="3" fontId="25" fillId="0" borderId="2" xfId="0" applyNumberFormat="1" applyFont="1" applyBorder="1"/>
    <xf numFmtId="42" fontId="25" fillId="0" borderId="2" xfId="0" applyNumberFormat="1" applyFont="1" applyBorder="1"/>
    <xf numFmtId="0" fontId="25" fillId="0" borderId="0" xfId="0" applyFont="1" applyFill="1" applyBorder="1"/>
    <xf numFmtId="169" fontId="25" fillId="0" borderId="0" xfId="0" applyNumberFormat="1" applyFont="1" applyBorder="1"/>
    <xf numFmtId="0" fontId="25" fillId="0" borderId="0" xfId="0" quotePrefix="1" applyFont="1" applyAlignment="1">
      <alignment vertical="top"/>
    </xf>
    <xf numFmtId="0" fontId="15" fillId="0" borderId="0" xfId="0" applyFont="1"/>
    <xf numFmtId="0" fontId="25" fillId="0" borderId="0" xfId="0" applyFont="1" applyFill="1" applyBorder="1"/>
    <xf numFmtId="41" fontId="25" fillId="0" borderId="0" xfId="0" quotePrefix="1" applyNumberFormat="1" applyFont="1" applyAlignment="1">
      <alignment horizontal="right"/>
    </xf>
    <xf numFmtId="0" fontId="25" fillId="0" borderId="0" xfId="0" applyFont="1" applyFill="1" applyBorder="1" applyAlignment="1">
      <alignment horizontal="left"/>
    </xf>
    <xf numFmtId="3" fontId="25" fillId="0" borderId="0" xfId="0" applyNumberFormat="1" applyFont="1" applyFill="1" applyBorder="1"/>
    <xf numFmtId="0" fontId="4" fillId="0" borderId="0" xfId="0" applyFont="1" applyAlignment="1">
      <alignment horizontal="center"/>
    </xf>
    <xf numFmtId="167" fontId="9" fillId="0" borderId="0" xfId="0" applyNumberFormat="1" applyFont="1" applyFill="1"/>
    <xf numFmtId="0" fontId="19" fillId="0" borderId="0" xfId="0" applyFont="1" applyAlignment="1"/>
    <xf numFmtId="0" fontId="19" fillId="0" borderId="0" xfId="0" applyFont="1"/>
    <xf numFmtId="0" fontId="19" fillId="0" borderId="0" xfId="0" applyFont="1" applyAlignment="1">
      <alignment horizontal="center"/>
    </xf>
    <xf numFmtId="0" fontId="19" fillId="0" borderId="0" xfId="0" applyFont="1" applyFill="1" applyAlignment="1">
      <alignment horizontal="center"/>
    </xf>
    <xf numFmtId="0" fontId="19" fillId="0" borderId="1" xfId="0" applyFont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0" fontId="19" fillId="0" borderId="0" xfId="0" applyFont="1" applyBorder="1"/>
    <xf numFmtId="0" fontId="19" fillId="0" borderId="0" xfId="0" applyFont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44" fontId="20" fillId="0" borderId="0" xfId="0" applyNumberFormat="1" applyFont="1" applyFill="1" applyBorder="1" applyAlignment="1">
      <alignment horizontal="center"/>
    </xf>
    <xf numFmtId="169" fontId="19" fillId="0" borderId="0" xfId="0" applyNumberFormat="1" applyFont="1"/>
    <xf numFmtId="0" fontId="20" fillId="0" borderId="0" xfId="0" applyFont="1" applyFill="1" applyBorder="1" applyAlignment="1">
      <alignment horizontal="center"/>
    </xf>
    <xf numFmtId="166" fontId="20" fillId="0" borderId="0" xfId="0" applyNumberFormat="1" applyFont="1"/>
    <xf numFmtId="167" fontId="20" fillId="0" borderId="0" xfId="0" applyNumberFormat="1" applyFont="1"/>
    <xf numFmtId="169" fontId="19" fillId="0" borderId="1" xfId="0" applyNumberFormat="1" applyFont="1" applyBorder="1"/>
    <xf numFmtId="169" fontId="1" fillId="0" borderId="0" xfId="0" applyNumberFormat="1" applyFont="1"/>
    <xf numFmtId="167" fontId="20" fillId="0" borderId="0" xfId="0" applyNumberFormat="1" applyFont="1" applyFill="1"/>
    <xf numFmtId="166" fontId="20" fillId="0" borderId="0" xfId="0" applyNumberFormat="1" applyFont="1" applyFill="1"/>
    <xf numFmtId="0" fontId="19" fillId="0" borderId="0" xfId="0" applyFont="1" applyAlignment="1">
      <alignment wrapText="1"/>
    </xf>
    <xf numFmtId="166" fontId="19" fillId="0" borderId="0" xfId="0" applyNumberFormat="1" applyFont="1"/>
    <xf numFmtId="0" fontId="19" fillId="0" borderId="0" xfId="0" quotePrefix="1" applyFont="1" applyFill="1" applyAlignment="1">
      <alignment vertical="top"/>
    </xf>
    <xf numFmtId="0" fontId="19" fillId="0" borderId="0" xfId="0" applyFont="1" applyFill="1"/>
    <xf numFmtId="0" fontId="19" fillId="0" borderId="0" xfId="0" applyFont="1" applyFill="1" applyAlignment="1">
      <alignment wrapText="1"/>
    </xf>
    <xf numFmtId="0" fontId="19" fillId="0" borderId="1" xfId="0" applyFont="1" applyBorder="1" applyAlignment="1"/>
    <xf numFmtId="0" fontId="6" fillId="0" borderId="0" xfId="0" applyFont="1"/>
    <xf numFmtId="168" fontId="6" fillId="0" borderId="0" xfId="0" applyNumberFormat="1" applyFont="1"/>
    <xf numFmtId="168" fontId="6" fillId="0" borderId="0" xfId="0" applyNumberFormat="1" applyFont="1" applyAlignment="1">
      <alignment horizontal="left"/>
    </xf>
    <xf numFmtId="43" fontId="0" fillId="0" borderId="0" xfId="0" applyNumberFormat="1" applyFont="1"/>
    <xf numFmtId="168" fontId="6" fillId="0" borderId="0" xfId="0" applyNumberFormat="1" applyFont="1"/>
    <xf numFmtId="43" fontId="6" fillId="0" borderId="0" xfId="0" applyNumberFormat="1" applyFont="1"/>
    <xf numFmtId="168" fontId="0" fillId="0" borderId="0" xfId="0" applyNumberFormat="1" applyFont="1"/>
    <xf numFmtId="17" fontId="6" fillId="0" borderId="0" xfId="0" applyNumberFormat="1" applyFont="1"/>
    <xf numFmtId="43" fontId="20" fillId="0" borderId="0" xfId="0" applyNumberFormat="1" applyFont="1"/>
    <xf numFmtId="165" fontId="2" fillId="0" borderId="0" xfId="0" applyNumberFormat="1" applyFont="1"/>
    <xf numFmtId="165" fontId="20" fillId="0" borderId="0" xfId="0" applyNumberFormat="1" applyFont="1" applyBorder="1"/>
    <xf numFmtId="165" fontId="2" fillId="0" borderId="1" xfId="0" applyNumberFormat="1" applyFont="1" applyFill="1" applyBorder="1"/>
    <xf numFmtId="3" fontId="21" fillId="0" borderId="0" xfId="0" applyNumberFormat="1" applyFont="1"/>
    <xf numFmtId="3" fontId="21" fillId="0" borderId="0" xfId="0" applyNumberFormat="1" applyFont="1"/>
    <xf numFmtId="3" fontId="21" fillId="0" borderId="0" xfId="0" applyNumberFormat="1" applyFont="1" applyFill="1"/>
    <xf numFmtId="43" fontId="6" fillId="0" borderId="0" xfId="0" applyNumberFormat="1" applyFont="1"/>
    <xf numFmtId="43" fontId="0" fillId="0" borderId="0" xfId="0" applyNumberFormat="1" applyFont="1"/>
    <xf numFmtId="44" fontId="25" fillId="0" borderId="0" xfId="0" applyNumberFormat="1" applyFont="1"/>
    <xf numFmtId="3" fontId="21" fillId="0" borderId="0" xfId="0" applyNumberFormat="1" applyFont="1"/>
    <xf numFmtId="0" fontId="21" fillId="0" borderId="0" xfId="0" applyFont="1" applyBorder="1" applyAlignment="1">
      <alignment horizontal="center"/>
    </xf>
    <xf numFmtId="0" fontId="21" fillId="0" borderId="0" xfId="0" applyFont="1"/>
    <xf numFmtId="0" fontId="0" fillId="0" borderId="0" xfId="0" applyFill="1" applyBorder="1" applyAlignment="1">
      <alignment horizontal="left"/>
    </xf>
    <xf numFmtId="0" fontId="27" fillId="0" borderId="0" xfId="0" applyFont="1" applyBorder="1" applyProtection="1">
      <protection locked="0"/>
    </xf>
    <xf numFmtId="0" fontId="0" fillId="0" borderId="0" xfId="0" applyFont="1" applyBorder="1"/>
    <xf numFmtId="0" fontId="4" fillId="0" borderId="0" xfId="0" applyFont="1" applyFill="1"/>
    <xf numFmtId="0" fontId="4" fillId="0" borderId="0" xfId="0" applyFont="1" applyBorder="1" applyProtection="1">
      <protection locked="0"/>
    </xf>
    <xf numFmtId="168" fontId="0" fillId="0" borderId="0" xfId="0" applyNumberFormat="1"/>
    <xf numFmtId="0" fontId="27" fillId="0" borderId="0" xfId="0" applyFont="1" applyFill="1"/>
    <xf numFmtId="168" fontId="0" fillId="0" borderId="0" xfId="0" applyNumberFormat="1" applyFont="1"/>
    <xf numFmtId="0" fontId="25" fillId="0" borderId="1" xfId="0" applyFont="1" applyBorder="1" applyAlignment="1">
      <alignment horizontal="center"/>
    </xf>
    <xf numFmtId="42" fontId="3" fillId="0" borderId="0" xfId="0" applyNumberFormat="1" applyFont="1"/>
    <xf numFmtId="3" fontId="21" fillId="0" borderId="0" xfId="0" quotePrefix="1" applyNumberFormat="1" applyFont="1" applyFill="1"/>
    <xf numFmtId="169" fontId="25" fillId="0" borderId="0" xfId="0" applyNumberFormat="1" applyFont="1"/>
    <xf numFmtId="0" fontId="19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169" fontId="19" fillId="0" borderId="2" xfId="0" applyNumberFormat="1" applyFont="1" applyBorder="1"/>
    <xf numFmtId="42" fontId="4" fillId="0" borderId="0" xfId="0" applyNumberFormat="1" applyFont="1"/>
    <xf numFmtId="42" fontId="4" fillId="0" borderId="2" xfId="0" applyNumberFormat="1" applyFont="1" applyBorder="1"/>
    <xf numFmtId="169" fontId="0" fillId="0" borderId="0" xfId="0" applyNumberFormat="1" applyFont="1" applyBorder="1"/>
    <xf numFmtId="169" fontId="6" fillId="0" borderId="0" xfId="0" applyNumberFormat="1" applyFont="1"/>
    <xf numFmtId="169" fontId="0" fillId="0" borderId="0" xfId="0" applyNumberFormat="1"/>
    <xf numFmtId="0" fontId="0" fillId="0" borderId="0" xfId="0" quotePrefix="1"/>
    <xf numFmtId="3" fontId="28" fillId="0" borderId="0" xfId="0" applyNumberFormat="1" applyFont="1" applyFill="1"/>
    <xf numFmtId="0" fontId="4" fillId="0" borderId="0" xfId="0" applyFont="1" applyAlignment="1">
      <alignment horizontal="centerContinuous"/>
    </xf>
    <xf numFmtId="0" fontId="4" fillId="0" borderId="0" xfId="0" applyFont="1"/>
    <xf numFmtId="0" fontId="4" fillId="0" borderId="0" xfId="0" applyFont="1" applyFill="1"/>
    <xf numFmtId="0" fontId="4" fillId="0" borderId="0" xfId="0" applyFont="1" applyFill="1" applyBorder="1"/>
    <xf numFmtId="0" fontId="4" fillId="0" borderId="1" xfId="0" applyFont="1" applyFill="1" applyBorder="1" applyAlignment="1">
      <alignment horizontal="center"/>
    </xf>
    <xf numFmtId="0" fontId="27" fillId="0" borderId="0" xfId="0" applyFont="1" applyBorder="1" applyProtection="1">
      <protection locked="0"/>
    </xf>
    <xf numFmtId="0" fontId="4" fillId="0" borderId="0" xfId="0" applyFont="1" applyBorder="1"/>
    <xf numFmtId="3" fontId="4" fillId="0" borderId="0" xfId="0" applyNumberFormat="1" applyFont="1" applyBorder="1"/>
    <xf numFmtId="0" fontId="27" fillId="0" borderId="0" xfId="0" applyFont="1" applyFill="1" applyBorder="1" applyProtection="1">
      <protection locked="0"/>
    </xf>
    <xf numFmtId="0" fontId="27" fillId="0" borderId="0" xfId="0" applyFont="1" applyFill="1" applyBorder="1"/>
    <xf numFmtId="0" fontId="4" fillId="0" borderId="0" xfId="0" applyFont="1"/>
    <xf numFmtId="0" fontId="4" fillId="0" borderId="0" xfId="0" applyFont="1" applyBorder="1" applyProtection="1">
      <protection locked="0"/>
    </xf>
    <xf numFmtId="0" fontId="4" fillId="0" borderId="0" xfId="0" applyFont="1" applyBorder="1"/>
    <xf numFmtId="0" fontId="27" fillId="0" borderId="0" xfId="0" applyFont="1" applyFill="1" applyBorder="1" applyProtection="1">
      <protection locked="0"/>
    </xf>
    <xf numFmtId="0" fontId="4" fillId="0" borderId="0" xfId="0" applyFont="1" applyFill="1" applyBorder="1"/>
    <xf numFmtId="0" fontId="4" fillId="0" borderId="0" xfId="0" applyFont="1" applyFill="1" applyBorder="1" applyProtection="1">
      <protection locked="0"/>
    </xf>
    <xf numFmtId="3" fontId="3" fillId="0" borderId="0" xfId="0" applyNumberFormat="1" applyFont="1"/>
    <xf numFmtId="0" fontId="4" fillId="0" borderId="0" xfId="0" applyFont="1" applyBorder="1" applyAlignment="1">
      <alignment horizontal="center"/>
    </xf>
    <xf numFmtId="0" fontId="27" fillId="0" borderId="0" xfId="0" applyFont="1" applyBorder="1" applyAlignment="1">
      <alignment horizontal="centerContinuous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0" xfId="0" applyFont="1" applyFill="1" applyBorder="1" applyProtection="1">
      <protection locked="0"/>
    </xf>
    <xf numFmtId="3" fontId="4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Font="1"/>
    <xf numFmtId="0" fontId="4" fillId="0" borderId="0" xfId="0" applyFont="1" applyBorder="1"/>
    <xf numFmtId="169" fontId="4" fillId="0" borderId="0" xfId="0" applyNumberFormat="1" applyFont="1"/>
    <xf numFmtId="3" fontId="4" fillId="0" borderId="0" xfId="0" applyNumberFormat="1" applyFont="1"/>
    <xf numFmtId="44" fontId="2" fillId="0" borderId="0" xfId="0" applyNumberFormat="1" applyFont="1"/>
    <xf numFmtId="169" fontId="7" fillId="0" borderId="0" xfId="0" applyNumberFormat="1" applyFont="1" applyFill="1" applyBorder="1"/>
    <xf numFmtId="168" fontId="6" fillId="0" borderId="0" xfId="0" applyNumberFormat="1" applyFont="1"/>
    <xf numFmtId="168" fontId="4" fillId="0" borderId="0" xfId="0" applyNumberFormat="1" applyFont="1"/>
    <xf numFmtId="0" fontId="3" fillId="0" borderId="1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3" fontId="3" fillId="0" borderId="0" xfId="0" applyNumberFormat="1" applyFont="1" applyFill="1"/>
    <xf numFmtId="0" fontId="29" fillId="0" borderId="0" xfId="0" applyFont="1" applyAlignment="1">
      <alignment horizontal="left"/>
    </xf>
    <xf numFmtId="166" fontId="13" fillId="0" borderId="0" xfId="0" applyNumberFormat="1" applyFont="1"/>
    <xf numFmtId="166" fontId="6" fillId="0" borderId="0" xfId="0" applyNumberFormat="1" applyFont="1"/>
    <xf numFmtId="41" fontId="0" fillId="0" borderId="0" xfId="0" applyNumberFormat="1"/>
    <xf numFmtId="17" fontId="6" fillId="0" borderId="0" xfId="0" applyNumberFormat="1" applyFont="1" applyBorder="1" applyAlignment="1">
      <alignment horizontal="center"/>
    </xf>
    <xf numFmtId="165" fontId="3" fillId="0" borderId="0" xfId="0" applyNumberFormat="1" applyFont="1" applyFill="1"/>
    <xf numFmtId="0" fontId="6" fillId="0" borderId="0" xfId="0" applyFont="1"/>
    <xf numFmtId="0" fontId="6" fillId="0" borderId="9" xfId="0" applyFont="1" applyBorder="1" applyAlignment="1">
      <alignment horizontal="center"/>
    </xf>
    <xf numFmtId="3" fontId="6" fillId="0" borderId="0" xfId="0" applyNumberFormat="1" applyFont="1"/>
    <xf numFmtId="3" fontId="21" fillId="0" borderId="0" xfId="0" applyNumberFormat="1" applyFont="1" applyBorder="1"/>
    <xf numFmtId="3" fontId="28" fillId="0" borderId="0" xfId="0" applyNumberFormat="1" applyFont="1" applyFill="1"/>
    <xf numFmtId="42" fontId="2" fillId="0" borderId="0" xfId="0" applyNumberFormat="1" applyFont="1"/>
    <xf numFmtId="3" fontId="3" fillId="0" borderId="0" xfId="0" applyNumberFormat="1" applyFont="1" applyBorder="1"/>
    <xf numFmtId="0" fontId="3" fillId="0" borderId="0" xfId="0" applyFont="1" applyBorder="1"/>
    <xf numFmtId="3" fontId="3" fillId="0" borderId="0" xfId="0" applyNumberFormat="1" applyFont="1" applyFill="1" applyBorder="1"/>
    <xf numFmtId="0" fontId="2" fillId="0" borderId="0" xfId="0" applyFont="1"/>
    <xf numFmtId="0" fontId="33" fillId="0" borderId="0" xfId="0" applyFont="1"/>
    <xf numFmtId="43" fontId="21" fillId="0" borderId="0" xfId="0" applyNumberFormat="1" applyFont="1"/>
    <xf numFmtId="43" fontId="3" fillId="0" borderId="0" xfId="0" applyNumberFormat="1" applyFont="1"/>
    <xf numFmtId="171" fontId="6" fillId="0" borderId="0" xfId="0" applyNumberFormat="1" applyFont="1" applyAlignment="1"/>
    <xf numFmtId="0" fontId="34" fillId="0" borderId="0" xfId="0" applyFont="1"/>
    <xf numFmtId="0" fontId="34" fillId="0" borderId="0" xfId="0" applyFont="1" applyAlignment="1">
      <alignment horizontal="left"/>
    </xf>
    <xf numFmtId="17" fontId="0" fillId="0" borderId="18" xfId="0" applyNumberFormat="1" applyBorder="1" applyAlignment="1">
      <alignment horizontal="center" vertical="top"/>
    </xf>
    <xf numFmtId="0" fontId="0" fillId="0" borderId="17" xfId="0" applyFill="1" applyBorder="1" applyAlignment="1">
      <alignment horizontal="center" vertical="top"/>
    </xf>
    <xf numFmtId="0" fontId="0" fillId="0" borderId="9" xfId="0" applyBorder="1" applyAlignment="1">
      <alignment horizontal="center"/>
    </xf>
    <xf numFmtId="0" fontId="12" fillId="0" borderId="0" xfId="0" applyFont="1" applyAlignment="1">
      <alignment wrapText="1"/>
    </xf>
    <xf numFmtId="17" fontId="6" fillId="0" borderId="9" xfId="0" applyNumberFormat="1" applyFont="1" applyBorder="1" applyAlignment="1">
      <alignment horizontal="center"/>
    </xf>
    <xf numFmtId="168" fontId="20" fillId="0" borderId="0" xfId="0" applyNumberFormat="1" applyFont="1"/>
    <xf numFmtId="171" fontId="6" fillId="0" borderId="0" xfId="0" applyNumberFormat="1" applyFont="1" applyAlignment="1">
      <alignment wrapText="1"/>
    </xf>
    <xf numFmtId="168" fontId="21" fillId="0" borderId="0" xfId="0" applyNumberFormat="1" applyFont="1"/>
    <xf numFmtId="168" fontId="3" fillId="0" borderId="0" xfId="0" applyNumberFormat="1" applyFont="1"/>
    <xf numFmtId="171" fontId="19" fillId="0" borderId="9" xfId="0" applyNumberFormat="1" applyFont="1" applyBorder="1" applyAlignment="1">
      <alignment wrapText="1"/>
    </xf>
    <xf numFmtId="10" fontId="0" fillId="0" borderId="0" xfId="0" applyNumberFormat="1" applyFont="1"/>
    <xf numFmtId="10" fontId="0" fillId="0" borderId="2" xfId="0" applyNumberFormat="1" applyFont="1" applyBorder="1"/>
    <xf numFmtId="10" fontId="0" fillId="0" borderId="0" xfId="0" applyNumberFormat="1"/>
    <xf numFmtId="0" fontId="1" fillId="0" borderId="0" xfId="0" applyFont="1" applyBorder="1" applyAlignment="1">
      <alignment horizontal="left"/>
    </xf>
    <xf numFmtId="0" fontId="0" fillId="0" borderId="0" xfId="0" applyAlignment="1">
      <alignment horizontal="center"/>
    </xf>
    <xf numFmtId="0" fontId="2" fillId="0" borderId="1" xfId="0" applyFont="1" applyFill="1" applyBorder="1" applyAlignment="1">
      <alignment horizontal="center"/>
    </xf>
    <xf numFmtId="166" fontId="0" fillId="0" borderId="0" xfId="0" applyNumberFormat="1" applyFont="1"/>
    <xf numFmtId="188" fontId="28" fillId="0" borderId="0" xfId="0" applyNumberFormat="1" applyFont="1" applyFill="1" applyBorder="1"/>
    <xf numFmtId="0" fontId="2" fillId="0" borderId="0" xfId="0" applyFont="1" applyBorder="1" applyAlignment="1">
      <alignment horizontal="center"/>
    </xf>
    <xf numFmtId="166" fontId="0" fillId="0" borderId="0" xfId="0" applyNumberFormat="1" applyFont="1" applyFill="1"/>
    <xf numFmtId="10" fontId="4" fillId="0" borderId="0" xfId="0" applyNumberFormat="1" applyFont="1"/>
    <xf numFmtId="168" fontId="0" fillId="0" borderId="9" xfId="0" applyNumberFormat="1" applyFont="1" applyBorder="1"/>
    <xf numFmtId="0" fontId="19" fillId="0" borderId="0" xfId="0" applyFont="1" applyAlignment="1">
      <alignment horizontal="center"/>
    </xf>
    <xf numFmtId="0" fontId="12" fillId="0" borderId="0" xfId="0" applyFont="1" applyAlignment="1">
      <alignment horizontal="centerContinuous"/>
    </xf>
    <xf numFmtId="0" fontId="6" fillId="0" borderId="0" xfId="0" applyFont="1" applyFill="1" applyAlignment="1">
      <alignment horizontal="centerContinuous"/>
    </xf>
    <xf numFmtId="3" fontId="6" fillId="0" borderId="0" xfId="0" applyNumberFormat="1" applyFont="1" applyBorder="1" applyAlignment="1">
      <alignment horizontal="centerContinuous"/>
    </xf>
    <xf numFmtId="0" fontId="6" fillId="0" borderId="0" xfId="0" applyFont="1" applyAlignment="1">
      <alignment horizontal="centerContinuous"/>
    </xf>
    <xf numFmtId="180" fontId="6" fillId="0" borderId="0" xfId="0" applyNumberFormat="1" applyFont="1" applyAlignment="1">
      <alignment horizontal="centerContinuous"/>
    </xf>
    <xf numFmtId="180" fontId="6" fillId="0" borderId="0" xfId="0" applyNumberFormat="1" applyFont="1" applyBorder="1" applyAlignment="1">
      <alignment horizontal="centerContinuous"/>
    </xf>
    <xf numFmtId="172" fontId="6" fillId="0" borderId="0" xfId="0" applyNumberFormat="1" applyFont="1" applyAlignment="1">
      <alignment horizontal="centerContinuous"/>
    </xf>
    <xf numFmtId="181" fontId="6" fillId="0" borderId="0" xfId="0" applyNumberFormat="1" applyFont="1" applyAlignment="1">
      <alignment horizontal="centerContinuous"/>
    </xf>
    <xf numFmtId="0" fontId="6" fillId="0" borderId="0" xfId="0" applyFont="1"/>
    <xf numFmtId="0" fontId="12" fillId="0" borderId="0" xfId="0" applyFont="1" applyFill="1" applyAlignment="1">
      <alignment horizontal="centerContinuous"/>
    </xf>
    <xf numFmtId="0" fontId="12" fillId="0" borderId="0" xfId="0" applyFont="1" applyAlignment="1">
      <alignment horizontal="centerContinuous"/>
    </xf>
    <xf numFmtId="172" fontId="6" fillId="0" borderId="0" xfId="0" applyNumberFormat="1" applyFont="1" applyBorder="1" applyAlignment="1">
      <alignment horizontal="centerContinuous"/>
    </xf>
    <xf numFmtId="0" fontId="6" fillId="0" borderId="0" xfId="0" applyFont="1" applyBorder="1" applyAlignment="1">
      <alignment horizontal="centerContinuous"/>
    </xf>
    <xf numFmtId="0" fontId="12" fillId="0" borderId="0" xfId="0" applyFont="1"/>
    <xf numFmtId="0" fontId="6" fillId="0" borderId="0" xfId="0" applyFont="1" applyFill="1"/>
    <xf numFmtId="3" fontId="6" fillId="0" borderId="0" xfId="0" applyNumberFormat="1" applyFont="1" applyBorder="1"/>
    <xf numFmtId="180" fontId="6" fillId="0" borderId="0" xfId="0" applyNumberFormat="1" applyFont="1"/>
    <xf numFmtId="180" fontId="6" fillId="0" borderId="0" xfId="0" applyNumberFormat="1" applyFont="1" applyBorder="1"/>
    <xf numFmtId="172" fontId="6" fillId="0" borderId="0" xfId="0" applyNumberFormat="1" applyFont="1" applyAlignment="1">
      <alignment horizontal="right"/>
    </xf>
    <xf numFmtId="172" fontId="6" fillId="0" borderId="0" xfId="0" applyNumberFormat="1" applyFont="1" applyBorder="1" applyAlignment="1">
      <alignment horizontal="right"/>
    </xf>
    <xf numFmtId="0" fontId="6" fillId="0" borderId="0" xfId="0" applyFont="1" applyBorder="1"/>
    <xf numFmtId="181" fontId="6" fillId="0" borderId="0" xfId="0" applyNumberFormat="1" applyFont="1"/>
    <xf numFmtId="0" fontId="6" fillId="0" borderId="6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Continuous"/>
    </xf>
    <xf numFmtId="180" fontId="6" fillId="0" borderId="3" xfId="0" applyNumberFormat="1" applyFont="1" applyBorder="1" applyAlignment="1">
      <alignment horizontal="centerContinuous"/>
    </xf>
    <xf numFmtId="0" fontId="6" fillId="0" borderId="2" xfId="0" applyFont="1" applyBorder="1" applyAlignment="1">
      <alignment horizontal="left"/>
    </xf>
    <xf numFmtId="0" fontId="6" fillId="0" borderId="3" xfId="0" applyFont="1" applyBorder="1" applyAlignment="1">
      <alignment horizontal="centerContinuous"/>
    </xf>
    <xf numFmtId="180" fontId="6" fillId="0" borderId="2" xfId="0" applyNumberFormat="1" applyFont="1" applyBorder="1" applyAlignment="1">
      <alignment horizontal="left"/>
    </xf>
    <xf numFmtId="180" fontId="6" fillId="0" borderId="7" xfId="0" applyNumberFormat="1" applyFont="1" applyBorder="1" applyAlignment="1">
      <alignment horizontal="centerContinuous"/>
    </xf>
    <xf numFmtId="180" fontId="6" fillId="0" borderId="0" xfId="0" applyNumberFormat="1" applyFont="1" applyBorder="1" applyAlignment="1">
      <alignment horizontal="left"/>
    </xf>
    <xf numFmtId="0" fontId="6" fillId="0" borderId="0" xfId="0" applyFont="1" applyBorder="1" applyAlignment="1">
      <alignment horizontal="center"/>
    </xf>
    <xf numFmtId="181" fontId="6" fillId="0" borderId="0" xfId="0" applyNumberFormat="1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180" fontId="6" fillId="0" borderId="9" xfId="0" applyNumberFormat="1" applyFont="1" applyBorder="1" applyAlignment="1">
      <alignment horizontal="center"/>
    </xf>
    <xf numFmtId="174" fontId="6" fillId="0" borderId="10" xfId="0" applyNumberFormat="1" applyFont="1" applyBorder="1" applyAlignment="1">
      <alignment horizontal="center"/>
    </xf>
    <xf numFmtId="174" fontId="6" fillId="0" borderId="0" xfId="0" applyNumberFormat="1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181" fontId="6" fillId="0" borderId="9" xfId="0" applyNumberFormat="1" applyFont="1" applyBorder="1" applyAlignment="1">
      <alignment horizontal="center"/>
    </xf>
    <xf numFmtId="0" fontId="6" fillId="0" borderId="0" xfId="0" applyFont="1" applyFill="1" applyBorder="1"/>
    <xf numFmtId="0" fontId="12" fillId="0" borderId="11" xfId="0" applyFont="1" applyBorder="1" applyProtection="1">
      <protection locked="0"/>
    </xf>
    <xf numFmtId="0" fontId="12" fillId="0" borderId="2" xfId="0" applyFont="1" applyBorder="1" applyProtection="1">
      <protection locked="0"/>
    </xf>
    <xf numFmtId="0" fontId="6" fillId="0" borderId="2" xfId="0" applyFont="1" applyFill="1" applyBorder="1"/>
    <xf numFmtId="0" fontId="6" fillId="0" borderId="2" xfId="0" applyFont="1" applyBorder="1"/>
    <xf numFmtId="3" fontId="6" fillId="0" borderId="2" xfId="0" applyNumberFormat="1" applyFont="1" applyBorder="1"/>
    <xf numFmtId="172" fontId="6" fillId="0" borderId="2" xfId="0" applyNumberFormat="1" applyFont="1" applyBorder="1"/>
    <xf numFmtId="164" fontId="6" fillId="0" borderId="12" xfId="0" applyNumberFormat="1" applyFont="1" applyBorder="1" applyAlignment="1">
      <alignment horizontal="right"/>
    </xf>
    <xf numFmtId="0" fontId="6" fillId="0" borderId="5" xfId="0" applyFont="1" applyBorder="1"/>
    <xf numFmtId="3" fontId="6" fillId="0" borderId="0" xfId="0" applyNumberFormat="1" applyFont="1" applyBorder="1" applyProtection="1">
      <protection locked="0"/>
    </xf>
    <xf numFmtId="172" fontId="6" fillId="0" borderId="0" xfId="0" applyNumberFormat="1" applyFont="1" applyBorder="1"/>
    <xf numFmtId="164" fontId="6" fillId="0" borderId="13" xfId="0" applyNumberFormat="1" applyFont="1" applyBorder="1" applyAlignment="1">
      <alignment horizontal="right"/>
    </xf>
    <xf numFmtId="0" fontId="6" fillId="0" borderId="14" xfId="0" applyFont="1" applyBorder="1" applyAlignment="1">
      <alignment horizontal="center"/>
    </xf>
    <xf numFmtId="0" fontId="6" fillId="0" borderId="5" xfId="0" applyFont="1" applyFill="1" applyBorder="1" applyProtection="1">
      <protection locked="0"/>
    </xf>
    <xf numFmtId="0" fontId="6" fillId="0" borderId="0" xfId="0" applyFont="1" applyFill="1" applyBorder="1" applyProtection="1">
      <protection locked="0"/>
    </xf>
    <xf numFmtId="3" fontId="21" fillId="0" borderId="0" xfId="0" applyNumberFormat="1" applyFont="1" applyFill="1" applyBorder="1"/>
    <xf numFmtId="180" fontId="21" fillId="0" borderId="0" xfId="0" applyNumberFormat="1" applyFont="1" applyFill="1" applyBorder="1"/>
    <xf numFmtId="180" fontId="20" fillId="0" borderId="0" xfId="0" applyNumberFormat="1" applyFont="1" applyFill="1" applyBorder="1"/>
    <xf numFmtId="164" fontId="6" fillId="0" borderId="13" xfId="0" applyNumberFormat="1" applyFont="1" applyBorder="1"/>
    <xf numFmtId="172" fontId="26" fillId="0" borderId="15" xfId="0" applyNumberFormat="1" applyFont="1" applyFill="1" applyBorder="1" applyAlignment="1">
      <alignment horizontal="center"/>
    </xf>
    <xf numFmtId="174" fontId="6" fillId="0" borderId="0" xfId="0" applyNumberFormat="1" applyFont="1" applyBorder="1"/>
    <xf numFmtId="3" fontId="21" fillId="0" borderId="0" xfId="0" applyNumberFormat="1" applyFont="1" applyBorder="1"/>
    <xf numFmtId="182" fontId="21" fillId="0" borderId="0" xfId="0" applyNumberFormat="1" applyFont="1" applyFill="1" applyBorder="1"/>
    <xf numFmtId="182" fontId="6" fillId="0" borderId="0" xfId="0" applyNumberFormat="1" applyFont="1" applyFill="1" applyBorder="1"/>
    <xf numFmtId="172" fontId="6" fillId="0" borderId="15" xfId="0" applyNumberFormat="1" applyFont="1" applyBorder="1" applyAlignment="1">
      <alignment horizontal="center"/>
    </xf>
    <xf numFmtId="0" fontId="12" fillId="0" borderId="5" xfId="0" applyFont="1" applyBorder="1"/>
    <xf numFmtId="0" fontId="6" fillId="0" borderId="0" xfId="0" applyFont="1" applyBorder="1" applyProtection="1">
      <protection locked="0"/>
    </xf>
    <xf numFmtId="3" fontId="6" fillId="0" borderId="0" xfId="0" applyNumberFormat="1" applyFont="1" applyFill="1" applyBorder="1"/>
    <xf numFmtId="0" fontId="21" fillId="0" borderId="0" xfId="0" applyFont="1" applyFill="1" applyBorder="1"/>
    <xf numFmtId="164" fontId="6" fillId="0" borderId="12" xfId="0" applyNumberFormat="1" applyFont="1" applyBorder="1"/>
    <xf numFmtId="172" fontId="6" fillId="0" borderId="16" xfId="0" applyNumberFormat="1" applyFont="1" applyBorder="1" applyAlignment="1">
      <alignment horizontal="center"/>
    </xf>
    <xf numFmtId="181" fontId="6" fillId="0" borderId="0" xfId="0" applyNumberFormat="1" applyFont="1" applyFill="1" applyBorder="1" applyAlignment="1">
      <alignment horizontal="center"/>
    </xf>
    <xf numFmtId="0" fontId="12" fillId="0" borderId="0" xfId="0" applyFont="1" applyBorder="1"/>
    <xf numFmtId="172" fontId="12" fillId="0" borderId="0" xfId="0" applyNumberFormat="1" applyFont="1" applyBorder="1"/>
    <xf numFmtId="9" fontId="6" fillId="0" borderId="0" xfId="0" applyNumberFormat="1" applyFont="1" applyBorder="1" applyAlignment="1">
      <alignment horizontal="center"/>
    </xf>
    <xf numFmtId="181" fontId="6" fillId="0" borderId="0" xfId="0" applyNumberFormat="1" applyFont="1" applyBorder="1"/>
    <xf numFmtId="173" fontId="13" fillId="0" borderId="4" xfId="0" applyNumberFormat="1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173" fontId="13" fillId="0" borderId="0" xfId="0" applyNumberFormat="1" applyFont="1" applyFill="1" applyBorder="1" applyAlignment="1">
      <alignment horizontal="center"/>
    </xf>
    <xf numFmtId="183" fontId="6" fillId="0" borderId="0" xfId="0" applyNumberFormat="1" applyFont="1" applyFill="1" applyBorder="1"/>
    <xf numFmtId="0" fontId="6" fillId="0" borderId="5" xfId="0" applyFont="1" applyBorder="1" applyProtection="1">
      <protection locked="0"/>
    </xf>
    <xf numFmtId="3" fontId="13" fillId="0" borderId="0" xfId="0" applyNumberFormat="1" applyFont="1" applyBorder="1"/>
    <xf numFmtId="182" fontId="6" fillId="0" borderId="0" xfId="0" applyNumberFormat="1" applyFont="1"/>
    <xf numFmtId="3" fontId="13" fillId="0" borderId="0" xfId="0" applyNumberFormat="1" applyFont="1" applyFill="1" applyBorder="1"/>
    <xf numFmtId="172" fontId="6" fillId="0" borderId="0" xfId="0" applyNumberFormat="1" applyFont="1" applyFill="1" applyBorder="1"/>
    <xf numFmtId="172" fontId="6" fillId="0" borderId="0" xfId="0" applyNumberFormat="1" applyFont="1" applyBorder="1"/>
    <xf numFmtId="0" fontId="6" fillId="0" borderId="8" xfId="0" applyFont="1" applyFill="1" applyBorder="1"/>
    <xf numFmtId="0" fontId="6" fillId="0" borderId="9" xfId="0" applyFont="1" applyFill="1" applyBorder="1"/>
    <xf numFmtId="172" fontId="6" fillId="0" borderId="9" xfId="0" applyNumberFormat="1" applyFont="1" applyFill="1" applyBorder="1"/>
    <xf numFmtId="3" fontId="6" fillId="0" borderId="9" xfId="0" applyNumberFormat="1" applyFont="1" applyFill="1" applyBorder="1"/>
    <xf numFmtId="164" fontId="6" fillId="0" borderId="10" xfId="0" applyNumberFormat="1" applyFont="1" applyFill="1" applyBorder="1"/>
    <xf numFmtId="172" fontId="6" fillId="0" borderId="0" xfId="0" applyNumberFormat="1" applyFont="1" applyFill="1"/>
    <xf numFmtId="164" fontId="6" fillId="0" borderId="0" xfId="0" applyNumberFormat="1" applyFont="1" applyFill="1" applyBorder="1"/>
    <xf numFmtId="0" fontId="12" fillId="0" borderId="11" xfId="0" applyFont="1" applyFill="1" applyBorder="1" applyProtection="1">
      <protection locked="0"/>
    </xf>
    <xf numFmtId="0" fontId="12" fillId="0" borderId="2" xfId="0" applyFont="1" applyFill="1" applyBorder="1" applyProtection="1">
      <protection locked="0"/>
    </xf>
    <xf numFmtId="0" fontId="30" fillId="0" borderId="2" xfId="0" applyFont="1" applyFill="1" applyBorder="1"/>
    <xf numFmtId="172" fontId="30" fillId="0" borderId="2" xfId="0" applyNumberFormat="1" applyFont="1" applyBorder="1"/>
    <xf numFmtId="0" fontId="6" fillId="0" borderId="5" xfId="0" applyFont="1" applyFill="1" applyBorder="1"/>
    <xf numFmtId="3" fontId="6" fillId="0" borderId="0" xfId="0" applyNumberFormat="1" applyFont="1" applyFill="1" applyBorder="1" applyProtection="1">
      <protection locked="0"/>
    </xf>
    <xf numFmtId="164" fontId="6" fillId="0" borderId="13" xfId="0" applyNumberFormat="1" applyFont="1" applyFill="1" applyBorder="1" applyAlignment="1">
      <alignment horizontal="right"/>
    </xf>
    <xf numFmtId="172" fontId="6" fillId="0" borderId="0" xfId="0" applyNumberFormat="1" applyFont="1" applyFill="1" applyBorder="1" applyAlignment="1">
      <alignment horizontal="right"/>
    </xf>
    <xf numFmtId="181" fontId="6" fillId="0" borderId="0" xfId="0" applyNumberFormat="1" applyFont="1" applyFill="1" applyBorder="1"/>
    <xf numFmtId="180" fontId="6" fillId="0" borderId="0" xfId="0" applyNumberFormat="1" applyFont="1" applyFill="1" applyBorder="1"/>
    <xf numFmtId="172" fontId="26" fillId="0" borderId="0" xfId="0" applyNumberFormat="1" applyFont="1" applyFill="1" applyBorder="1" applyAlignment="1">
      <alignment horizontal="center"/>
    </xf>
    <xf numFmtId="164" fontId="6" fillId="0" borderId="13" xfId="0" applyNumberFormat="1" applyFont="1" applyFill="1" applyBorder="1"/>
    <xf numFmtId="172" fontId="6" fillId="0" borderId="0" xfId="0" applyNumberFormat="1" applyFont="1" applyBorder="1" applyAlignment="1">
      <alignment horizontal="center"/>
    </xf>
    <xf numFmtId="0" fontId="12" fillId="0" borderId="5" xfId="0" applyFont="1" applyFill="1" applyBorder="1"/>
    <xf numFmtId="0" fontId="12" fillId="0" borderId="0" xfId="0" applyFont="1" applyFill="1" applyBorder="1"/>
    <xf numFmtId="172" fontId="12" fillId="0" borderId="0" xfId="0" applyNumberFormat="1" applyFont="1" applyFill="1" applyBorder="1"/>
    <xf numFmtId="0" fontId="6" fillId="0" borderId="0" xfId="0" applyFont="1" applyFill="1" applyBorder="1" applyAlignment="1">
      <alignment horizontal="center"/>
    </xf>
    <xf numFmtId="182" fontId="6" fillId="0" borderId="0" xfId="0" applyNumberFormat="1" applyFont="1" applyBorder="1" applyAlignment="1">
      <alignment horizontal="center"/>
    </xf>
    <xf numFmtId="182" fontId="13" fillId="0" borderId="0" xfId="0" applyNumberFormat="1" applyFont="1" applyFill="1" applyBorder="1"/>
    <xf numFmtId="174" fontId="6" fillId="0" borderId="0" xfId="0" applyNumberFormat="1" applyFont="1" applyFill="1" applyBorder="1"/>
    <xf numFmtId="182" fontId="6" fillId="0" borderId="0" xfId="0" applyNumberFormat="1" applyFont="1" applyFill="1" applyAlignment="1">
      <alignment horizontal="center"/>
    </xf>
    <xf numFmtId="172" fontId="30" fillId="0" borderId="0" xfId="0" applyNumberFormat="1" applyFont="1" applyFill="1" applyBorder="1"/>
    <xf numFmtId="0" fontId="30" fillId="0" borderId="0" xfId="0" applyFont="1" applyFill="1" applyBorder="1"/>
    <xf numFmtId="3" fontId="6" fillId="0" borderId="0" xfId="0" applyNumberFormat="1" applyFont="1" applyBorder="1" applyAlignment="1" applyProtection="1">
      <alignment horizontal="center"/>
      <protection locked="0"/>
    </xf>
    <xf numFmtId="0" fontId="6" fillId="0" borderId="14" xfId="0" applyFont="1" applyFill="1" applyBorder="1" applyAlignment="1">
      <alignment horizontal="center"/>
    </xf>
    <xf numFmtId="3" fontId="6" fillId="0" borderId="0" xfId="0" applyNumberFormat="1" applyFont="1" applyFill="1" applyBorder="1" applyAlignment="1" applyProtection="1">
      <alignment horizontal="center"/>
      <protection locked="0"/>
    </xf>
    <xf numFmtId="184" fontId="6" fillId="0" borderId="0" xfId="0" applyNumberFormat="1" applyFont="1" applyBorder="1" applyAlignment="1">
      <alignment horizontal="right"/>
    </xf>
    <xf numFmtId="172" fontId="6" fillId="0" borderId="0" xfId="0" applyNumberFormat="1" applyFont="1" applyFill="1" applyBorder="1"/>
    <xf numFmtId="178" fontId="6" fillId="0" borderId="0" xfId="0" applyNumberFormat="1" applyFont="1" applyBorder="1"/>
    <xf numFmtId="182" fontId="20" fillId="0" borderId="0" xfId="0" applyNumberFormat="1" applyFont="1" applyFill="1" applyBorder="1"/>
    <xf numFmtId="164" fontId="6" fillId="0" borderId="13" xfId="0" applyNumberFormat="1" applyFont="1" applyBorder="1" applyAlignment="1">
      <alignment horizontal="center"/>
    </xf>
    <xf numFmtId="182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12" fillId="0" borderId="8" xfId="0" applyFont="1" applyBorder="1"/>
    <xf numFmtId="0" fontId="12" fillId="0" borderId="9" xfId="0" applyFont="1" applyBorder="1"/>
    <xf numFmtId="172" fontId="12" fillId="0" borderId="9" xfId="0" applyNumberFormat="1" applyFont="1" applyBorder="1"/>
    <xf numFmtId="3" fontId="6" fillId="0" borderId="9" xfId="0" applyNumberFormat="1" applyFont="1" applyBorder="1"/>
    <xf numFmtId="0" fontId="6" fillId="0" borderId="9" xfId="0" applyFont="1" applyBorder="1"/>
    <xf numFmtId="180" fontId="6" fillId="0" borderId="9" xfId="0" applyNumberFormat="1" applyFont="1" applyBorder="1"/>
    <xf numFmtId="164" fontId="6" fillId="0" borderId="10" xfId="0" applyNumberFormat="1" applyFont="1" applyBorder="1" applyAlignment="1">
      <alignment horizontal="right"/>
    </xf>
    <xf numFmtId="3" fontId="6" fillId="0" borderId="9" xfId="0" applyNumberFormat="1" applyFont="1" applyFill="1" applyBorder="1" applyAlignment="1">
      <alignment horizontal="center"/>
    </xf>
    <xf numFmtId="172" fontId="6" fillId="0" borderId="0" xfId="0" applyNumberFormat="1" applyFont="1"/>
    <xf numFmtId="164" fontId="6" fillId="0" borderId="0" xfId="0" applyNumberFormat="1" applyFont="1"/>
    <xf numFmtId="3" fontId="6" fillId="0" borderId="0" xfId="0" applyNumberFormat="1" applyFont="1" applyFill="1"/>
    <xf numFmtId="44" fontId="6" fillId="0" borderId="0" xfId="0" applyNumberFormat="1" applyFont="1"/>
    <xf numFmtId="172" fontId="13" fillId="0" borderId="0" xfId="0" applyNumberFormat="1" applyFont="1"/>
    <xf numFmtId="0" fontId="6" fillId="0" borderId="0" xfId="0" applyFont="1"/>
    <xf numFmtId="0" fontId="6" fillId="0" borderId="0" xfId="0" applyFont="1" applyFill="1"/>
    <xf numFmtId="0" fontId="6" fillId="0" borderId="0" xfId="0" applyFont="1"/>
    <xf numFmtId="0" fontId="6" fillId="0" borderId="0" xfId="0" applyFont="1" applyAlignment="1">
      <alignment horizontal="centerContinuous"/>
    </xf>
    <xf numFmtId="180" fontId="6" fillId="0" borderId="0" xfId="0" applyNumberFormat="1" applyFont="1" applyAlignment="1">
      <alignment horizontal="centerContinuous"/>
    </xf>
    <xf numFmtId="3" fontId="6" fillId="0" borderId="0" xfId="0" applyNumberFormat="1" applyFont="1" applyFill="1" applyAlignment="1">
      <alignment horizontal="centerContinuous"/>
    </xf>
    <xf numFmtId="0" fontId="6" fillId="0" borderId="0" xfId="0" applyFont="1" applyFill="1" applyAlignment="1">
      <alignment horizontal="centerContinuous"/>
    </xf>
    <xf numFmtId="164" fontId="6" fillId="0" borderId="0" xfId="0" applyNumberFormat="1" applyFont="1" applyAlignment="1">
      <alignment horizontal="centerContinuous"/>
    </xf>
    <xf numFmtId="174" fontId="6" fillId="0" borderId="0" xfId="0" applyNumberFormat="1" applyFont="1" applyAlignment="1">
      <alignment horizontal="centerContinuous"/>
    </xf>
    <xf numFmtId="181" fontId="6" fillId="0" borderId="0" xfId="0" applyNumberFormat="1" applyFont="1" applyAlignment="1">
      <alignment horizontal="centerContinuous"/>
    </xf>
    <xf numFmtId="174" fontId="6" fillId="0" borderId="0" xfId="0" applyNumberFormat="1" applyFont="1" applyBorder="1" applyAlignment="1">
      <alignment horizontal="centerContinuous"/>
    </xf>
    <xf numFmtId="0" fontId="6" fillId="0" borderId="0" xfId="0" applyFont="1" applyBorder="1" applyAlignment="1">
      <alignment horizontal="centerContinuous"/>
    </xf>
    <xf numFmtId="0" fontId="6" fillId="0" borderId="0" xfId="0" applyFont="1" applyAlignment="1"/>
    <xf numFmtId="180" fontId="6" fillId="0" borderId="0" xfId="0" applyNumberFormat="1" applyFont="1" applyAlignment="1"/>
    <xf numFmtId="3" fontId="6" fillId="0" borderId="9" xfId="0" applyNumberFormat="1" applyFont="1" applyFill="1" applyBorder="1" applyAlignment="1"/>
    <xf numFmtId="0" fontId="6" fillId="0" borderId="0" xfId="0" applyFont="1" applyFill="1" applyAlignment="1"/>
    <xf numFmtId="164" fontId="6" fillId="0" borderId="0" xfId="0" applyNumberFormat="1" applyFont="1" applyAlignment="1"/>
    <xf numFmtId="174" fontId="6" fillId="0" borderId="0" xfId="0" applyNumberFormat="1" applyFont="1" applyAlignment="1">
      <alignment horizontal="left"/>
    </xf>
    <xf numFmtId="174" fontId="6" fillId="0" borderId="0" xfId="0" applyNumberFormat="1" applyFont="1" applyBorder="1"/>
    <xf numFmtId="0" fontId="6" fillId="0" borderId="0" xfId="0" applyFont="1" applyBorder="1"/>
    <xf numFmtId="181" fontId="6" fillId="0" borderId="0" xfId="0" applyNumberFormat="1" applyFont="1"/>
    <xf numFmtId="0" fontId="6" fillId="0" borderId="6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180" fontId="6" fillId="0" borderId="3" xfId="0" applyNumberFormat="1" applyFont="1" applyBorder="1" applyAlignment="1">
      <alignment horizontal="centerContinuous"/>
    </xf>
    <xf numFmtId="0" fontId="6" fillId="0" borderId="0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Continuous"/>
    </xf>
    <xf numFmtId="180" fontId="6" fillId="0" borderId="2" xfId="0" applyNumberFormat="1" applyFont="1" applyBorder="1" applyAlignment="1">
      <alignment horizontal="left"/>
    </xf>
    <xf numFmtId="180" fontId="6" fillId="0" borderId="0" xfId="0" applyNumberFormat="1" applyFont="1" applyBorder="1" applyAlignment="1">
      <alignment horizontal="left"/>
    </xf>
    <xf numFmtId="0" fontId="6" fillId="0" borderId="8" xfId="0" applyFont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180" fontId="6" fillId="0" borderId="9" xfId="0" applyNumberFormat="1" applyFont="1" applyBorder="1" applyAlignment="1">
      <alignment horizontal="center"/>
    </xf>
    <xf numFmtId="164" fontId="6" fillId="0" borderId="10" xfId="0" applyNumberFormat="1" applyFont="1" applyBorder="1" applyAlignment="1">
      <alignment horizontal="center"/>
    </xf>
    <xf numFmtId="174" fontId="6" fillId="0" borderId="0" xfId="0" applyNumberFormat="1" applyFont="1" applyBorder="1" applyAlignment="1">
      <alignment horizontal="left"/>
    </xf>
    <xf numFmtId="174" fontId="6" fillId="0" borderId="0" xfId="0" applyNumberFormat="1" applyFont="1" applyBorder="1" applyAlignment="1">
      <alignment horizontal="center"/>
    </xf>
    <xf numFmtId="180" fontId="6" fillId="0" borderId="0" xfId="0" applyNumberFormat="1" applyFont="1" applyBorder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181" fontId="6" fillId="0" borderId="0" xfId="0" applyNumberFormat="1" applyFont="1" applyBorder="1"/>
    <xf numFmtId="0" fontId="12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2" xfId="0" applyFont="1" applyBorder="1"/>
    <xf numFmtId="172" fontId="6" fillId="0" borderId="2" xfId="0" applyNumberFormat="1" applyFont="1" applyBorder="1"/>
    <xf numFmtId="3" fontId="6" fillId="0" borderId="2" xfId="0" applyNumberFormat="1" applyFont="1" applyFill="1" applyBorder="1"/>
    <xf numFmtId="0" fontId="6" fillId="0" borderId="2" xfId="0" applyFont="1" applyFill="1" applyBorder="1"/>
    <xf numFmtId="164" fontId="6" fillId="0" borderId="12" xfId="0" applyNumberFormat="1" applyFont="1" applyBorder="1"/>
    <xf numFmtId="164" fontId="6" fillId="0" borderId="0" xfId="0" applyNumberFormat="1" applyFont="1" applyBorder="1" applyAlignment="1">
      <alignment horizontal="left"/>
    </xf>
    <xf numFmtId="0" fontId="6" fillId="0" borderId="5" xfId="0" applyFont="1" applyBorder="1"/>
    <xf numFmtId="3" fontId="6" fillId="0" borderId="0" xfId="0" applyNumberFormat="1" applyFont="1" applyBorder="1"/>
    <xf numFmtId="172" fontId="6" fillId="0" borderId="0" xfId="0" applyNumberFormat="1" applyFont="1" applyBorder="1"/>
    <xf numFmtId="3" fontId="6" fillId="0" borderId="0" xfId="0" applyNumberFormat="1" applyFont="1" applyFill="1" applyBorder="1"/>
    <xf numFmtId="0" fontId="6" fillId="0" borderId="0" xfId="0" applyFont="1" applyFill="1" applyBorder="1"/>
    <xf numFmtId="164" fontId="6" fillId="0" borderId="13" xfId="0" applyNumberFormat="1" applyFont="1" applyBorder="1"/>
    <xf numFmtId="0" fontId="0" fillId="0" borderId="14" xfId="0" applyFont="1" applyBorder="1" applyAlignment="1">
      <alignment horizontal="center"/>
    </xf>
    <xf numFmtId="0" fontId="6" fillId="0" borderId="5" xfId="0" applyFont="1" applyFill="1" applyBorder="1" applyProtection="1">
      <protection locked="0"/>
    </xf>
    <xf numFmtId="0" fontId="6" fillId="0" borderId="0" xfId="0" applyFont="1" applyFill="1" applyBorder="1" applyProtection="1">
      <protection locked="0"/>
    </xf>
    <xf numFmtId="3" fontId="21" fillId="0" borderId="0" xfId="0" applyNumberFormat="1" applyFont="1" applyFill="1" applyBorder="1"/>
    <xf numFmtId="180" fontId="21" fillId="0" borderId="0" xfId="0" applyNumberFormat="1" applyFont="1" applyFill="1" applyBorder="1"/>
    <xf numFmtId="172" fontId="6" fillId="0" borderId="0" xfId="0" applyNumberFormat="1" applyFont="1" applyFill="1" applyBorder="1"/>
    <xf numFmtId="172" fontId="26" fillId="0" borderId="15" xfId="0" applyNumberFormat="1" applyFont="1" applyFill="1" applyBorder="1" applyAlignment="1">
      <alignment horizontal="center"/>
    </xf>
    <xf numFmtId="0" fontId="6" fillId="0" borderId="0" xfId="0" applyFont="1" applyBorder="1"/>
    <xf numFmtId="182" fontId="21" fillId="0" borderId="0" xfId="0" applyNumberFormat="1" applyFont="1" applyFill="1" applyBorder="1"/>
    <xf numFmtId="182" fontId="6" fillId="0" borderId="0" xfId="0" applyNumberFormat="1" applyFont="1" applyFill="1" applyBorder="1"/>
    <xf numFmtId="172" fontId="6" fillId="0" borderId="15" xfId="0" applyNumberFormat="1" applyFont="1" applyBorder="1" applyAlignment="1">
      <alignment horizontal="center"/>
    </xf>
    <xf numFmtId="3" fontId="6" fillId="0" borderId="0" xfId="0" applyNumberFormat="1" applyFont="1" applyFill="1" applyBorder="1"/>
    <xf numFmtId="180" fontId="6" fillId="0" borderId="0" xfId="0" applyNumberFormat="1" applyFont="1" applyBorder="1" applyAlignment="1">
      <alignment horizontal="right"/>
    </xf>
    <xf numFmtId="164" fontId="6" fillId="0" borderId="13" xfId="0" applyNumberFormat="1" applyFont="1" applyBorder="1" applyAlignment="1">
      <alignment horizontal="center"/>
    </xf>
    <xf numFmtId="172" fontId="6" fillId="0" borderId="16" xfId="0" applyNumberFormat="1" applyFont="1" applyFill="1" applyBorder="1" applyAlignment="1">
      <alignment horizontal="center"/>
    </xf>
    <xf numFmtId="0" fontId="6" fillId="0" borderId="0" xfId="0" applyFont="1" applyBorder="1" applyProtection="1">
      <protection locked="0"/>
    </xf>
    <xf numFmtId="0" fontId="21" fillId="0" borderId="0" xfId="0" applyFont="1" applyFill="1" applyBorder="1"/>
    <xf numFmtId="172" fontId="6" fillId="0" borderId="2" xfId="0" applyNumberFormat="1" applyFont="1" applyFill="1" applyBorder="1"/>
    <xf numFmtId="10" fontId="13" fillId="0" borderId="0" xfId="0" applyNumberFormat="1" applyFont="1" applyFill="1" applyBorder="1" applyAlignment="1">
      <alignment horizontal="center"/>
    </xf>
    <xf numFmtId="0" fontId="6" fillId="0" borderId="0" xfId="0" applyFont="1" applyBorder="1" applyAlignment="1">
      <alignment horizontal="center" wrapText="1"/>
    </xf>
    <xf numFmtId="181" fontId="6" fillId="0" borderId="0" xfId="0" applyNumberFormat="1" applyFont="1" applyBorder="1" applyAlignment="1">
      <alignment horizontal="center" wrapText="1"/>
    </xf>
    <xf numFmtId="173" fontId="13" fillId="0" borderId="4" xfId="0" applyNumberFormat="1" applyFont="1" applyFill="1" applyBorder="1"/>
    <xf numFmtId="182" fontId="6" fillId="0" borderId="0" xfId="0" applyNumberFormat="1" applyFont="1" applyBorder="1"/>
    <xf numFmtId="178" fontId="6" fillId="0" borderId="0" xfId="0" applyNumberFormat="1" applyFont="1" applyFill="1" applyBorder="1"/>
    <xf numFmtId="183" fontId="6" fillId="0" borderId="0" xfId="0" applyNumberFormat="1" applyFont="1" applyFill="1" applyBorder="1"/>
    <xf numFmtId="42" fontId="6" fillId="0" borderId="0" xfId="0" applyNumberFormat="1" applyFont="1" applyBorder="1" applyAlignment="1">
      <alignment horizontal="right"/>
    </xf>
    <xf numFmtId="0" fontId="6" fillId="0" borderId="5" xfId="0" applyFont="1" applyBorder="1" applyProtection="1">
      <protection locked="0"/>
    </xf>
    <xf numFmtId="9" fontId="6" fillId="0" borderId="0" xfId="0" applyNumberFormat="1" applyFont="1" applyFill="1" applyBorder="1"/>
    <xf numFmtId="0" fontId="6" fillId="0" borderId="8" xfId="0" applyFont="1" applyBorder="1"/>
    <xf numFmtId="0" fontId="6" fillId="0" borderId="9" xfId="0" applyFont="1" applyBorder="1" applyProtection="1">
      <protection locked="0"/>
    </xf>
    <xf numFmtId="0" fontId="6" fillId="0" borderId="9" xfId="0" applyFont="1" applyFill="1" applyBorder="1"/>
    <xf numFmtId="180" fontId="6" fillId="0" borderId="9" xfId="0" applyNumberFormat="1" applyFont="1" applyFill="1" applyBorder="1" applyAlignment="1">
      <alignment horizontal="center"/>
    </xf>
    <xf numFmtId="172" fontId="6" fillId="0" borderId="9" xfId="0" applyNumberFormat="1" applyFont="1" applyFill="1" applyBorder="1" applyAlignment="1">
      <alignment horizontal="center"/>
    </xf>
    <xf numFmtId="9" fontId="6" fillId="0" borderId="9" xfId="0" applyNumberFormat="1" applyFont="1" applyFill="1" applyBorder="1"/>
    <xf numFmtId="172" fontId="6" fillId="0" borderId="9" xfId="0" applyNumberFormat="1" applyFont="1" applyFill="1" applyBorder="1"/>
    <xf numFmtId="172" fontId="6" fillId="0" borderId="9" xfId="0" applyNumberFormat="1" applyFont="1" applyBorder="1"/>
    <xf numFmtId="164" fontId="6" fillId="0" borderId="10" xfId="0" applyNumberFormat="1" applyFont="1" applyBorder="1"/>
    <xf numFmtId="172" fontId="6" fillId="0" borderId="0" xfId="0" applyNumberFormat="1" applyFont="1" applyBorder="1" applyAlignment="1">
      <alignment horizontal="right"/>
    </xf>
    <xf numFmtId="164" fontId="6" fillId="0" borderId="0" xfId="0" applyNumberFormat="1" applyFont="1" applyBorder="1"/>
    <xf numFmtId="0" fontId="12" fillId="0" borderId="11" xfId="0" applyFont="1" applyFill="1" applyBorder="1" applyProtection="1">
      <protection locked="0"/>
    </xf>
    <xf numFmtId="0" fontId="6" fillId="0" borderId="5" xfId="0" applyFont="1" applyFill="1" applyBorder="1" applyProtection="1">
      <protection locked="0"/>
    </xf>
    <xf numFmtId="182" fontId="20" fillId="0" borderId="0" xfId="0" applyNumberFormat="1" applyFont="1" applyFill="1" applyBorder="1"/>
    <xf numFmtId="0" fontId="6" fillId="0" borderId="5" xfId="0" applyFont="1" applyFill="1" applyBorder="1"/>
    <xf numFmtId="180" fontId="13" fillId="0" borderId="0" xfId="0" applyNumberFormat="1" applyFont="1" applyFill="1" applyBorder="1"/>
    <xf numFmtId="182" fontId="13" fillId="0" borderId="0" xfId="0" applyNumberFormat="1" applyFont="1" applyFill="1" applyBorder="1"/>
    <xf numFmtId="0" fontId="0" fillId="0" borderId="12" xfId="0" applyFont="1" applyFill="1" applyBorder="1" applyAlignment="1">
      <alignment horizontal="center"/>
    </xf>
    <xf numFmtId="0" fontId="6" fillId="0" borderId="5" xfId="0" applyFont="1" applyFill="1" applyBorder="1"/>
    <xf numFmtId="3" fontId="6" fillId="0" borderId="0" xfId="0" applyNumberFormat="1" applyFont="1" applyFill="1" applyBorder="1" applyProtection="1">
      <protection locked="0"/>
    </xf>
    <xf numFmtId="174" fontId="6" fillId="0" borderId="13" xfId="0" applyNumberFormat="1" applyFont="1" applyBorder="1"/>
    <xf numFmtId="172" fontId="26" fillId="0" borderId="13" xfId="0" applyNumberFormat="1" applyFont="1" applyFill="1" applyBorder="1" applyAlignment="1">
      <alignment horizontal="center"/>
    </xf>
    <xf numFmtId="172" fontId="6" fillId="0" borderId="15" xfId="0" applyNumberFormat="1" applyFont="1" applyFill="1" applyBorder="1" applyAlignment="1">
      <alignment horizontal="center"/>
    </xf>
    <xf numFmtId="180" fontId="6" fillId="0" borderId="0" xfId="0" applyNumberFormat="1" applyFont="1" applyFill="1" applyBorder="1"/>
    <xf numFmtId="174" fontId="6" fillId="0" borderId="13" xfId="0" applyNumberFormat="1" applyFont="1" applyBorder="1" applyAlignment="1">
      <alignment horizontal="center"/>
    </xf>
    <xf numFmtId="172" fontId="6" fillId="0" borderId="10" xfId="0" applyNumberFormat="1" applyFont="1" applyFill="1" applyBorder="1" applyAlignment="1">
      <alignment horizontal="center"/>
    </xf>
    <xf numFmtId="173" fontId="13" fillId="0" borderId="2" xfId="0" applyNumberFormat="1" applyFont="1" applyFill="1" applyBorder="1" applyAlignment="1">
      <alignment horizontal="center"/>
    </xf>
    <xf numFmtId="172" fontId="6" fillId="0" borderId="0" xfId="0" applyNumberFormat="1" applyFont="1" applyBorder="1" applyAlignment="1">
      <alignment horizontal="center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Font="1" applyFill="1"/>
    <xf numFmtId="181" fontId="6" fillId="0" borderId="0" xfId="0" applyNumberFormat="1" applyFont="1" applyFill="1"/>
    <xf numFmtId="185" fontId="6" fillId="0" borderId="0" xfId="0" applyNumberFormat="1" applyFont="1"/>
    <xf numFmtId="182" fontId="6" fillId="0" borderId="0" xfId="0" applyNumberFormat="1" applyFont="1" applyFill="1" applyBorder="1"/>
    <xf numFmtId="172" fontId="6" fillId="0" borderId="0" xfId="0" applyNumberFormat="1" applyFont="1" applyBorder="1"/>
    <xf numFmtId="182" fontId="6" fillId="0" borderId="0" xfId="0" applyNumberFormat="1" applyFont="1" applyFill="1" applyBorder="1" applyAlignment="1">
      <alignment horizontal="center"/>
    </xf>
    <xf numFmtId="3" fontId="21" fillId="0" borderId="0" xfId="0" applyNumberFormat="1" applyFont="1" applyBorder="1"/>
    <xf numFmtId="164" fontId="6" fillId="0" borderId="13" xfId="0" applyNumberFormat="1" applyFont="1" applyFill="1" applyBorder="1"/>
    <xf numFmtId="164" fontId="6" fillId="0" borderId="0" xfId="0" applyNumberFormat="1" applyFont="1" applyFill="1" applyBorder="1" applyAlignment="1">
      <alignment horizontal="left"/>
    </xf>
    <xf numFmtId="174" fontId="6" fillId="0" borderId="0" xfId="0" applyNumberFormat="1" applyFont="1" applyFill="1" applyBorder="1"/>
    <xf numFmtId="0" fontId="6" fillId="0" borderId="0" xfId="0" applyFont="1" applyFill="1" applyBorder="1"/>
    <xf numFmtId="0" fontId="6" fillId="0" borderId="0" xfId="0" applyFont="1" applyFill="1"/>
    <xf numFmtId="165" fontId="21" fillId="0" borderId="0" xfId="0" applyNumberFormat="1" applyFont="1" applyBorder="1"/>
    <xf numFmtId="165" fontId="21" fillId="0" borderId="0" xfId="0" applyNumberFormat="1" applyFont="1" applyFill="1" applyBorder="1"/>
    <xf numFmtId="181" fontId="6" fillId="0" borderId="0" xfId="0" applyNumberFormat="1" applyFont="1" applyFill="1"/>
    <xf numFmtId="172" fontId="6" fillId="0" borderId="2" xfId="0" applyNumberFormat="1" applyFont="1" applyBorder="1" applyAlignment="1">
      <alignment horizontal="right"/>
    </xf>
    <xf numFmtId="182" fontId="6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center"/>
    </xf>
    <xf numFmtId="181" fontId="6" fillId="0" borderId="0" xfId="0" applyNumberFormat="1" applyFont="1" applyFill="1" applyAlignment="1">
      <alignment horizontal="center"/>
    </xf>
    <xf numFmtId="0" fontId="21" fillId="0" borderId="0" xfId="0" applyFont="1" applyBorder="1"/>
    <xf numFmtId="180" fontId="6" fillId="0" borderId="0" xfId="0" applyNumberFormat="1" applyFont="1" applyFill="1" applyAlignment="1">
      <alignment horizontal="center"/>
    </xf>
    <xf numFmtId="2" fontId="6" fillId="0" borderId="0" xfId="0" applyNumberFormat="1" applyFont="1" applyFill="1"/>
    <xf numFmtId="0" fontId="6" fillId="0" borderId="5" xfId="0" applyFont="1" applyBorder="1" applyProtection="1">
      <protection locked="0"/>
    </xf>
    <xf numFmtId="180" fontId="6" fillId="0" borderId="0" xfId="0" applyNumberFormat="1" applyFont="1" applyBorder="1"/>
    <xf numFmtId="0" fontId="6" fillId="0" borderId="8" xfId="0" applyFont="1" applyFill="1" applyBorder="1"/>
    <xf numFmtId="164" fontId="6" fillId="0" borderId="10" xfId="0" applyNumberFormat="1" applyFont="1" applyFill="1" applyBorder="1"/>
    <xf numFmtId="172" fontId="6" fillId="0" borderId="0" xfId="0" applyNumberFormat="1" applyFont="1" applyFill="1" applyBorder="1" applyAlignment="1">
      <alignment horizontal="center"/>
    </xf>
    <xf numFmtId="164" fontId="6" fillId="0" borderId="0" xfId="0" applyNumberFormat="1" applyFont="1" applyFill="1" applyBorder="1"/>
    <xf numFmtId="0" fontId="6" fillId="0" borderId="0" xfId="0" applyFont="1" applyFill="1" applyBorder="1" applyProtection="1">
      <protection locked="0"/>
    </xf>
    <xf numFmtId="180" fontId="6" fillId="0" borderId="0" xfId="0" applyNumberFormat="1" applyFont="1" applyFill="1" applyBorder="1"/>
    <xf numFmtId="165" fontId="20" fillId="0" borderId="0" xfId="0" applyNumberFormat="1" applyFont="1" applyFill="1" applyBorder="1"/>
    <xf numFmtId="8" fontId="6" fillId="0" borderId="0" xfId="0" applyNumberFormat="1" applyFont="1" applyBorder="1"/>
    <xf numFmtId="3" fontId="13" fillId="0" borderId="0" xfId="0" applyNumberFormat="1" applyFont="1" applyFill="1" applyBorder="1"/>
    <xf numFmtId="8" fontId="6" fillId="0" borderId="0" xfId="0" applyNumberFormat="1" applyFont="1" applyBorder="1"/>
    <xf numFmtId="0" fontId="6" fillId="0" borderId="5" xfId="0" applyFont="1" applyBorder="1"/>
    <xf numFmtId="3" fontId="6" fillId="0" borderId="9" xfId="0" applyNumberFormat="1" applyFont="1" applyFill="1" applyBorder="1"/>
    <xf numFmtId="165" fontId="13" fillId="0" borderId="0" xfId="0" applyNumberFormat="1" applyFont="1" applyBorder="1"/>
    <xf numFmtId="0" fontId="6" fillId="0" borderId="9" xfId="0" applyFont="1" applyFill="1" applyBorder="1"/>
    <xf numFmtId="172" fontId="6" fillId="0" borderId="9" xfId="0" applyNumberFormat="1" applyFont="1" applyFill="1" applyBorder="1"/>
    <xf numFmtId="172" fontId="6" fillId="0" borderId="0" xfId="0" applyNumberFormat="1" applyFont="1" applyFill="1" applyBorder="1"/>
    <xf numFmtId="172" fontId="6" fillId="0" borderId="0" xfId="0" applyNumberFormat="1" applyFont="1"/>
    <xf numFmtId="3" fontId="6" fillId="0" borderId="0" xfId="0" applyNumberFormat="1" applyFont="1" applyFill="1"/>
    <xf numFmtId="164" fontId="6" fillId="0" borderId="0" xfId="0" applyNumberFormat="1" applyFont="1"/>
    <xf numFmtId="0" fontId="12" fillId="0" borderId="0" xfId="0" applyFont="1"/>
    <xf numFmtId="182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181" fontId="6" fillId="0" borderId="0" xfId="0" applyNumberFormat="1" applyFont="1" applyAlignment="1">
      <alignment horizontal="center"/>
    </xf>
    <xf numFmtId="172" fontId="6" fillId="0" borderId="9" xfId="0" applyNumberFormat="1" applyFont="1" applyBorder="1" applyAlignment="1">
      <alignment horizontal="center"/>
    </xf>
    <xf numFmtId="3" fontId="6" fillId="0" borderId="0" xfId="0" applyNumberFormat="1" applyFont="1"/>
    <xf numFmtId="185" fontId="6" fillId="0" borderId="0" xfId="0" applyNumberFormat="1" applyFont="1" applyFill="1"/>
    <xf numFmtId="164" fontId="6" fillId="0" borderId="0" xfId="0" applyNumberFormat="1" applyFont="1" applyAlignment="1">
      <alignment horizontal="left"/>
    </xf>
    <xf numFmtId="174" fontId="6" fillId="0" borderId="0" xfId="0" applyNumberFormat="1" applyFont="1"/>
    <xf numFmtId="0" fontId="6" fillId="0" borderId="0" xfId="0" applyFont="1"/>
    <xf numFmtId="185" fontId="6" fillId="0" borderId="0" xfId="0" applyNumberFormat="1" applyFont="1" applyBorder="1"/>
    <xf numFmtId="185" fontId="6" fillId="0" borderId="0" xfId="0" applyNumberFormat="1" applyFont="1" applyAlignment="1">
      <alignment horizontal="left"/>
    </xf>
    <xf numFmtId="185" fontId="6" fillId="0" borderId="2" xfId="0" applyNumberFormat="1" applyFont="1" applyBorder="1"/>
    <xf numFmtId="3" fontId="6" fillId="0" borderId="2" xfId="0" applyNumberFormat="1" applyFont="1" applyBorder="1"/>
    <xf numFmtId="180" fontId="6" fillId="0" borderId="0" xfId="0" applyNumberFormat="1" applyFont="1"/>
    <xf numFmtId="182" fontId="6" fillId="0" borderId="0" xfId="0" applyNumberFormat="1" applyFont="1" applyAlignment="1">
      <alignment horizontal="centerContinuous"/>
    </xf>
    <xf numFmtId="3" fontId="6" fillId="0" borderId="0" xfId="0" applyNumberFormat="1" applyFont="1" applyFill="1" applyBorder="1" applyAlignment="1">
      <alignment horizontal="centerContinuous"/>
    </xf>
    <xf numFmtId="180" fontId="6" fillId="0" borderId="0" xfId="0" applyNumberFormat="1" applyFont="1" applyFill="1" applyAlignment="1">
      <alignment horizontal="centerContinuous"/>
    </xf>
    <xf numFmtId="0" fontId="15" fillId="0" borderId="0" xfId="0" applyFont="1" applyBorder="1" applyAlignment="1">
      <alignment horizontal="left"/>
    </xf>
    <xf numFmtId="174" fontId="6" fillId="0" borderId="0" xfId="0" applyNumberFormat="1" applyFont="1" applyBorder="1" applyAlignment="1">
      <alignment horizontal="right"/>
    </xf>
    <xf numFmtId="3" fontId="6" fillId="0" borderId="2" xfId="0" applyNumberFormat="1" applyFont="1" applyFill="1" applyBorder="1" applyAlignment="1">
      <alignment horizontal="center"/>
    </xf>
    <xf numFmtId="180" fontId="6" fillId="0" borderId="3" xfId="0" applyNumberFormat="1" applyFont="1" applyFill="1" applyBorder="1" applyAlignment="1">
      <alignment horizontal="centerContinuous"/>
    </xf>
    <xf numFmtId="3" fontId="6" fillId="0" borderId="9" xfId="0" applyNumberFormat="1" applyFont="1" applyBorder="1" applyAlignment="1">
      <alignment horizontal="center"/>
    </xf>
    <xf numFmtId="3" fontId="6" fillId="0" borderId="9" xfId="0" applyNumberFormat="1" applyFont="1" applyFill="1" applyBorder="1" applyAlignment="1">
      <alignment horizontal="center"/>
    </xf>
    <xf numFmtId="182" fontId="6" fillId="0" borderId="9" xfId="0" applyNumberFormat="1" applyFont="1" applyBorder="1" applyAlignment="1">
      <alignment horizontal="center"/>
    </xf>
    <xf numFmtId="174" fontId="6" fillId="0" borderId="10" xfId="0" applyNumberFormat="1" applyFont="1" applyBorder="1" applyAlignment="1">
      <alignment horizontal="center"/>
    </xf>
    <xf numFmtId="174" fontId="6" fillId="0" borderId="13" xfId="0" applyNumberFormat="1" applyFont="1" applyBorder="1" applyAlignment="1">
      <alignment horizontal="right"/>
    </xf>
    <xf numFmtId="0" fontId="6" fillId="0" borderId="2" xfId="0" applyFont="1" applyBorder="1" applyProtection="1">
      <protection locked="0"/>
    </xf>
    <xf numFmtId="182" fontId="6" fillId="0" borderId="2" xfId="0" applyNumberFormat="1" applyFont="1" applyBorder="1"/>
    <xf numFmtId="3" fontId="6" fillId="0" borderId="2" xfId="0" applyNumberFormat="1" applyFont="1" applyFill="1" applyBorder="1" applyProtection="1">
      <protection locked="0"/>
    </xf>
    <xf numFmtId="180" fontId="6" fillId="0" borderId="2" xfId="0" applyNumberFormat="1" applyFont="1" applyFill="1" applyBorder="1"/>
    <xf numFmtId="180" fontId="6" fillId="0" borderId="2" xfId="0" applyNumberFormat="1" applyFont="1" applyBorder="1" applyAlignment="1">
      <alignment horizontal="right"/>
    </xf>
    <xf numFmtId="164" fontId="6" fillId="0" borderId="12" xfId="0" applyNumberFormat="1" applyFont="1" applyBorder="1" applyAlignment="1">
      <alignment horizontal="right"/>
    </xf>
    <xf numFmtId="164" fontId="6" fillId="0" borderId="13" xfId="0" applyNumberFormat="1" applyFont="1" applyBorder="1" applyAlignment="1">
      <alignment horizontal="right"/>
    </xf>
    <xf numFmtId="0" fontId="6" fillId="0" borderId="0" xfId="0" applyFont="1" applyBorder="1" applyProtection="1">
      <protection locked="0"/>
    </xf>
    <xf numFmtId="174" fontId="6" fillId="0" borderId="0" xfId="0" applyNumberFormat="1" applyFont="1" applyBorder="1" applyAlignment="1">
      <alignment horizontal="left"/>
    </xf>
    <xf numFmtId="172" fontId="6" fillId="0" borderId="16" xfId="0" applyNumberFormat="1" applyFont="1" applyBorder="1" applyAlignment="1">
      <alignment horizontal="center"/>
    </xf>
    <xf numFmtId="172" fontId="21" fillId="0" borderId="0" xfId="0" applyNumberFormat="1" applyFont="1" applyFill="1" applyBorder="1" applyAlignment="1">
      <alignment horizontal="right"/>
    </xf>
    <xf numFmtId="10" fontId="6" fillId="0" borderId="0" xfId="0" applyNumberFormat="1" applyFont="1" applyBorder="1" applyAlignment="1">
      <alignment horizontal="center"/>
    </xf>
    <xf numFmtId="9" fontId="13" fillId="0" borderId="0" xfId="0" applyNumberFormat="1" applyFont="1" applyFill="1" applyBorder="1"/>
    <xf numFmtId="164" fontId="6" fillId="0" borderId="12" xfId="0" applyNumberFormat="1" applyFont="1" applyFill="1" applyBorder="1" applyAlignment="1">
      <alignment horizontal="right"/>
    </xf>
    <xf numFmtId="182" fontId="6" fillId="0" borderId="0" xfId="0" applyNumberFormat="1" applyFont="1" applyFill="1" applyAlignment="1">
      <alignment horizontal="center"/>
    </xf>
    <xf numFmtId="180" fontId="6" fillId="0" borderId="0" xfId="0" applyNumberFormat="1" applyFont="1" applyAlignment="1">
      <alignment horizontal="center"/>
    </xf>
    <xf numFmtId="3" fontId="6" fillId="0" borderId="0" xfId="0" applyNumberFormat="1" applyFont="1" applyFill="1" applyBorder="1" applyAlignment="1">
      <alignment horizontal="right"/>
    </xf>
    <xf numFmtId="3" fontId="6" fillId="0" borderId="0" xfId="0" applyNumberFormat="1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left"/>
    </xf>
    <xf numFmtId="0" fontId="6" fillId="0" borderId="9" xfId="0" applyFont="1" applyBorder="1"/>
    <xf numFmtId="3" fontId="6" fillId="0" borderId="9" xfId="0" applyNumberFormat="1" applyFont="1" applyFill="1" applyBorder="1"/>
    <xf numFmtId="182" fontId="6" fillId="0" borderId="9" xfId="0" applyNumberFormat="1" applyFont="1" applyBorder="1"/>
    <xf numFmtId="180" fontId="6" fillId="0" borderId="9" xfId="0" applyNumberFormat="1" applyFont="1" applyFill="1" applyBorder="1"/>
    <xf numFmtId="180" fontId="6" fillId="0" borderId="9" xfId="0" applyNumberFormat="1" applyFont="1" applyBorder="1" applyAlignment="1">
      <alignment horizontal="right"/>
    </xf>
    <xf numFmtId="172" fontId="6" fillId="0" borderId="0" xfId="0" applyNumberFormat="1" applyFont="1" applyFill="1" applyBorder="1" applyAlignment="1">
      <alignment horizontal="right"/>
    </xf>
    <xf numFmtId="180" fontId="6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Protection="1">
      <protection locked="0"/>
    </xf>
    <xf numFmtId="172" fontId="21" fillId="0" borderId="0" xfId="0" applyNumberFormat="1" applyFont="1" applyBorder="1" applyAlignment="1">
      <alignment horizontal="right"/>
    </xf>
    <xf numFmtId="172" fontId="6" fillId="0" borderId="0" xfId="0" applyNumberFormat="1" applyFont="1" applyBorder="1" applyAlignment="1">
      <alignment horizontal="right"/>
    </xf>
    <xf numFmtId="180" fontId="21" fillId="0" borderId="0" xfId="0" applyNumberFormat="1" applyFont="1" applyBorder="1"/>
    <xf numFmtId="172" fontId="6" fillId="0" borderId="0" xfId="0" applyNumberFormat="1" applyFont="1" applyFill="1" applyBorder="1" applyProtection="1">
      <protection locked="0"/>
    </xf>
    <xf numFmtId="172" fontId="6" fillId="0" borderId="9" xfId="0" applyNumberFormat="1" applyFont="1" applyBorder="1" applyAlignment="1">
      <alignment horizontal="right"/>
    </xf>
    <xf numFmtId="164" fontId="6" fillId="0" borderId="13" xfId="0" applyNumberFormat="1" applyFont="1" applyFill="1" applyBorder="1" applyAlignment="1">
      <alignment horizontal="right"/>
    </xf>
    <xf numFmtId="174" fontId="6" fillId="0" borderId="0" xfId="0" applyNumberFormat="1" applyFont="1" applyFill="1" applyBorder="1" applyAlignment="1">
      <alignment horizontal="left"/>
    </xf>
    <xf numFmtId="172" fontId="6" fillId="0" borderId="0" xfId="0" applyNumberFormat="1" applyFont="1" applyFill="1" applyBorder="1" applyAlignment="1">
      <alignment horizontal="right"/>
    </xf>
    <xf numFmtId="172" fontId="6" fillId="0" borderId="2" xfId="0" applyNumberFormat="1" applyFont="1" applyFill="1" applyBorder="1" applyAlignment="1">
      <alignment horizontal="right"/>
    </xf>
    <xf numFmtId="164" fontId="6" fillId="0" borderId="13" xfId="0" applyNumberFormat="1" applyFont="1" applyFill="1" applyBorder="1" applyAlignment="1">
      <alignment horizontal="right"/>
    </xf>
    <xf numFmtId="182" fontId="6" fillId="0" borderId="9" xfId="0" applyNumberFormat="1" applyFont="1" applyFill="1" applyBorder="1"/>
    <xf numFmtId="172" fontId="6" fillId="0" borderId="9" xfId="0" applyNumberFormat="1" applyFont="1" applyFill="1" applyBorder="1" applyAlignment="1">
      <alignment horizontal="right"/>
    </xf>
    <xf numFmtId="180" fontId="6" fillId="0" borderId="9" xfId="0" applyNumberFormat="1" applyFont="1" applyFill="1" applyBorder="1" applyAlignment="1">
      <alignment horizontal="right"/>
    </xf>
    <xf numFmtId="174" fontId="6" fillId="0" borderId="13" xfId="0" applyNumberFormat="1" applyFont="1" applyBorder="1" applyAlignment="1">
      <alignment horizontal="left"/>
    </xf>
    <xf numFmtId="0" fontId="0" fillId="0" borderId="13" xfId="0" applyFont="1" applyBorder="1" applyAlignment="1">
      <alignment horizontal="center"/>
    </xf>
    <xf numFmtId="180" fontId="13" fillId="0" borderId="0" xfId="0" applyNumberFormat="1" applyFont="1" applyBorder="1" applyAlignment="1">
      <alignment horizontal="right"/>
    </xf>
    <xf numFmtId="182" fontId="6" fillId="0" borderId="0" xfId="0" applyNumberFormat="1" applyFont="1" applyBorder="1" applyAlignment="1">
      <alignment horizontal="center"/>
    </xf>
    <xf numFmtId="182" fontId="21" fillId="0" borderId="0" xfId="0" applyNumberFormat="1" applyFont="1" applyBorder="1"/>
    <xf numFmtId="182" fontId="6" fillId="0" borderId="9" xfId="0" applyNumberFormat="1" applyFont="1" applyFill="1" applyBorder="1" applyAlignment="1">
      <alignment horizontal="right"/>
    </xf>
    <xf numFmtId="164" fontId="6" fillId="0" borderId="10" xfId="0" applyNumberFormat="1" applyFont="1" applyBorder="1" applyAlignment="1">
      <alignment horizontal="right"/>
    </xf>
    <xf numFmtId="182" fontId="6" fillId="0" borderId="0" xfId="0" applyNumberFormat="1" applyFont="1" applyFill="1" applyBorder="1" applyAlignment="1">
      <alignment horizontal="right"/>
    </xf>
    <xf numFmtId="164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6" fillId="0" borderId="12" xfId="0" applyFont="1" applyBorder="1" applyAlignment="1">
      <alignment horizontal="center"/>
    </xf>
    <xf numFmtId="172" fontId="26" fillId="0" borderId="13" xfId="0" applyNumberFormat="1" applyFont="1" applyBorder="1" applyAlignment="1">
      <alignment horizontal="center"/>
    </xf>
    <xf numFmtId="172" fontId="6" fillId="0" borderId="13" xfId="0" applyNumberFormat="1" applyFont="1" applyBorder="1" applyAlignment="1">
      <alignment horizontal="center"/>
    </xf>
    <xf numFmtId="174" fontId="6" fillId="0" borderId="13" xfId="0" applyNumberFormat="1" applyFont="1" applyBorder="1" applyAlignment="1">
      <alignment horizontal="left"/>
    </xf>
    <xf numFmtId="172" fontId="6" fillId="0" borderId="10" xfId="0" applyNumberFormat="1" applyFont="1" applyBorder="1" applyAlignment="1">
      <alignment horizontal="center"/>
    </xf>
    <xf numFmtId="4" fontId="6" fillId="0" borderId="0" xfId="0" applyNumberFormat="1" applyFont="1" applyBorder="1" applyAlignment="1">
      <alignment horizontal="center"/>
    </xf>
    <xf numFmtId="3" fontId="6" fillId="0" borderId="0" xfId="0" applyNumberFormat="1" applyFont="1" applyBorder="1" applyAlignment="1">
      <alignment horizontal="center"/>
    </xf>
    <xf numFmtId="186" fontId="6" fillId="0" borderId="0" xfId="0" applyNumberFormat="1" applyFont="1" applyFill="1" applyBorder="1" applyAlignment="1">
      <alignment horizontal="center"/>
    </xf>
    <xf numFmtId="172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3" fontId="6" fillId="0" borderId="2" xfId="0" applyNumberFormat="1" applyFont="1" applyFill="1" applyBorder="1"/>
    <xf numFmtId="164" fontId="6" fillId="0" borderId="0" xfId="0" applyNumberFormat="1" applyFont="1" applyBorder="1"/>
    <xf numFmtId="173" fontId="13" fillId="0" borderId="0" xfId="0" applyNumberFormat="1" applyFont="1" applyFill="1" applyBorder="1"/>
    <xf numFmtId="172" fontId="6" fillId="0" borderId="13" xfId="0" applyNumberFormat="1" applyFont="1" applyBorder="1" applyAlignment="1">
      <alignment horizontal="right"/>
    </xf>
    <xf numFmtId="0" fontId="6" fillId="0" borderId="2" xfId="0" applyFont="1" applyFill="1" applyBorder="1" applyProtection="1">
      <protection locked="0"/>
    </xf>
    <xf numFmtId="182" fontId="6" fillId="0" borderId="2" xfId="0" applyNumberFormat="1" applyFont="1" applyFill="1" applyBorder="1"/>
    <xf numFmtId="180" fontId="6" fillId="0" borderId="2" xfId="0" applyNumberFormat="1" applyFont="1" applyFill="1" applyBorder="1" applyAlignment="1">
      <alignment horizontal="right"/>
    </xf>
    <xf numFmtId="164" fontId="6" fillId="0" borderId="13" xfId="0" applyNumberFormat="1" applyFont="1" applyFill="1" applyBorder="1" applyAlignment="1">
      <alignment horizontal="center"/>
    </xf>
    <xf numFmtId="172" fontId="13" fillId="0" borderId="0" xfId="0" applyNumberFormat="1" applyFont="1" applyFill="1" applyBorder="1" applyAlignment="1">
      <alignment horizontal="right"/>
    </xf>
    <xf numFmtId="164" fontId="6" fillId="0" borderId="12" xfId="0" applyNumberFormat="1" applyFont="1" applyFill="1" applyBorder="1"/>
    <xf numFmtId="180" fontId="6" fillId="0" borderId="9" xfId="0" applyNumberFormat="1" applyFont="1" applyBorder="1"/>
    <xf numFmtId="5" fontId="6" fillId="0" borderId="0" xfId="0" applyNumberFormat="1" applyFont="1" applyBorder="1"/>
    <xf numFmtId="5" fontId="6" fillId="0" borderId="0" xfId="0" applyNumberFormat="1" applyFont="1" applyFill="1" applyBorder="1"/>
    <xf numFmtId="5" fontId="6" fillId="0" borderId="2" xfId="0" applyNumberFormat="1" applyFont="1" applyBorder="1"/>
    <xf numFmtId="5" fontId="6" fillId="0" borderId="0" xfId="0" applyNumberFormat="1" applyFont="1"/>
    <xf numFmtId="5" fontId="6" fillId="0" borderId="0" xfId="0" applyNumberFormat="1" applyFont="1" applyFill="1" applyBorder="1" applyAlignment="1">
      <alignment horizontal="center"/>
    </xf>
    <xf numFmtId="5" fontId="6" fillId="0" borderId="0" xfId="0" applyNumberFormat="1" applyFont="1" applyFill="1"/>
    <xf numFmtId="174" fontId="6" fillId="0" borderId="0" xfId="0" applyNumberFormat="1" applyFont="1" applyAlignment="1">
      <alignment horizontal="right"/>
    </xf>
    <xf numFmtId="180" fontId="6" fillId="0" borderId="0" xfId="0" applyNumberFormat="1" applyFont="1"/>
    <xf numFmtId="3" fontId="26" fillId="0" borderId="0" xfId="0" applyNumberFormat="1" applyFont="1"/>
    <xf numFmtId="5" fontId="26" fillId="0" borderId="0" xfId="0" applyNumberFormat="1" applyFont="1"/>
    <xf numFmtId="5" fontId="6" fillId="0" borderId="0" xfId="0" applyNumberFormat="1" applyFont="1"/>
    <xf numFmtId="164" fontId="6" fillId="0" borderId="0" xfId="0" applyNumberFormat="1" applyFont="1" applyAlignment="1">
      <alignment horizontal="right"/>
    </xf>
    <xf numFmtId="3" fontId="26" fillId="0" borderId="0" xfId="0" applyNumberFormat="1" applyFont="1" applyFill="1"/>
    <xf numFmtId="41" fontId="26" fillId="0" borderId="0" xfId="0" applyNumberFormat="1" applyFont="1"/>
    <xf numFmtId="5" fontId="6" fillId="0" borderId="2" xfId="0" applyNumberFormat="1" applyFont="1" applyBorder="1"/>
    <xf numFmtId="180" fontId="6" fillId="0" borderId="0" xfId="0" applyNumberFormat="1" applyFont="1" applyFill="1"/>
    <xf numFmtId="42" fontId="26" fillId="0" borderId="0" xfId="0" applyNumberFormat="1" applyFont="1"/>
    <xf numFmtId="3" fontId="6" fillId="0" borderId="0" xfId="0" applyNumberFormat="1" applyFont="1" applyFill="1"/>
    <xf numFmtId="182" fontId="6" fillId="0" borderId="0" xfId="0" applyNumberFormat="1" applyFont="1"/>
    <xf numFmtId="180" fontId="6" fillId="0" borderId="0" xfId="0" applyNumberFormat="1" applyFont="1" applyFill="1"/>
    <xf numFmtId="0" fontId="6" fillId="0" borderId="0" xfId="0" applyFont="1" applyFill="1" applyBorder="1" applyAlignment="1"/>
    <xf numFmtId="0" fontId="12" fillId="0" borderId="0" xfId="0" applyFont="1" applyFill="1" applyBorder="1" applyAlignment="1">
      <alignment horizontal="centerContinuous"/>
    </xf>
    <xf numFmtId="0" fontId="6" fillId="0" borderId="0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wrapText="1"/>
    </xf>
    <xf numFmtId="0" fontId="6" fillId="0" borderId="0" xfId="0" applyFont="1" applyFill="1" applyAlignment="1">
      <alignment horizontal="right"/>
    </xf>
    <xf numFmtId="168" fontId="21" fillId="0" borderId="0" xfId="0" applyNumberFormat="1" applyFont="1" applyBorder="1"/>
    <xf numFmtId="44" fontId="21" fillId="0" borderId="0" xfId="0" applyNumberFormat="1" applyFont="1"/>
    <xf numFmtId="169" fontId="6" fillId="0" borderId="0" xfId="0" applyNumberFormat="1" applyFont="1" applyFill="1"/>
    <xf numFmtId="44" fontId="6" fillId="0" borderId="0" xfId="0" applyNumberFormat="1" applyFont="1" applyFill="1" applyBorder="1"/>
    <xf numFmtId="42" fontId="6" fillId="0" borderId="0" xfId="0" applyNumberFormat="1" applyFont="1" applyFill="1"/>
    <xf numFmtId="44" fontId="6" fillId="0" borderId="0" xfId="0" applyNumberFormat="1" applyFont="1" applyFill="1"/>
    <xf numFmtId="44" fontId="13" fillId="0" borderId="0" xfId="0" applyNumberFormat="1" applyFont="1" applyFill="1" applyBorder="1"/>
    <xf numFmtId="44" fontId="6" fillId="0" borderId="0" xfId="0" applyNumberFormat="1" applyFont="1" applyFill="1" applyBorder="1"/>
    <xf numFmtId="41" fontId="6" fillId="0" borderId="0" xfId="0" applyNumberFormat="1" applyFont="1" applyFill="1"/>
    <xf numFmtId="9" fontId="6" fillId="0" borderId="0" xfId="0" applyNumberFormat="1" applyFont="1" applyFill="1" applyBorder="1"/>
    <xf numFmtId="44" fontId="6" fillId="0" borderId="14" xfId="0" applyNumberFormat="1" applyFont="1" applyFill="1" applyBorder="1" applyAlignment="1">
      <alignment horizontal="center"/>
    </xf>
    <xf numFmtId="169" fontId="26" fillId="0" borderId="15" xfId="0" applyNumberFormat="1" applyFont="1" applyFill="1" applyBorder="1"/>
    <xf numFmtId="44" fontId="6" fillId="0" borderId="15" xfId="0" applyNumberFormat="1" applyFont="1" applyFill="1" applyBorder="1" applyAlignment="1">
      <alignment horizontal="center"/>
    </xf>
    <xf numFmtId="169" fontId="6" fillId="0" borderId="16" xfId="0" applyNumberFormat="1" applyFont="1" applyFill="1" applyBorder="1"/>
    <xf numFmtId="169" fontId="6" fillId="0" borderId="2" xfId="0" applyNumberFormat="1" applyFont="1" applyFill="1" applyBorder="1"/>
    <xf numFmtId="42" fontId="6" fillId="0" borderId="2" xfId="0" applyNumberFormat="1" applyFont="1" applyFill="1" applyBorder="1"/>
    <xf numFmtId="169" fontId="6" fillId="0" borderId="0" xfId="0" applyNumberFormat="1" applyFont="1" applyFill="1" applyBorder="1"/>
    <xf numFmtId="9" fontId="6" fillId="0" borderId="0" xfId="0" applyNumberFormat="1" applyFont="1" applyFill="1" applyBorder="1"/>
    <xf numFmtId="0" fontId="6" fillId="0" borderId="0" xfId="0" applyFont="1" applyFill="1" applyBorder="1" applyAlignment="1">
      <alignment horizontal="right"/>
    </xf>
    <xf numFmtId="3" fontId="13" fillId="0" borderId="0" xfId="0" applyNumberFormat="1" applyFont="1" applyFill="1"/>
    <xf numFmtId="169" fontId="6" fillId="0" borderId="0" xfId="0" applyNumberFormat="1" applyFont="1" applyFill="1"/>
    <xf numFmtId="174" fontId="13" fillId="0" borderId="4" xfId="0" applyNumberFormat="1" applyFont="1" applyFill="1" applyBorder="1" applyAlignment="1">
      <alignment horizontal="right"/>
    </xf>
    <xf numFmtId="0" fontId="13" fillId="0" borderId="0" xfId="0" applyFont="1" applyFill="1" applyBorder="1" applyAlignment="1">
      <alignment horizontal="center"/>
    </xf>
    <xf numFmtId="169" fontId="6" fillId="0" borderId="0" xfId="0" applyNumberFormat="1" applyFont="1" applyFill="1" applyBorder="1" applyAlignment="1">
      <alignment horizontal="center"/>
    </xf>
    <xf numFmtId="44" fontId="6" fillId="0" borderId="0" xfId="0" applyNumberFormat="1" applyFont="1" applyFill="1" applyBorder="1" applyAlignment="1">
      <alignment horizontal="right"/>
    </xf>
    <xf numFmtId="10" fontId="6" fillId="0" borderId="0" xfId="0" applyNumberFormat="1" applyFont="1" applyFill="1" applyBorder="1"/>
    <xf numFmtId="10" fontId="6" fillId="0" borderId="0" xfId="0" applyNumberFormat="1" applyFont="1" applyFill="1"/>
    <xf numFmtId="0" fontId="19" fillId="0" borderId="9" xfId="0" applyFont="1" applyBorder="1" applyAlignment="1"/>
    <xf numFmtId="0" fontId="19" fillId="0" borderId="9" xfId="0" applyFont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19" fillId="0" borderId="9" xfId="0" applyFont="1" applyFill="1" applyBorder="1" applyAlignment="1">
      <alignment horizontal="center"/>
    </xf>
    <xf numFmtId="169" fontId="19" fillId="0" borderId="9" xfId="0" applyNumberFormat="1" applyFont="1" applyBorder="1"/>
    <xf numFmtId="166" fontId="3" fillId="0" borderId="0" xfId="0" applyNumberFormat="1" applyFont="1"/>
    <xf numFmtId="0" fontId="6" fillId="0" borderId="0" xfId="1" applyFont="1" applyAlignment="1">
      <alignment horizontal="centerContinuous"/>
    </xf>
    <xf numFmtId="0" fontId="6" fillId="0" borderId="0" xfId="1" applyFont="1"/>
    <xf numFmtId="0" fontId="12" fillId="0" borderId="0" xfId="1" applyFont="1" applyAlignment="1">
      <alignment horizontal="centerContinuous"/>
    </xf>
    <xf numFmtId="0" fontId="6" fillId="0" borderId="9" xfId="1" applyFont="1" applyBorder="1" applyAlignment="1">
      <alignment horizontal="center"/>
    </xf>
    <xf numFmtId="171" fontId="6" fillId="0" borderId="9" xfId="1" applyNumberFormat="1" applyFont="1" applyFill="1" applyBorder="1" applyAlignment="1">
      <alignment horizontal="center" wrapText="1"/>
    </xf>
    <xf numFmtId="0" fontId="6" fillId="0" borderId="9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/>
    </xf>
    <xf numFmtId="0" fontId="12" fillId="0" borderId="0" xfId="1" applyFont="1"/>
    <xf numFmtId="0" fontId="12" fillId="0" borderId="0" xfId="1" applyFont="1" applyAlignment="1">
      <alignment horizontal="right"/>
    </xf>
    <xf numFmtId="4" fontId="6" fillId="0" borderId="0" xfId="1" applyNumberFormat="1" applyFont="1"/>
    <xf numFmtId="0" fontId="6" fillId="0" borderId="0" xfId="1" applyFont="1" applyFill="1"/>
    <xf numFmtId="0" fontId="6" fillId="0" borderId="0" xfId="1" applyFont="1" applyFill="1" applyAlignment="1">
      <alignment horizontal="right"/>
    </xf>
    <xf numFmtId="3" fontId="20" fillId="0" borderId="0" xfId="1" applyNumberFormat="1" applyFont="1" applyFill="1"/>
    <xf numFmtId="3" fontId="6" fillId="0" borderId="0" xfId="1" applyNumberFormat="1" applyFont="1" applyFill="1"/>
    <xf numFmtId="9" fontId="6" fillId="0" borderId="0" xfId="1" applyNumberFormat="1" applyFont="1" applyFill="1"/>
    <xf numFmtId="164" fontId="6" fillId="0" borderId="0" xfId="1" applyNumberFormat="1" applyFont="1" applyFill="1"/>
    <xf numFmtId="0" fontId="6" fillId="0" borderId="0" xfId="1" applyFont="1" applyAlignment="1">
      <alignment horizontal="right"/>
    </xf>
    <xf numFmtId="0" fontId="6" fillId="0" borderId="0" xfId="1" applyFont="1" applyFill="1" applyBorder="1"/>
    <xf numFmtId="0" fontId="1" fillId="0" borderId="0" xfId="1" applyFont="1" applyFill="1" applyBorder="1" applyAlignment="1">
      <alignment horizontal="right"/>
    </xf>
    <xf numFmtId="3" fontId="20" fillId="0" borderId="0" xfId="1" applyNumberFormat="1" applyFont="1" applyFill="1" applyBorder="1"/>
    <xf numFmtId="3" fontId="6" fillId="0" borderId="9" xfId="1" applyNumberFormat="1" applyFont="1" applyFill="1" applyBorder="1"/>
    <xf numFmtId="3" fontId="6" fillId="0" borderId="0" xfId="1" applyNumberFormat="1" applyFont="1" applyFill="1" applyBorder="1"/>
    <xf numFmtId="3" fontId="6" fillId="0" borderId="2" xfId="1" applyNumberFormat="1" applyFont="1" applyFill="1" applyBorder="1"/>
    <xf numFmtId="0" fontId="12" fillId="0" borderId="0" xfId="1" applyFont="1" applyFill="1"/>
    <xf numFmtId="3" fontId="6" fillId="0" borderId="0" xfId="1" applyNumberFormat="1" applyFont="1"/>
    <xf numFmtId="168" fontId="35" fillId="0" borderId="0" xfId="1" applyNumberFormat="1" applyFont="1"/>
    <xf numFmtId="168" fontId="35" fillId="0" borderId="0" xfId="1" applyNumberFormat="1" applyFont="1" applyFill="1"/>
    <xf numFmtId="0" fontId="35" fillId="0" borderId="0" xfId="1" applyFont="1" applyFill="1"/>
    <xf numFmtId="0" fontId="36" fillId="0" borderId="0" xfId="1" applyFont="1" applyFill="1"/>
    <xf numFmtId="3" fontId="17" fillId="0" borderId="0" xfId="1" applyNumberFormat="1" applyFont="1" applyFill="1" applyBorder="1"/>
    <xf numFmtId="3" fontId="6" fillId="0" borderId="0" xfId="1" applyNumberFormat="1" applyFont="1" applyBorder="1"/>
    <xf numFmtId="0" fontId="6" fillId="0" borderId="0" xfId="1" applyFont="1" applyBorder="1"/>
    <xf numFmtId="0" fontId="1" fillId="0" borderId="0" xfId="1" applyFont="1" applyBorder="1" applyAlignment="1">
      <alignment horizontal="right"/>
    </xf>
    <xf numFmtId="3" fontId="32" fillId="0" borderId="0" xfId="1" applyNumberFormat="1" applyFont="1" applyFill="1"/>
    <xf numFmtId="9" fontId="6" fillId="0" borderId="0" xfId="1" applyNumberFormat="1" applyFont="1" applyFill="1" applyBorder="1"/>
    <xf numFmtId="170" fontId="13" fillId="0" borderId="0" xfId="1" applyNumberFormat="1" applyFont="1" applyFill="1"/>
    <xf numFmtId="189" fontId="13" fillId="0" borderId="0" xfId="1" applyNumberFormat="1" applyFont="1" applyFill="1"/>
    <xf numFmtId="179" fontId="13" fillId="0" borderId="0" xfId="1" applyNumberFormat="1" applyFont="1" applyFill="1"/>
    <xf numFmtId="187" fontId="13" fillId="0" borderId="0" xfId="1" applyNumberFormat="1" applyFont="1" applyFill="1" applyBorder="1"/>
    <xf numFmtId="170" fontId="13" fillId="0" borderId="0" xfId="1" applyNumberFormat="1" applyFont="1" applyFill="1" applyBorder="1"/>
    <xf numFmtId="189" fontId="13" fillId="0" borderId="0" xfId="1" applyNumberFormat="1" applyFont="1" applyFill="1" applyBorder="1"/>
    <xf numFmtId="3" fontId="6" fillId="0" borderId="9" xfId="1" applyNumberFormat="1" applyFont="1" applyBorder="1"/>
    <xf numFmtId="3" fontId="6" fillId="0" borderId="2" xfId="1" applyNumberFormat="1" applyFont="1" applyBorder="1"/>
    <xf numFmtId="164" fontId="6" fillId="0" borderId="0" xfId="1" applyNumberFormat="1" applyFont="1" applyFill="1" applyBorder="1"/>
    <xf numFmtId="0" fontId="6" fillId="0" borderId="0" xfId="1" applyFont="1" applyAlignment="1">
      <alignment horizontal="left"/>
    </xf>
    <xf numFmtId="0" fontId="6" fillId="0" borderId="0" xfId="1" applyFont="1" applyFill="1" applyBorder="1" applyAlignment="1">
      <alignment horizontal="left"/>
    </xf>
    <xf numFmtId="0" fontId="6" fillId="0" borderId="0" xfId="1" applyFont="1" applyBorder="1" applyAlignment="1">
      <alignment horizontal="left"/>
    </xf>
    <xf numFmtId="0" fontId="6" fillId="0" borderId="0" xfId="1" applyFont="1" applyBorder="1" applyAlignment="1">
      <alignment horizontal="right"/>
    </xf>
    <xf numFmtId="0" fontId="31" fillId="0" borderId="0" xfId="1" applyFont="1" applyAlignment="1">
      <alignment horizontal="left"/>
    </xf>
    <xf numFmtId="0" fontId="31" fillId="0" borderId="0" xfId="1" applyFont="1" applyAlignment="1">
      <alignment horizontal="right"/>
    </xf>
    <xf numFmtId="3" fontId="31" fillId="0" borderId="0" xfId="1" applyNumberFormat="1" applyFont="1" applyBorder="1"/>
    <xf numFmtId="0" fontId="31" fillId="0" borderId="0" xfId="1" applyFont="1" applyFill="1" applyBorder="1" applyAlignment="1">
      <alignment horizontal="left"/>
    </xf>
    <xf numFmtId="3" fontId="31" fillId="0" borderId="0" xfId="1" applyNumberFormat="1" applyFont="1" applyFill="1" applyBorder="1"/>
    <xf numFmtId="0" fontId="12" fillId="0" borderId="0" xfId="1" applyFont="1" applyAlignment="1">
      <alignment horizontal="left"/>
    </xf>
    <xf numFmtId="3" fontId="6" fillId="0" borderId="0" xfId="1" applyNumberFormat="1" applyFont="1" applyFill="1" applyAlignment="1"/>
    <xf numFmtId="169" fontId="2" fillId="0" borderId="0" xfId="0" applyNumberFormat="1" applyFont="1"/>
    <xf numFmtId="168" fontId="0" fillId="0" borderId="9" xfId="0" applyNumberFormat="1" applyBorder="1"/>
    <xf numFmtId="44" fontId="3" fillId="0" borderId="0" xfId="3" applyFont="1"/>
    <xf numFmtId="169" fontId="3" fillId="0" borderId="0" xfId="0" applyNumberFormat="1" applyFont="1"/>
    <xf numFmtId="168" fontId="0" fillId="0" borderId="0" xfId="4" applyNumberFormat="1" applyFont="1"/>
    <xf numFmtId="165" fontId="3" fillId="0" borderId="0" xfId="3" applyNumberFormat="1" applyFont="1"/>
    <xf numFmtId="0" fontId="4" fillId="0" borderId="0" xfId="0" applyFont="1" applyAlignment="1">
      <alignment horizontal="center"/>
    </xf>
    <xf numFmtId="165" fontId="4" fillId="0" borderId="0" xfId="3" applyNumberFormat="1" applyFont="1"/>
    <xf numFmtId="44" fontId="3" fillId="0" borderId="0" xfId="3" applyNumberFormat="1" applyFont="1"/>
    <xf numFmtId="44" fontId="4" fillId="0" borderId="0" xfId="3" applyNumberFormat="1" applyFont="1"/>
    <xf numFmtId="42" fontId="0" fillId="0" borderId="0" xfId="0" applyNumberFormat="1" applyFont="1"/>
    <xf numFmtId="175" fontId="4" fillId="0" borderId="0" xfId="0" applyNumberFormat="1" applyFont="1" applyBorder="1"/>
    <xf numFmtId="44" fontId="3" fillId="0" borderId="0" xfId="0" applyNumberFormat="1" applyFont="1" applyBorder="1"/>
    <xf numFmtId="44" fontId="17" fillId="0" borderId="9" xfId="0" applyNumberFormat="1" applyFont="1" applyBorder="1"/>
    <xf numFmtId="175" fontId="4" fillId="0" borderId="9" xfId="0" applyNumberFormat="1" applyFont="1" applyBorder="1"/>
    <xf numFmtId="44" fontId="3" fillId="0" borderId="9" xfId="0" applyNumberFormat="1" applyFont="1" applyBorder="1"/>
    <xf numFmtId="44" fontId="0" fillId="0" borderId="9" xfId="0" applyNumberFormat="1" applyFont="1" applyBorder="1"/>
    <xf numFmtId="0" fontId="27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27" fillId="0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2" fillId="0" borderId="0" xfId="1" applyFont="1" applyAlignment="1">
      <alignment horizontal="center"/>
    </xf>
    <xf numFmtId="180" fontId="6" fillId="0" borderId="3" xfId="0" applyNumberFormat="1" applyFont="1" applyBorder="1" applyAlignment="1">
      <alignment horizontal="center"/>
    </xf>
    <xf numFmtId="180" fontId="6" fillId="0" borderId="7" xfId="0" applyNumberFormat="1" applyFont="1" applyBorder="1" applyAlignment="1">
      <alignment horizontal="center"/>
    </xf>
  </cellXfs>
  <cellStyles count="5">
    <cellStyle name="Comma" xfId="4" builtinId="3"/>
    <cellStyle name="Currency" xfId="3" builtinId="4"/>
    <cellStyle name="Normal" xfId="0" builtinId="0"/>
    <cellStyle name="Normal 2" xfId="1"/>
    <cellStyle name="Normal 2 2" xfId="2"/>
  </cellStyles>
  <dxfs count="0"/>
  <tableStyles count="0" defaultTableStyle="TableStyleMedium2" defaultPivotStyle="PivotStyleLight16"/>
  <colors>
    <mruColors>
      <color rgb="FF00808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3.xml"/><Relationship Id="rId47" Type="http://schemas.openxmlformats.org/officeDocument/2006/relationships/externalLink" Target="externalLinks/externalLink18.xml"/><Relationship Id="rId63" Type="http://schemas.openxmlformats.org/officeDocument/2006/relationships/externalLink" Target="externalLinks/externalLink34.xml"/><Relationship Id="rId68" Type="http://schemas.openxmlformats.org/officeDocument/2006/relationships/externalLink" Target="externalLinks/externalLink39.xml"/><Relationship Id="rId84" Type="http://schemas.openxmlformats.org/officeDocument/2006/relationships/externalLink" Target="externalLinks/externalLink55.xml"/><Relationship Id="rId89" Type="http://schemas.openxmlformats.org/officeDocument/2006/relationships/externalLink" Target="externalLinks/externalLink60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3.xml"/><Relationship Id="rId37" Type="http://schemas.openxmlformats.org/officeDocument/2006/relationships/externalLink" Target="externalLinks/externalLink8.xml"/><Relationship Id="rId53" Type="http://schemas.openxmlformats.org/officeDocument/2006/relationships/externalLink" Target="externalLinks/externalLink24.xml"/><Relationship Id="rId58" Type="http://schemas.openxmlformats.org/officeDocument/2006/relationships/externalLink" Target="externalLinks/externalLink29.xml"/><Relationship Id="rId74" Type="http://schemas.openxmlformats.org/officeDocument/2006/relationships/externalLink" Target="externalLinks/externalLink45.xml"/><Relationship Id="rId79" Type="http://schemas.openxmlformats.org/officeDocument/2006/relationships/externalLink" Target="externalLinks/externalLink50.xml"/><Relationship Id="rId10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1.xml"/><Relationship Id="rId95" Type="http://schemas.openxmlformats.org/officeDocument/2006/relationships/externalLink" Target="externalLinks/externalLink6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4.xml"/><Relationship Id="rId48" Type="http://schemas.openxmlformats.org/officeDocument/2006/relationships/externalLink" Target="externalLinks/externalLink19.xml"/><Relationship Id="rId64" Type="http://schemas.openxmlformats.org/officeDocument/2006/relationships/externalLink" Target="externalLinks/externalLink35.xml"/><Relationship Id="rId69" Type="http://schemas.openxmlformats.org/officeDocument/2006/relationships/externalLink" Target="externalLinks/externalLink40.xml"/><Relationship Id="rId80" Type="http://schemas.openxmlformats.org/officeDocument/2006/relationships/externalLink" Target="externalLinks/externalLink51.xml"/><Relationship Id="rId85" Type="http://schemas.openxmlformats.org/officeDocument/2006/relationships/externalLink" Target="externalLinks/externalLink5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externalLink" Target="externalLinks/externalLink9.xml"/><Relationship Id="rId46" Type="http://schemas.openxmlformats.org/officeDocument/2006/relationships/externalLink" Target="externalLinks/externalLink17.xml"/><Relationship Id="rId59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38.xml"/><Relationship Id="rId103" Type="http://schemas.openxmlformats.org/officeDocument/2006/relationships/customXml" Target="../customXml/item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2.xml"/><Relationship Id="rId54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33.xml"/><Relationship Id="rId70" Type="http://schemas.openxmlformats.org/officeDocument/2006/relationships/externalLink" Target="externalLinks/externalLink41.xml"/><Relationship Id="rId75" Type="http://schemas.openxmlformats.org/officeDocument/2006/relationships/externalLink" Target="externalLinks/externalLink46.xml"/><Relationship Id="rId83" Type="http://schemas.openxmlformats.org/officeDocument/2006/relationships/externalLink" Target="externalLinks/externalLink54.xml"/><Relationship Id="rId88" Type="http://schemas.openxmlformats.org/officeDocument/2006/relationships/externalLink" Target="externalLinks/externalLink59.xml"/><Relationship Id="rId91" Type="http://schemas.openxmlformats.org/officeDocument/2006/relationships/externalLink" Target="externalLinks/externalLink62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7.xml"/><Relationship Id="rId49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28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.xml"/><Relationship Id="rId44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23.xml"/><Relationship Id="rId60" Type="http://schemas.openxmlformats.org/officeDocument/2006/relationships/externalLink" Target="externalLinks/externalLink31.xml"/><Relationship Id="rId65" Type="http://schemas.openxmlformats.org/officeDocument/2006/relationships/externalLink" Target="externalLinks/externalLink36.xml"/><Relationship Id="rId73" Type="http://schemas.openxmlformats.org/officeDocument/2006/relationships/externalLink" Target="externalLinks/externalLink44.xml"/><Relationship Id="rId78" Type="http://schemas.openxmlformats.org/officeDocument/2006/relationships/externalLink" Target="externalLinks/externalLink49.xml"/><Relationship Id="rId81" Type="http://schemas.openxmlformats.org/officeDocument/2006/relationships/externalLink" Target="externalLinks/externalLink52.xml"/><Relationship Id="rId86" Type="http://schemas.openxmlformats.org/officeDocument/2006/relationships/externalLink" Target="externalLinks/externalLink57.xml"/><Relationship Id="rId94" Type="http://schemas.openxmlformats.org/officeDocument/2006/relationships/externalLink" Target="externalLinks/externalLink65.xml"/><Relationship Id="rId99" Type="http://schemas.openxmlformats.org/officeDocument/2006/relationships/calcChain" Target="calcChain.xml"/><Relationship Id="rId10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5.xml"/><Relationship Id="rId50" Type="http://schemas.openxmlformats.org/officeDocument/2006/relationships/externalLink" Target="externalLinks/externalLink21.xml"/><Relationship Id="rId55" Type="http://schemas.openxmlformats.org/officeDocument/2006/relationships/externalLink" Target="externalLinks/externalLink26.xml"/><Relationship Id="rId76" Type="http://schemas.openxmlformats.org/officeDocument/2006/relationships/externalLink" Target="externalLinks/externalLink47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2.xml"/><Relationship Id="rId92" Type="http://schemas.openxmlformats.org/officeDocument/2006/relationships/externalLink" Target="externalLinks/externalLink6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1.xml"/><Relationship Id="rId45" Type="http://schemas.openxmlformats.org/officeDocument/2006/relationships/externalLink" Target="externalLinks/externalLink16.xml"/><Relationship Id="rId66" Type="http://schemas.openxmlformats.org/officeDocument/2006/relationships/externalLink" Target="externalLinks/externalLink37.xml"/><Relationship Id="rId87" Type="http://schemas.openxmlformats.org/officeDocument/2006/relationships/externalLink" Target="externalLinks/externalLink58.xml"/><Relationship Id="rId61" Type="http://schemas.openxmlformats.org/officeDocument/2006/relationships/externalLink" Target="externalLinks/externalLink32.xml"/><Relationship Id="rId82" Type="http://schemas.openxmlformats.org/officeDocument/2006/relationships/externalLink" Target="externalLinks/externalLink5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Relationship Id="rId56" Type="http://schemas.openxmlformats.org/officeDocument/2006/relationships/externalLink" Target="externalLinks/externalLink27.xml"/><Relationship Id="rId77" Type="http://schemas.openxmlformats.org/officeDocument/2006/relationships/externalLink" Target="externalLinks/externalLink48.xml"/><Relationship Id="rId100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2.xml"/><Relationship Id="rId72" Type="http://schemas.openxmlformats.org/officeDocument/2006/relationships/externalLink" Target="externalLinks/externalLink43.xml"/><Relationship Id="rId93" Type="http://schemas.openxmlformats.org/officeDocument/2006/relationships/externalLink" Target="externalLinks/externalLink64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Processes\General%20Accounting\newgas\2012\4-2012\UBR-GAS%2004-201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03Processes/General%20Accounting/newgas/2012/4-2012/UBR-GAS%2004-201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Home\JDyer\Unbilled%20Reasonableness\04-2013%20Gas%20Reasonableness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Tax%20Reform%20Filing%202018/Filed%203-30-18/Linked/Cost%20Of%20Service/2017%20Gas%20COSS%20September%20TY_Complianc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7/Compliance%20Filing/Cost%20Of%20Service/2017%20Gas%20COSS%20September%20TY_Complianc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COS%20Inputs\COS%20Model\ECOS%20Model%20-%20FINAL%20COMPANY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180899-180900-PSE-WP-PSE-Compliance-Attach-A-Gas-Rate-Spread-Design-02-25-1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D5" t="str">
            <v>Yes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 refreshError="1"/>
      <sheetData sheetId="2" refreshError="1"/>
      <sheetData sheetId="3" refreshError="1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/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 refreshError="1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 refreshError="1">
        <row r="3">
          <cell r="O3" t="str">
            <v>Exhibit No. ___ (MJS-4)</v>
          </cell>
        </row>
      </sheetData>
      <sheetData sheetId="2" refreshError="1">
        <row r="3">
          <cell r="E3" t="str">
            <v>Exhibit No. ___ (MJS-5)</v>
          </cell>
        </row>
      </sheetData>
      <sheetData sheetId="3" refreshError="1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 refreshError="1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1">
          <cell r="B11">
            <v>11862537</v>
          </cell>
        </row>
      </sheetData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. JAP-6 Page 1"/>
      <sheetName val="Exh. JAP-6 Pages 2-6"/>
      <sheetName val="Exh. JAP-6 Pages 7-10"/>
      <sheetName val="Exh. JAP-6 Page 11"/>
      <sheetName val="Exh. JAP-6 Pages 12-16"/>
      <sheetName val="Exh. JAP-6 Pages 17-20"/>
    </sheetNames>
    <sheetDataSet>
      <sheetData sheetId="0">
        <row r="24">
          <cell r="L24">
            <v>23612.096662816592</v>
          </cell>
        </row>
      </sheetData>
      <sheetData sheetId="1"/>
      <sheetData sheetId="2">
        <row r="10">
          <cell r="F10">
            <v>0.66999999999999993</v>
          </cell>
        </row>
        <row r="11">
          <cell r="F11">
            <v>2.1230000000000027E-2</v>
          </cell>
        </row>
        <row r="14">
          <cell r="F14">
            <v>0.66999999999999993</v>
          </cell>
        </row>
        <row r="15">
          <cell r="F15">
            <v>2.1230000000000027E-2</v>
          </cell>
        </row>
        <row r="18">
          <cell r="F18">
            <v>0.58999999999999986</v>
          </cell>
        </row>
        <row r="21">
          <cell r="F21">
            <v>2.1200000000000045</v>
          </cell>
        </row>
        <row r="22">
          <cell r="F22">
            <v>1.9409999999999983E-2</v>
          </cell>
        </row>
        <row r="23">
          <cell r="F23">
            <v>5.8000000000000065E-4</v>
          </cell>
        </row>
        <row r="26">
          <cell r="F26">
            <v>15.140000000000043</v>
          </cell>
        </row>
        <row r="27">
          <cell r="F27">
            <v>1.261000000000001E-2</v>
          </cell>
        </row>
        <row r="30">
          <cell r="F30">
            <v>9.999999999999995E-3</v>
          </cell>
        </row>
        <row r="33">
          <cell r="F33">
            <v>8.3300000000000125</v>
          </cell>
        </row>
        <row r="34">
          <cell r="F34">
            <v>9.0799999999999983</v>
          </cell>
        </row>
        <row r="35">
          <cell r="F35">
            <v>0.10000000000000009</v>
          </cell>
        </row>
        <row r="38">
          <cell r="F38">
            <v>1.0089999999999988E-2</v>
          </cell>
        </row>
        <row r="39">
          <cell r="F39">
            <v>1.0089999999999988E-2</v>
          </cell>
        </row>
        <row r="40">
          <cell r="F40">
            <v>7.8499999999999959E-3</v>
          </cell>
        </row>
        <row r="42">
          <cell r="F42">
            <v>4.8000000000000039E-4</v>
          </cell>
        </row>
        <row r="45">
          <cell r="F45">
            <v>17.54000000000002</v>
          </cell>
        </row>
        <row r="46">
          <cell r="F46">
            <v>4.9499999999999886</v>
          </cell>
        </row>
        <row r="47">
          <cell r="F47">
            <v>6.0000000000000053E-2</v>
          </cell>
        </row>
        <row r="50">
          <cell r="F50">
            <v>5.5000000000000049E-3</v>
          </cell>
        </row>
        <row r="51">
          <cell r="F51">
            <v>5.5000000000000049E-3</v>
          </cell>
        </row>
        <row r="52">
          <cell r="F52">
            <v>3.6300000000000082E-3</v>
          </cell>
        </row>
        <row r="55">
          <cell r="F55">
            <v>53.950000000000045</v>
          </cell>
        </row>
        <row r="56">
          <cell r="F56">
            <v>0.12000000000000011</v>
          </cell>
        </row>
        <row r="59">
          <cell r="F59">
            <v>9.779999999999997E-3</v>
          </cell>
        </row>
        <row r="60">
          <cell r="F60">
            <v>4.8399999999999971E-3</v>
          </cell>
        </row>
        <row r="61">
          <cell r="F61">
            <v>4.6300000000000022E-3</v>
          </cell>
        </row>
        <row r="63">
          <cell r="F63">
            <v>7.2999999999999975E-4</v>
          </cell>
        </row>
        <row r="66">
          <cell r="F66">
            <v>37.190000000000055</v>
          </cell>
        </row>
        <row r="67">
          <cell r="F67">
            <v>6.0000000000000053E-2</v>
          </cell>
        </row>
        <row r="70">
          <cell r="F70">
            <v>4.2099999999999915E-3</v>
          </cell>
        </row>
        <row r="71">
          <cell r="F71">
            <v>2.0800000000000055E-3</v>
          </cell>
        </row>
        <row r="72">
          <cell r="F72">
            <v>1.9599999999999965E-3</v>
          </cell>
        </row>
        <row r="75">
          <cell r="F75">
            <v>11.379999999999995</v>
          </cell>
        </row>
        <row r="76">
          <cell r="F76">
            <v>0.10000000000000009</v>
          </cell>
        </row>
        <row r="79">
          <cell r="F79">
            <v>1.5740000000000004E-2</v>
          </cell>
        </row>
        <row r="80">
          <cell r="F80">
            <v>1.1160000000000003E-2</v>
          </cell>
        </row>
        <row r="82">
          <cell r="F82">
            <v>7.5000000000000067E-4</v>
          </cell>
        </row>
        <row r="85">
          <cell r="F85">
            <v>21.019999999999982</v>
          </cell>
        </row>
        <row r="86">
          <cell r="F86">
            <v>6.0000000000000053E-2</v>
          </cell>
        </row>
        <row r="89">
          <cell r="F89">
            <v>9.1400000000000092E-3</v>
          </cell>
        </row>
        <row r="90">
          <cell r="F90">
            <v>6.4700000000000035E-3</v>
          </cell>
        </row>
        <row r="93">
          <cell r="F93">
            <v>57.090000000000032</v>
          </cell>
        </row>
        <row r="94">
          <cell r="F94">
            <v>0.1399999999999999</v>
          </cell>
        </row>
        <row r="97">
          <cell r="F97">
            <v>1.4240000000000003E-2</v>
          </cell>
        </row>
        <row r="98">
          <cell r="F98">
            <v>8.6099999999999927E-3</v>
          </cell>
        </row>
        <row r="99">
          <cell r="F99">
            <v>5.4799999999999988E-3</v>
          </cell>
        </row>
        <row r="100">
          <cell r="F100">
            <v>3.5099999999999992E-3</v>
          </cell>
        </row>
        <row r="101">
          <cell r="F101">
            <v>2.5199999999999979E-3</v>
          </cell>
        </row>
        <row r="102">
          <cell r="F102">
            <v>1.9500000000000003E-3</v>
          </cell>
        </row>
        <row r="104">
          <cell r="F104">
            <v>6.0999999999999943E-4</v>
          </cell>
        </row>
        <row r="107">
          <cell r="F107">
            <v>38.629999999999995</v>
          </cell>
        </row>
        <row r="108">
          <cell r="F108">
            <v>5.9999999999999831E-2</v>
          </cell>
        </row>
        <row r="111">
          <cell r="F111">
            <v>6.0199999999999976E-3</v>
          </cell>
        </row>
        <row r="112">
          <cell r="F112">
            <v>3.6400000000000043E-3</v>
          </cell>
        </row>
        <row r="113">
          <cell r="F113">
            <v>2.3199999999999957E-3</v>
          </cell>
        </row>
        <row r="114">
          <cell r="F114">
            <v>1.4899999999999983E-3</v>
          </cell>
        </row>
        <row r="115">
          <cell r="F115">
            <v>1.069999999999998E-3</v>
          </cell>
        </row>
        <row r="116">
          <cell r="F116">
            <v>8.2000000000000128E-4</v>
          </cell>
        </row>
        <row r="119">
          <cell r="F119">
            <v>0.3100000000000005</v>
          </cell>
        </row>
        <row r="120">
          <cell r="F120">
            <v>0.51999999999999957</v>
          </cell>
        </row>
        <row r="121">
          <cell r="F121">
            <v>0.72999999999999687</v>
          </cell>
        </row>
        <row r="122">
          <cell r="F122">
            <v>0.71999999999999886</v>
          </cell>
        </row>
        <row r="123">
          <cell r="F123">
            <v>0.25</v>
          </cell>
        </row>
        <row r="124">
          <cell r="F124">
            <v>0.45000000000000107</v>
          </cell>
        </row>
        <row r="127">
          <cell r="F127">
            <v>0.63000000000000078</v>
          </cell>
        </row>
        <row r="128">
          <cell r="F128">
            <v>0.84000000000000341</v>
          </cell>
        </row>
        <row r="129">
          <cell r="F129">
            <v>0.84000000000000341</v>
          </cell>
        </row>
        <row r="130">
          <cell r="F130">
            <v>1.3200000000000003</v>
          </cell>
        </row>
        <row r="131">
          <cell r="F131">
            <v>1.7299999999999969</v>
          </cell>
        </row>
        <row r="132">
          <cell r="F132">
            <v>2.3200000000000003</v>
          </cell>
        </row>
        <row r="133">
          <cell r="F133">
            <v>2.6900000000000048</v>
          </cell>
        </row>
        <row r="136">
          <cell r="F136">
            <v>0.44000000000000128</v>
          </cell>
        </row>
        <row r="137">
          <cell r="F137">
            <v>1.1800000000000033</v>
          </cell>
        </row>
        <row r="138">
          <cell r="F138">
            <v>1.6000000000000014</v>
          </cell>
        </row>
        <row r="139">
          <cell r="F139">
            <v>0.66000000000000014</v>
          </cell>
        </row>
      </sheetData>
      <sheetData sheetId="3">
        <row r="24">
          <cell r="L24">
            <v>-11662.625379653648</v>
          </cell>
        </row>
      </sheetData>
      <sheetData sheetId="4"/>
      <sheetData sheetId="5">
        <row r="10">
          <cell r="D10">
            <v>-0.15000000000000036</v>
          </cell>
        </row>
        <row r="11">
          <cell r="D11">
            <v>-4.7900000000000165E-3</v>
          </cell>
        </row>
        <row r="14">
          <cell r="D14">
            <v>-0.15000000000000036</v>
          </cell>
        </row>
        <row r="15">
          <cell r="D15">
            <v>-4.7900000000000165E-3</v>
          </cell>
        </row>
        <row r="18">
          <cell r="D18">
            <v>-0.12999999999999901</v>
          </cell>
        </row>
        <row r="21">
          <cell r="D21">
            <v>-0.43999999999999773</v>
          </cell>
        </row>
        <row r="22">
          <cell r="D22">
            <v>-4.060000000000008E-3</v>
          </cell>
        </row>
        <row r="23">
          <cell r="D23">
            <v>-1.2000000000000031E-4</v>
          </cell>
        </row>
        <row r="26">
          <cell r="D26">
            <v>-4.8700000000000045</v>
          </cell>
        </row>
        <row r="27">
          <cell r="D27">
            <v>-4.049999999999998E-3</v>
          </cell>
        </row>
        <row r="30">
          <cell r="D30">
            <v>0</v>
          </cell>
        </row>
        <row r="33">
          <cell r="D33">
            <v>-1.3600000000000136</v>
          </cell>
        </row>
        <row r="34">
          <cell r="D34">
            <v>-1.4799999999999898</v>
          </cell>
        </row>
        <row r="35">
          <cell r="D35">
            <v>-2.0000000000000018E-2</v>
          </cell>
        </row>
        <row r="38">
          <cell r="D38">
            <v>-1.6500000000000126E-3</v>
          </cell>
        </row>
        <row r="39">
          <cell r="D39">
            <v>-1.6500000000000126E-3</v>
          </cell>
        </row>
        <row r="40">
          <cell r="D40">
            <v>-1.0599999999999915E-3</v>
          </cell>
        </row>
        <row r="42">
          <cell r="D42">
            <v>-8.000000000000021E-5</v>
          </cell>
        </row>
        <row r="45">
          <cell r="D45">
            <v>-5.2599999999999909</v>
          </cell>
        </row>
        <row r="46">
          <cell r="D46">
            <v>-1.4799999999999898</v>
          </cell>
        </row>
        <row r="47">
          <cell r="D47">
            <v>-2.0000000000000018E-2</v>
          </cell>
        </row>
        <row r="50">
          <cell r="D50">
            <v>-1.6500000000000126E-3</v>
          </cell>
        </row>
        <row r="51">
          <cell r="D51">
            <v>-1.6500000000000126E-3</v>
          </cell>
        </row>
        <row r="52">
          <cell r="D52">
            <v>-1.1800000000000005E-3</v>
          </cell>
        </row>
        <row r="55">
          <cell r="D55">
            <v>-7.4400000000000546</v>
          </cell>
        </row>
        <row r="56">
          <cell r="D56">
            <v>-2.0000000000000018E-2</v>
          </cell>
        </row>
        <row r="59">
          <cell r="D59">
            <v>-1.350000000000004E-3</v>
          </cell>
        </row>
        <row r="60">
          <cell r="D60">
            <v>-6.6999999999999699E-4</v>
          </cell>
        </row>
        <row r="61">
          <cell r="D61">
            <v>-6.4000000000000168E-4</v>
          </cell>
        </row>
        <row r="63">
          <cell r="D63">
            <v>-1.0000000000000026E-4</v>
          </cell>
        </row>
        <row r="66">
          <cell r="D66">
            <v>-11.790000000000077</v>
          </cell>
        </row>
        <row r="67">
          <cell r="D67">
            <v>-2.0000000000000018E-2</v>
          </cell>
        </row>
        <row r="70">
          <cell r="D70">
            <v>-1.3299999999999979E-3</v>
          </cell>
        </row>
        <row r="71">
          <cell r="D71">
            <v>-6.6000000000000086E-4</v>
          </cell>
        </row>
        <row r="72">
          <cell r="D72">
            <v>-6.2999999999999862E-4</v>
          </cell>
        </row>
        <row r="75">
          <cell r="D75">
            <v>-1.9200000000000159</v>
          </cell>
        </row>
        <row r="76">
          <cell r="D76">
            <v>-2.0000000000000018E-2</v>
          </cell>
        </row>
        <row r="79">
          <cell r="D79">
            <v>-2.6599999999999957E-3</v>
          </cell>
        </row>
        <row r="80">
          <cell r="D80">
            <v>-1.8900000000000028E-3</v>
          </cell>
        </row>
        <row r="82">
          <cell r="D82">
            <v>-1.2999999999999991E-4</v>
          </cell>
        </row>
        <row r="85">
          <cell r="D85">
            <v>-6.6999999999999886</v>
          </cell>
        </row>
        <row r="86">
          <cell r="D86">
            <v>-2.0000000000000018E-2</v>
          </cell>
        </row>
        <row r="89">
          <cell r="D89">
            <v>-2.9099999999999959E-3</v>
          </cell>
        </row>
        <row r="90">
          <cell r="D90">
            <v>-2.0600000000000063E-3</v>
          </cell>
        </row>
        <row r="93">
          <cell r="D93">
            <v>-7.9800000000000182</v>
          </cell>
        </row>
        <row r="94">
          <cell r="D94">
            <v>-1.9999999999999796E-2</v>
          </cell>
        </row>
        <row r="97">
          <cell r="D97">
            <v>-1.9899999999999918E-3</v>
          </cell>
        </row>
        <row r="98">
          <cell r="D98">
            <v>-1.1999999999999927E-3</v>
          </cell>
        </row>
        <row r="99">
          <cell r="D99">
            <v>-7.6999999999999985E-4</v>
          </cell>
        </row>
        <row r="100">
          <cell r="D100">
            <v>-4.8999999999999738E-4</v>
          </cell>
        </row>
        <row r="101">
          <cell r="D101">
            <v>-3.4999999999999962E-4</v>
          </cell>
        </row>
        <row r="102">
          <cell r="D102">
            <v>-2.6999999999999941E-4</v>
          </cell>
        </row>
        <row r="104">
          <cell r="D104">
            <v>-8.9999999999999802E-5</v>
          </cell>
        </row>
        <row r="107">
          <cell r="D107">
            <v>-12.150000000000091</v>
          </cell>
        </row>
        <row r="108">
          <cell r="D108">
            <v>-1.9999999999999796E-2</v>
          </cell>
        </row>
        <row r="111">
          <cell r="D111">
            <v>-1.8900000000000028E-3</v>
          </cell>
        </row>
        <row r="112">
          <cell r="D112">
            <v>-1.1400000000000021E-3</v>
          </cell>
        </row>
        <row r="113">
          <cell r="D113">
            <v>-7.3000000000000148E-4</v>
          </cell>
        </row>
        <row r="114">
          <cell r="D114">
            <v>-4.699999999999982E-4</v>
          </cell>
        </row>
        <row r="115">
          <cell r="D115">
            <v>-3.4000000000000002E-4</v>
          </cell>
        </row>
        <row r="116">
          <cell r="D116">
            <v>-2.5999999999999981E-4</v>
          </cell>
        </row>
        <row r="119">
          <cell r="D119">
            <v>-0.10000000000000053</v>
          </cell>
        </row>
        <row r="120">
          <cell r="D120">
            <v>-0.16999999999999993</v>
          </cell>
        </row>
        <row r="121">
          <cell r="D121">
            <v>-0.22999999999999687</v>
          </cell>
        </row>
        <row r="122">
          <cell r="D122">
            <v>-0.23000000000000043</v>
          </cell>
        </row>
        <row r="123">
          <cell r="D123">
            <v>-8.0000000000000071E-2</v>
          </cell>
        </row>
        <row r="124">
          <cell r="D124">
            <v>-0.14000000000000057</v>
          </cell>
        </row>
        <row r="127">
          <cell r="D127">
            <v>-0.20000000000000107</v>
          </cell>
        </row>
        <row r="128">
          <cell r="D128">
            <v>-0.27000000000000313</v>
          </cell>
        </row>
        <row r="129">
          <cell r="D129">
            <v>-0.27000000000000313</v>
          </cell>
        </row>
        <row r="130">
          <cell r="D130">
            <v>-0.41999999999999815</v>
          </cell>
        </row>
        <row r="131">
          <cell r="D131">
            <v>-0.54999999999999716</v>
          </cell>
        </row>
        <row r="132">
          <cell r="D132">
            <v>-0.74000000000000199</v>
          </cell>
        </row>
        <row r="133">
          <cell r="D133">
            <v>-0.86000000000000654</v>
          </cell>
        </row>
        <row r="136">
          <cell r="D136">
            <v>-0.14000000000000057</v>
          </cell>
        </row>
        <row r="137">
          <cell r="D137">
            <v>-0.38000000000000256</v>
          </cell>
        </row>
        <row r="138">
          <cell r="D138">
            <v>-0.50999999999999801</v>
          </cell>
        </row>
        <row r="139">
          <cell r="D139">
            <v>-0.20999999999999908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44"/>
  <sheetViews>
    <sheetView tabSelected="1" zoomScale="90" zoomScaleNormal="90" workbookViewId="0">
      <pane xSplit="3" ySplit="8" topLeftCell="F9" activePane="bottomRight" state="frozenSplit"/>
      <selection activeCell="E40" sqref="E40"/>
      <selection pane="topRight" activeCell="E40" sqref="E40"/>
      <selection pane="bottomLeft" activeCell="E40" sqref="E40"/>
      <selection pane="bottomRight" activeCell="I36" sqref="I36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" customWidth="1"/>
    <col min="5" max="5" width="18.5703125" bestFit="1" customWidth="1"/>
    <col min="6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0" width="12.85546875" bestFit="1" customWidth="1"/>
    <col min="11" max="11" width="13.28515625" bestFit="1" customWidth="1"/>
    <col min="12" max="13" width="10" bestFit="1" customWidth="1"/>
    <col min="14" max="15" width="13.28515625" bestFit="1" customWidth="1"/>
    <col min="16" max="16" width="15.7109375" bestFit="1" customWidth="1"/>
    <col min="17" max="17" width="13.28515625" bestFit="1" customWidth="1"/>
    <col min="18" max="18" width="12.85546875" bestFit="1" customWidth="1"/>
    <col min="19" max="19" width="13.28515625" bestFit="1" customWidth="1"/>
    <col min="20" max="20" width="8.85546875" bestFit="1" customWidth="1"/>
    <col min="21" max="21" width="13.7109375" bestFit="1" customWidth="1"/>
  </cols>
  <sheetData>
    <row r="1" spans="2:20" x14ac:dyDescent="0.25">
      <c r="B1" s="780" t="s">
        <v>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780"/>
      <c r="R1" s="780"/>
      <c r="S1" s="780"/>
      <c r="T1" s="780"/>
    </row>
    <row r="2" spans="2:20" x14ac:dyDescent="0.25">
      <c r="B2" s="780" t="s">
        <v>435</v>
      </c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780"/>
      <c r="R2" s="780"/>
      <c r="S2" s="780"/>
      <c r="T2" s="780"/>
    </row>
    <row r="3" spans="2:20" x14ac:dyDescent="0.25">
      <c r="B3" s="781" t="s">
        <v>475</v>
      </c>
      <c r="C3" s="781"/>
      <c r="D3" s="781"/>
      <c r="E3" s="781"/>
      <c r="F3" s="781"/>
      <c r="G3" s="781"/>
      <c r="H3" s="781"/>
      <c r="I3" s="781"/>
      <c r="J3" s="781"/>
      <c r="K3" s="781"/>
      <c r="L3" s="781"/>
      <c r="M3" s="781"/>
      <c r="N3" s="781"/>
      <c r="O3" s="781"/>
      <c r="P3" s="781"/>
      <c r="Q3" s="781"/>
      <c r="R3" s="781"/>
      <c r="S3" s="781"/>
      <c r="T3" s="781"/>
    </row>
    <row r="4" spans="2:20" x14ac:dyDescent="0.25">
      <c r="B4" s="781"/>
      <c r="C4" s="781"/>
      <c r="D4" s="781"/>
      <c r="E4" s="781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</row>
    <row r="5" spans="2:20" x14ac:dyDescent="0.25">
      <c r="K5" s="4"/>
      <c r="O5" s="4"/>
    </row>
    <row r="6" spans="2:20" x14ac:dyDescent="0.25">
      <c r="B6" s="5"/>
      <c r="C6" s="5"/>
      <c r="D6" s="5" t="s">
        <v>437</v>
      </c>
      <c r="E6" s="4"/>
      <c r="F6" s="5"/>
      <c r="G6" s="5"/>
      <c r="H6" s="5"/>
      <c r="I6" s="5"/>
      <c r="J6" s="5"/>
      <c r="K6" s="5"/>
      <c r="L6" s="5"/>
      <c r="M6" s="5" t="s">
        <v>431</v>
      </c>
      <c r="N6" s="5" t="s">
        <v>431</v>
      </c>
      <c r="O6" s="5"/>
      <c r="P6" s="252" t="s">
        <v>456</v>
      </c>
      <c r="Q6" s="252" t="s">
        <v>434</v>
      </c>
      <c r="R6" s="252" t="s">
        <v>476</v>
      </c>
      <c r="S6" s="252" t="s">
        <v>6</v>
      </c>
      <c r="T6" s="5"/>
    </row>
    <row r="7" spans="2:20" x14ac:dyDescent="0.25">
      <c r="B7" s="5"/>
      <c r="C7" s="5" t="s">
        <v>17</v>
      </c>
      <c r="D7" s="5" t="s">
        <v>3</v>
      </c>
      <c r="E7" s="248" t="s">
        <v>437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114</v>
      </c>
      <c r="K7" s="5" t="s">
        <v>16</v>
      </c>
      <c r="L7" s="5" t="s">
        <v>434</v>
      </c>
      <c r="M7" s="5" t="s">
        <v>430</v>
      </c>
      <c r="N7" s="5" t="s">
        <v>74</v>
      </c>
      <c r="O7" s="5" t="s">
        <v>110</v>
      </c>
      <c r="P7" s="5" t="s">
        <v>438</v>
      </c>
      <c r="Q7" s="5" t="s">
        <v>2</v>
      </c>
      <c r="R7" s="5" t="s">
        <v>2</v>
      </c>
      <c r="S7" s="5" t="s">
        <v>2</v>
      </c>
      <c r="T7" s="5" t="s">
        <v>20</v>
      </c>
    </row>
    <row r="8" spans="2:20" x14ac:dyDescent="0.25">
      <c r="B8" s="6" t="s">
        <v>4</v>
      </c>
      <c r="C8" s="6" t="s">
        <v>21</v>
      </c>
      <c r="D8" s="249" t="s">
        <v>455</v>
      </c>
      <c r="E8" s="6" t="s">
        <v>453</v>
      </c>
      <c r="F8" s="6" t="s">
        <v>2</v>
      </c>
      <c r="G8" s="6" t="s">
        <v>2</v>
      </c>
      <c r="H8" s="6" t="s">
        <v>2</v>
      </c>
      <c r="I8" s="6" t="s">
        <v>2</v>
      </c>
      <c r="J8" s="6" t="s">
        <v>2</v>
      </c>
      <c r="K8" s="6" t="s">
        <v>2</v>
      </c>
      <c r="L8" s="6" t="s">
        <v>2</v>
      </c>
      <c r="M8" s="6" t="s">
        <v>2</v>
      </c>
      <c r="N8" s="6" t="s">
        <v>2</v>
      </c>
      <c r="O8" s="6" t="s">
        <v>2</v>
      </c>
      <c r="P8" s="6" t="s">
        <v>2</v>
      </c>
      <c r="Q8" s="6" t="s">
        <v>24</v>
      </c>
      <c r="R8" s="6" t="s">
        <v>24</v>
      </c>
      <c r="S8" s="6" t="s">
        <v>24</v>
      </c>
      <c r="T8" s="6" t="s">
        <v>24</v>
      </c>
    </row>
    <row r="9" spans="2:20" x14ac:dyDescent="0.25">
      <c r="B9" s="5" t="s">
        <v>25</v>
      </c>
      <c r="C9" s="5" t="s">
        <v>26</v>
      </c>
      <c r="D9" s="5" t="s">
        <v>27</v>
      </c>
      <c r="E9" s="5" t="s">
        <v>28</v>
      </c>
      <c r="F9" s="5" t="s">
        <v>337</v>
      </c>
      <c r="G9" s="5" t="s">
        <v>338</v>
      </c>
      <c r="H9" s="5" t="s">
        <v>339</v>
      </c>
      <c r="I9" s="7" t="s">
        <v>111</v>
      </c>
      <c r="J9" s="5" t="s">
        <v>452</v>
      </c>
      <c r="K9" s="5" t="s">
        <v>29</v>
      </c>
      <c r="L9" s="7" t="s">
        <v>51</v>
      </c>
      <c r="M9" s="7" t="s">
        <v>112</v>
      </c>
      <c r="N9" s="7" t="s">
        <v>259</v>
      </c>
      <c r="O9" s="5" t="s">
        <v>113</v>
      </c>
      <c r="P9" s="7" t="s">
        <v>260</v>
      </c>
      <c r="Q9" s="5" t="s">
        <v>261</v>
      </c>
      <c r="R9" s="5" t="s">
        <v>469</v>
      </c>
      <c r="S9" s="5" t="s">
        <v>470</v>
      </c>
      <c r="T9" s="5" t="s">
        <v>471</v>
      </c>
    </row>
    <row r="10" spans="2:20" x14ac:dyDescent="0.25">
      <c r="B10" t="s">
        <v>7</v>
      </c>
      <c r="C10" s="8" t="s">
        <v>30</v>
      </c>
      <c r="D10" s="194">
        <f>SUM('Normalized Therms'!P10,'Normalized Therms'!P12)</f>
        <v>603105848.20999992</v>
      </c>
      <c r="E10" s="165">
        <v>311319235.66274381</v>
      </c>
      <c r="F10" s="165">
        <v>197005848.44792041</v>
      </c>
      <c r="G10" s="165">
        <f>'Schedule 106 Revenue'!F8</f>
        <v>-35148991.630000003</v>
      </c>
      <c r="H10" s="165">
        <f>'Schedule 120 Revenue'!F8</f>
        <v>10270892.595016299</v>
      </c>
      <c r="I10" s="165">
        <f>'Schedule 129 Revenue'!G8</f>
        <v>3238678.4048876995</v>
      </c>
      <c r="J10" s="165">
        <f>'Schedule 132 Revenue'!F8</f>
        <v>-2159118.9365917998</v>
      </c>
      <c r="K10" s="165">
        <f>'Schedule 140 Revenue'!F8</f>
        <v>14764031.164180798</v>
      </c>
      <c r="L10" s="165">
        <f>SUM('Schedule 141 Revenue'!G9:G14)</f>
        <v>0</v>
      </c>
      <c r="M10" s="165"/>
      <c r="N10" s="165">
        <f>'Sch 142 Revenue (Decoupling)'!G10</f>
        <v>49183281.920000002</v>
      </c>
      <c r="O10" s="165">
        <f>'Schedule 149 Revenue'!F8</f>
        <v>6760816.558434099</v>
      </c>
      <c r="P10" s="171">
        <f>SUM(E10:O10)</f>
        <v>555234674.18659139</v>
      </c>
      <c r="Q10" s="165">
        <f>SUM('Schedule 141 Revenue'!$H$9:$H$14)</f>
        <v>19054825.133357141</v>
      </c>
      <c r="R10" s="165">
        <f>SUM('Schedule X Revenue'!$H$9:$H$14)</f>
        <v>-4288329.5448346063</v>
      </c>
      <c r="S10" s="773">
        <f>SUM(Q10:R10)</f>
        <v>14766495.588522535</v>
      </c>
      <c r="T10" s="244">
        <f>S10/P10</f>
        <v>2.6595053001967465E-2</v>
      </c>
    </row>
    <row r="11" spans="2:20" x14ac:dyDescent="0.25">
      <c r="B11" t="s">
        <v>31</v>
      </c>
      <c r="C11" s="8">
        <v>16</v>
      </c>
      <c r="D11" s="194">
        <f>'Normalized Therms'!P11</f>
        <v>9592.0450000000001</v>
      </c>
      <c r="E11" s="165">
        <v>4891.9429499999997</v>
      </c>
      <c r="F11" s="165">
        <v>3135.0841815789481</v>
      </c>
      <c r="G11" s="165">
        <f>'Schedule 106 Revenue'!F9</f>
        <v>-560.38</v>
      </c>
      <c r="H11" s="165">
        <f>'Schedule 120 Revenue'!F9</f>
        <v>163.35252635000001</v>
      </c>
      <c r="I11" s="165">
        <v>0</v>
      </c>
      <c r="J11" s="165">
        <f>'Schedule 132 Revenue'!F9</f>
        <v>-34.339521099999999</v>
      </c>
      <c r="K11" s="165">
        <f>'Schedule 140 Revenue'!F9</f>
        <v>234.81326160000003</v>
      </c>
      <c r="L11" s="165">
        <f>'Schedule 141 Revenue'!G17</f>
        <v>0</v>
      </c>
      <c r="M11" s="165">
        <f>'Sch 142 Revenue (Rate Plan)'!G10</f>
        <v>0</v>
      </c>
      <c r="N11" s="165"/>
      <c r="O11" s="165">
        <f>'Schedule 149 Revenue'!F9</f>
        <v>107.52682444999999</v>
      </c>
      <c r="P11" s="171">
        <f t="shared" ref="P11:P22" si="0">SUM(E11:O11)</f>
        <v>7938.0002228789481</v>
      </c>
      <c r="Q11" s="165">
        <f>'Schedule 141 Revenue'!$H$17</f>
        <v>297.85823947368414</v>
      </c>
      <c r="R11" s="165">
        <f>'Schedule X Revenue'!$H$17</f>
        <v>-65.629781578946861</v>
      </c>
      <c r="S11" s="773">
        <f t="shared" ref="S11:S22" si="1">SUM(Q11:R11)</f>
        <v>232.22845789473729</v>
      </c>
      <c r="T11" s="244">
        <f t="shared" ref="T11:T22" si="2">S11/P11</f>
        <v>2.9255284879610755E-2</v>
      </c>
    </row>
    <row r="12" spans="2:20" x14ac:dyDescent="0.25">
      <c r="B12" t="s">
        <v>8</v>
      </c>
      <c r="C12" s="8">
        <v>31</v>
      </c>
      <c r="D12" s="194">
        <f>'Normalized Therms'!P13</f>
        <v>228604732.46999997</v>
      </c>
      <c r="E12" s="165">
        <v>91578256.92346701</v>
      </c>
      <c r="F12" s="165">
        <v>72863186.380163103</v>
      </c>
      <c r="G12" s="165">
        <f>'Schedule 106 Revenue'!F10</f>
        <v>-13320797.76</v>
      </c>
      <c r="H12" s="165">
        <f>'Schedule 120 Revenue'!F10</f>
        <v>3893138.5939640994</v>
      </c>
      <c r="I12" s="165">
        <f>'Schedule 129 Revenue'!G10</f>
        <v>978428.2549715999</v>
      </c>
      <c r="J12" s="165">
        <f>'Schedule 132 Revenue'!F10</f>
        <v>-566939.73652559996</v>
      </c>
      <c r="K12" s="165">
        <f>'Schedule 140 Revenue'!F10</f>
        <v>6028306.7952338997</v>
      </c>
      <c r="L12" s="165">
        <f>SUM('Schedule 141 Revenue'!G20:G22)</f>
        <v>0</v>
      </c>
      <c r="M12" s="165"/>
      <c r="N12" s="165">
        <f>'Sch 142 Revenue (Decoupling)'!G15</f>
        <v>1659670.3599999999</v>
      </c>
      <c r="O12" s="165">
        <f>'Schedule 149 Revenue'!F10</f>
        <v>2487219.4892735998</v>
      </c>
      <c r="P12" s="171">
        <f t="shared" si="0"/>
        <v>165600469.30054775</v>
      </c>
      <c r="Q12" s="165">
        <f>SUM('Schedule 141 Revenue'!$H$20:$H$22)</f>
        <v>6031970.3797371164</v>
      </c>
      <c r="R12" s="165">
        <f>SUM('Schedule X Revenue'!$H$20:$H$22)</f>
        <v>-1259035.3204846003</v>
      </c>
      <c r="S12" s="773">
        <f t="shared" si="1"/>
        <v>4772935.0592525164</v>
      </c>
      <c r="T12" s="244">
        <f t="shared" si="2"/>
        <v>2.8821989934038967E-2</v>
      </c>
    </row>
    <row r="13" spans="2:20" x14ac:dyDescent="0.25">
      <c r="B13" t="s">
        <v>9</v>
      </c>
      <c r="C13" s="8">
        <v>41</v>
      </c>
      <c r="D13" s="194">
        <f>'Normalized Therms'!P14</f>
        <v>63966868.016999997</v>
      </c>
      <c r="E13" s="165">
        <v>14456233.31830545</v>
      </c>
      <c r="F13" s="165">
        <v>18624424.888310701</v>
      </c>
      <c r="G13" s="165">
        <f>'Schedule 106 Revenue'!F11</f>
        <v>-3723511.39</v>
      </c>
      <c r="H13" s="165">
        <f>'Schedule 120 Revenue'!F11</f>
        <v>1089355.7623295099</v>
      </c>
      <c r="I13" s="165">
        <f>'Schedule 129 Revenue'!G13</f>
        <v>143925.45303824998</v>
      </c>
      <c r="J13" s="165">
        <f>'Schedule 132 Revenue'!F11</f>
        <v>-159277.50136232999</v>
      </c>
      <c r="K13" s="165">
        <f>'Schedule 140 Revenue'!F11</f>
        <v>583377.83631503989</v>
      </c>
      <c r="L13" s="165">
        <f>SUM('Schedule 141 Revenue'!G32:G41)</f>
        <v>0</v>
      </c>
      <c r="M13" s="165"/>
      <c r="N13" s="165">
        <f>'Sch 142 Revenue (Decoupling)'!G28</f>
        <v>1266103.8999999999</v>
      </c>
      <c r="O13" s="165">
        <f>'Schedule 149 Revenue'!F11</f>
        <v>397873.91906573996</v>
      </c>
      <c r="P13" s="171">
        <f t="shared" si="0"/>
        <v>32678506.186002355</v>
      </c>
      <c r="Q13" s="165">
        <f>SUM('Schedule 141 Revenue'!$H$32:$H$41)</f>
        <v>1159420.1974828946</v>
      </c>
      <c r="R13" s="165">
        <f>SUM('Schedule X Revenue'!$H$32:$H$41)</f>
        <v>-198981.87008722575</v>
      </c>
      <c r="S13" s="773">
        <f t="shared" si="1"/>
        <v>960438.32739566895</v>
      </c>
      <c r="T13" s="244">
        <f t="shared" si="2"/>
        <v>2.9390521155678379E-2</v>
      </c>
    </row>
    <row r="14" spans="2:20" x14ac:dyDescent="0.25">
      <c r="B14" t="s">
        <v>10</v>
      </c>
      <c r="C14" s="8">
        <v>85</v>
      </c>
      <c r="D14" s="194">
        <f>'Normalized Therms'!P15</f>
        <v>16307789.425999999</v>
      </c>
      <c r="E14" s="165">
        <v>1589956.2565282346</v>
      </c>
      <c r="F14" s="165">
        <v>4494980.4766552001</v>
      </c>
      <c r="G14" s="165">
        <f>'Schedule 106 Revenue'!F12</f>
        <v>-948950.27</v>
      </c>
      <c r="H14" s="165">
        <f>'Schedule 120 Revenue'!F12</f>
        <v>243475.29613017998</v>
      </c>
      <c r="I14" s="165">
        <f>'Schedule 129 Revenue'!G20</f>
        <v>18238.357395419996</v>
      </c>
      <c r="J14" s="165">
        <f>'Schedule 132 Revenue'!F12</f>
        <v>-7827.7389244799997</v>
      </c>
      <c r="K14" s="165">
        <f>'Schedule 140 Revenue'!F12</f>
        <v>71917.351368659991</v>
      </c>
      <c r="L14" s="165">
        <f>SUM('Schedule 141 Revenue'!G54:G61)</f>
        <v>0</v>
      </c>
      <c r="M14" s="165">
        <f>'Sch 142 Revenue (Rate Plan)'!G20</f>
        <v>0</v>
      </c>
      <c r="N14" s="165"/>
      <c r="O14" s="165">
        <f>'Schedule 149 Revenue'!F12</f>
        <v>53978.783000059993</v>
      </c>
      <c r="P14" s="171">
        <f t="shared" si="0"/>
        <v>5515768.5121532753</v>
      </c>
      <c r="Q14" s="165">
        <f>SUM('Schedule 141 Revenue'!$H$54:$H$61)</f>
        <v>156474.36712188696</v>
      </c>
      <c r="R14" s="165">
        <f>SUM('Schedule X Revenue'!$H$54:$H$61)</f>
        <v>-21886.223099732404</v>
      </c>
      <c r="S14" s="773">
        <f t="shared" si="1"/>
        <v>134588.14402215456</v>
      </c>
      <c r="T14" s="244">
        <f t="shared" si="2"/>
        <v>2.440061502320251E-2</v>
      </c>
    </row>
    <row r="15" spans="2:20" x14ac:dyDescent="0.25">
      <c r="B15" t="s">
        <v>11</v>
      </c>
      <c r="C15" s="8">
        <v>86</v>
      </c>
      <c r="D15" s="194">
        <f>'Normalized Therms'!P16</f>
        <v>9107268.5420000013</v>
      </c>
      <c r="E15" s="165">
        <v>1944724.1433509393</v>
      </c>
      <c r="F15" s="165">
        <v>2526653.7291643196</v>
      </c>
      <c r="G15" s="165">
        <f>'Schedule 106 Revenue'!F13</f>
        <v>-529951.96</v>
      </c>
      <c r="H15" s="165">
        <f>'Schedule 120 Revenue'!F13</f>
        <v>135971.51933206004</v>
      </c>
      <c r="I15" s="165">
        <f>'Schedule 129 Revenue'!G22</f>
        <v>19944.918106980003</v>
      </c>
      <c r="J15" s="165">
        <f>'Schedule 132 Revenue'!F13</f>
        <v>-23041.389411260003</v>
      </c>
      <c r="K15" s="165">
        <f>'Schedule 140 Revenue'!F13</f>
        <v>77685.000663260013</v>
      </c>
      <c r="L15" s="165">
        <f>SUM('Schedule 141 Revenue'!G73:G79)</f>
        <v>0</v>
      </c>
      <c r="M15" s="165"/>
      <c r="N15" s="165">
        <f>'Sch 142 Revenue (Decoupling)'!G46</f>
        <v>179041.35</v>
      </c>
      <c r="O15" s="165">
        <f>'Schedule 149 Revenue'!F13</f>
        <v>37795.164449300006</v>
      </c>
      <c r="P15" s="171">
        <f t="shared" si="0"/>
        <v>4368822.4756555995</v>
      </c>
      <c r="Q15" s="165">
        <f>SUM('Schedule 141 Revenue'!$H$73:$H$79)</f>
        <v>156592.62078755643</v>
      </c>
      <c r="R15" s="165">
        <f>SUM('Schedule X Revenue'!$H$73:$H$79)</f>
        <v>-26767.613409920974</v>
      </c>
      <c r="S15" s="773">
        <f t="shared" si="1"/>
        <v>129825.00737763545</v>
      </c>
      <c r="T15" s="244">
        <f t="shared" si="2"/>
        <v>2.9716246906588598E-2</v>
      </c>
    </row>
    <row r="16" spans="2:20" x14ac:dyDescent="0.25">
      <c r="B16" t="s">
        <v>12</v>
      </c>
      <c r="C16" s="8">
        <v>87</v>
      </c>
      <c r="D16" s="194">
        <f>'Normalized Therms'!P17</f>
        <v>23273158.627999999</v>
      </c>
      <c r="E16" s="165">
        <v>1093496.3989577971</v>
      </c>
      <c r="F16" s="165">
        <v>6293993.0193563206</v>
      </c>
      <c r="G16" s="165">
        <f>'Schedule 106 Revenue'!F14</f>
        <v>-1353799.64</v>
      </c>
      <c r="H16" s="165">
        <f>'Schedule 120 Revenue'!F14</f>
        <v>347468.25831603998</v>
      </c>
      <c r="I16" s="165">
        <f>'Schedule 129 Revenue'!G32</f>
        <v>10512.457794129999</v>
      </c>
      <c r="J16" s="165">
        <f>'Schedule 132 Revenue'!F14</f>
        <v>-8843.8002786399993</v>
      </c>
      <c r="K16" s="165">
        <f>'Schedule 140 Revenue'!F14</f>
        <v>68423.08636632</v>
      </c>
      <c r="L16" s="165">
        <f>SUM('Schedule 141 Revenue'!G91:G101)</f>
        <v>0</v>
      </c>
      <c r="M16" s="165">
        <f>'Sch 142 Revenue (Rate Plan)'!G44</f>
        <v>0</v>
      </c>
      <c r="N16" s="165"/>
      <c r="O16" s="165">
        <f>'Schedule 149 Revenue'!F14</f>
        <v>47011.78042856</v>
      </c>
      <c r="P16" s="171">
        <f t="shared" si="0"/>
        <v>6498261.5609405283</v>
      </c>
      <c r="Q16" s="165">
        <f>SUM('Schedule 141 Revenue'!$H$91:$H$101)</f>
        <v>107678.99516696806</v>
      </c>
      <c r="R16" s="165">
        <f>SUM('Schedule X Revenue'!$H$91:$H$101)</f>
        <v>-15128.371995987394</v>
      </c>
      <c r="S16" s="773">
        <f t="shared" si="1"/>
        <v>92550.62317098066</v>
      </c>
      <c r="T16" s="244">
        <f t="shared" si="2"/>
        <v>1.4242366562663462E-2</v>
      </c>
    </row>
    <row r="17" spans="2:23" x14ac:dyDescent="0.25">
      <c r="B17" t="s">
        <v>32</v>
      </c>
      <c r="C17" s="8" t="s">
        <v>33</v>
      </c>
      <c r="D17" s="194">
        <f>'Normalized Therms'!P18</f>
        <v>43413.770000000004</v>
      </c>
      <c r="E17" s="165">
        <v>25885.709759820398</v>
      </c>
      <c r="F17" s="165">
        <v>30.389638999999999</v>
      </c>
      <c r="G17" s="223"/>
      <c r="H17" s="165"/>
      <c r="I17" s="165">
        <f>'Schedule 129 Revenue'!G11</f>
        <v>185.81093560000002</v>
      </c>
      <c r="J17" s="165">
        <f>'Schedule 132 Revenue'!F15</f>
        <v>-107.66614960000001</v>
      </c>
      <c r="K17" s="165">
        <f>'Schedule 140 Revenue'!F15</f>
        <v>1144.8211149000001</v>
      </c>
      <c r="L17" s="165">
        <f>SUM('Schedule 141 Revenue'!G25:G26)</f>
        <v>0</v>
      </c>
      <c r="M17" s="165"/>
      <c r="N17" s="165">
        <f>'Sch 142 Revenue (Decoupling)'!G20</f>
        <v>306.5</v>
      </c>
      <c r="O17" s="165">
        <f>'Schedule 149 Revenue'!F15</f>
        <v>472.34181760000007</v>
      </c>
      <c r="P17" s="171">
        <f t="shared" si="0"/>
        <v>27917.907117320399</v>
      </c>
      <c r="Q17" s="165">
        <f>SUM('Schedule 141 Revenue'!$H$25:$H$26)</f>
        <v>1107.6281126969516</v>
      </c>
      <c r="R17" s="165">
        <f>SUM('Schedule X Revenue'!$H$25:$H$26)</f>
        <v>-356.01592064631086</v>
      </c>
      <c r="S17" s="773">
        <f t="shared" si="1"/>
        <v>751.61219205064072</v>
      </c>
      <c r="T17" s="244">
        <f t="shared" si="2"/>
        <v>2.6922225541195281E-2</v>
      </c>
    </row>
    <row r="18" spans="2:23" x14ac:dyDescent="0.25">
      <c r="B18" t="s">
        <v>34</v>
      </c>
      <c r="C18" t="s">
        <v>35</v>
      </c>
      <c r="D18" s="194">
        <f>'Normalized Therms'!P19</f>
        <v>19254249.518999998</v>
      </c>
      <c r="E18" s="165">
        <v>3995567.7266982314</v>
      </c>
      <c r="F18" s="165">
        <v>13477.9746633</v>
      </c>
      <c r="G18" s="223"/>
      <c r="H18" s="165"/>
      <c r="I18" s="165">
        <f>'Schedule 129 Revenue'!G14</f>
        <v>43322.061417749988</v>
      </c>
      <c r="J18" s="165">
        <f>'Schedule 132 Revenue'!F16</f>
        <v>-47943.081302309991</v>
      </c>
      <c r="K18" s="165">
        <f>'Schedule 140 Revenue'!F16</f>
        <v>175598.75561327997</v>
      </c>
      <c r="L18" s="165">
        <f>SUM('Schedule 141 Revenue'!G44:G51)</f>
        <v>0</v>
      </c>
      <c r="M18" s="165"/>
      <c r="N18" s="165">
        <f>'Sch 142 Revenue (Decoupling)'!G36</f>
        <v>389154.95</v>
      </c>
      <c r="O18" s="165">
        <f>'Schedule 149 Revenue'!F16</f>
        <v>119761.43200817998</v>
      </c>
      <c r="P18" s="171">
        <f>SUM(E18:O18)</f>
        <v>4688939.8190984316</v>
      </c>
      <c r="Q18" s="165">
        <f>SUM('Schedule 141 Revenue'!$H$44:$H$51)</f>
        <v>171214.0154874326</v>
      </c>
      <c r="R18" s="165">
        <f>SUM('Schedule X Revenue'!$H$44:$H$51)</f>
        <v>-54971.532564559064</v>
      </c>
      <c r="S18" s="773">
        <f t="shared" si="1"/>
        <v>116242.48292287353</v>
      </c>
      <c r="T18" s="244">
        <f t="shared" si="2"/>
        <v>2.4790781585510756E-2</v>
      </c>
    </row>
    <row r="19" spans="2:23" x14ac:dyDescent="0.25">
      <c r="B19" t="s">
        <v>36</v>
      </c>
      <c r="C19" t="s">
        <v>37</v>
      </c>
      <c r="D19" s="194">
        <f>'Normalized Therms'!P20</f>
        <v>76582587.120000005</v>
      </c>
      <c r="E19" s="165">
        <v>7037315.1964751901</v>
      </c>
      <c r="F19" s="165">
        <v>53607.810984000011</v>
      </c>
      <c r="G19" s="223"/>
      <c r="H19" s="165"/>
      <c r="I19" s="165">
        <f>'Schedule 129 Revenue'!G38</f>
        <v>76771.472940399995</v>
      </c>
      <c r="J19" s="165">
        <f>'Schedule 132 Revenue'!F17</f>
        <v>-36759.641817600001</v>
      </c>
      <c r="K19" s="165">
        <f>'Schedule 140 Revenue'!F17</f>
        <v>337729.20919920004</v>
      </c>
      <c r="L19" s="165">
        <f>SUM('Schedule 141 Revenue'!G64:G70)</f>
        <v>0</v>
      </c>
      <c r="M19" s="165">
        <f>'Sch 142 Revenue (Rate Plan)'!G29</f>
        <v>0</v>
      </c>
      <c r="N19" s="165"/>
      <c r="O19" s="165">
        <f>'Schedule 149 Revenue'!F17</f>
        <v>253488.36336720001</v>
      </c>
      <c r="P19" s="171">
        <f t="shared" si="0"/>
        <v>7722152.4111483907</v>
      </c>
      <c r="Q19" s="165">
        <f>SUM('Schedule 141 Revenue'!$H$64:$H$70)</f>
        <v>302602.67537115456</v>
      </c>
      <c r="R19" s="165">
        <f>SUM('Schedule X Revenue'!$H$64:$H$70)</f>
        <v>-96736.773002275528</v>
      </c>
      <c r="S19" s="773">
        <f t="shared" si="1"/>
        <v>205865.90236887903</v>
      </c>
      <c r="T19" s="244">
        <f t="shared" si="2"/>
        <v>2.6659134838063099E-2</v>
      </c>
    </row>
    <row r="20" spans="2:23" x14ac:dyDescent="0.25">
      <c r="B20" t="s">
        <v>38</v>
      </c>
      <c r="C20" t="s">
        <v>39</v>
      </c>
      <c r="D20" s="194">
        <f>'Normalized Therms'!P21</f>
        <v>354636.7</v>
      </c>
      <c r="E20" s="165">
        <v>84408.74029168782</v>
      </c>
      <c r="F20" s="165">
        <v>248.24569000000002</v>
      </c>
      <c r="G20" s="223"/>
      <c r="H20" s="165"/>
      <c r="I20" s="165">
        <f>'Schedule 129 Revenue'!G23</f>
        <v>776.65437300000008</v>
      </c>
      <c r="J20" s="165">
        <f>'Schedule 132 Revenue'!F18</f>
        <v>-897.23085100000003</v>
      </c>
      <c r="K20" s="165">
        <f>'Schedule 140 Revenue'!F18</f>
        <v>3025.0510509999999</v>
      </c>
      <c r="L20" s="165">
        <f>SUM('Schedule 141 Revenue'!G82:G88)</f>
        <v>0</v>
      </c>
      <c r="M20" s="165"/>
      <c r="N20" s="165">
        <f>'Sch 142 Revenue (Decoupling)'!G53</f>
        <v>7098.91</v>
      </c>
      <c r="O20" s="165">
        <f>'Schedule 149 Revenue'!F18</f>
        <v>1471.742305</v>
      </c>
      <c r="P20" s="171">
        <f t="shared" si="0"/>
        <v>96132.112859687826</v>
      </c>
      <c r="Q20" s="165">
        <f>SUM('Schedule 141 Revenue'!$H$82:$H$88)</f>
        <v>3616.0343886709061</v>
      </c>
      <c r="R20" s="165">
        <f>SUM('Schedule X Revenue'!$H$82:$H$88)</f>
        <v>-1160.2926874317363</v>
      </c>
      <c r="S20" s="773">
        <f t="shared" si="1"/>
        <v>2455.7417012391697</v>
      </c>
      <c r="T20" s="244">
        <f t="shared" si="2"/>
        <v>2.5545487643900147E-2</v>
      </c>
    </row>
    <row r="21" spans="2:23" x14ac:dyDescent="0.25">
      <c r="B21" t="s">
        <v>40</v>
      </c>
      <c r="C21" t="s">
        <v>41</v>
      </c>
      <c r="D21" s="194">
        <f>'Normalized Therms'!P22</f>
        <v>103884321.25000001</v>
      </c>
      <c r="E21" s="165">
        <v>3564358.6664720275</v>
      </c>
      <c r="F21" s="165">
        <v>72719.024875000003</v>
      </c>
      <c r="G21" s="165"/>
      <c r="H21" s="165"/>
      <c r="I21" s="165">
        <f>'Schedule 129 Revenue'!G47</f>
        <v>37708.554543300001</v>
      </c>
      <c r="J21" s="165">
        <f>'Schedule 132 Revenue'!F19</f>
        <v>-39476.042075000005</v>
      </c>
      <c r="K21" s="165">
        <f>'Schedule 140 Revenue'!F19</f>
        <v>305419.90447500005</v>
      </c>
      <c r="L21" s="165">
        <f>SUM('Schedule 141 Revenue'!G104:G114)</f>
        <v>0</v>
      </c>
      <c r="M21" s="165">
        <f>'Sch 142 Revenue (Rate Plan)'!G56</f>
        <v>0</v>
      </c>
      <c r="N21" s="165"/>
      <c r="O21" s="165">
        <f>'Schedule 149 Revenue'!F19</f>
        <v>209846.32892500004</v>
      </c>
      <c r="P21" s="171">
        <f t="shared" si="0"/>
        <v>4150576.4372153282</v>
      </c>
      <c r="Q21" s="165">
        <f>SUM('Schedule 141 Revenue'!$H$104:$H$114)</f>
        <v>154300.69431600688</v>
      </c>
      <c r="R21" s="165">
        <f>SUM('Schedule X Revenue'!$H$104:$H$114)</f>
        <v>-49051.944810320332</v>
      </c>
      <c r="S21" s="773">
        <f t="shared" si="1"/>
        <v>105248.74950568654</v>
      </c>
      <c r="T21" s="244">
        <f t="shared" si="2"/>
        <v>2.5357622271931751E-2</v>
      </c>
    </row>
    <row r="22" spans="2:23" x14ac:dyDescent="0.25">
      <c r="B22" t="s">
        <v>13</v>
      </c>
      <c r="D22" s="194">
        <f>'Normalized Therms'!P23</f>
        <v>37275691.68</v>
      </c>
      <c r="E22" s="165">
        <v>1726553.2512827553</v>
      </c>
      <c r="F22" s="165"/>
      <c r="G22" s="165"/>
      <c r="H22" s="165"/>
      <c r="I22" s="165">
        <v>0</v>
      </c>
      <c r="J22" s="165">
        <f>'Schedule 132 Revenue'!F20</f>
        <v>-8573.4090864000009</v>
      </c>
      <c r="K22" s="165">
        <f>'Schedule 140 Revenue'!F20</f>
        <v>119654.9702928</v>
      </c>
      <c r="L22" s="165">
        <f>'Schedule 141 Revenue'!G139</f>
        <v>0</v>
      </c>
      <c r="M22" s="165"/>
      <c r="N22" s="165"/>
      <c r="O22" s="165">
        <f>'Schedule 149 Revenue'!F20</f>
        <v>92070.958449600002</v>
      </c>
      <c r="P22" s="171">
        <f t="shared" si="0"/>
        <v>1929705.7709387555</v>
      </c>
      <c r="Q22" s="165">
        <f>'Schedule 141 Revenue'!$H$139</f>
        <v>35274.722042470239</v>
      </c>
      <c r="R22" s="165">
        <f>'Schedule X Revenue'!$H$139</f>
        <v>-11662.625379653648</v>
      </c>
      <c r="S22" s="773">
        <f t="shared" si="1"/>
        <v>23612.096662816592</v>
      </c>
      <c r="T22" s="244">
        <f t="shared" si="2"/>
        <v>1.2236112374442387E-2</v>
      </c>
    </row>
    <row r="23" spans="2:23" x14ac:dyDescent="0.25">
      <c r="B23" t="s">
        <v>6</v>
      </c>
      <c r="D23" s="15">
        <f>SUM(D10:D22)</f>
        <v>1181770157.3770001</v>
      </c>
      <c r="E23" s="16">
        <f>SUM(E10:E22)</f>
        <v>438420883.93728304</v>
      </c>
      <c r="F23" s="16">
        <f t="shared" ref="F23:H23" si="3">SUM(F10:F22)</f>
        <v>301952305.47160286</v>
      </c>
      <c r="G23" s="16">
        <f t="shared" si="3"/>
        <v>-55026563.030000009</v>
      </c>
      <c r="H23" s="16">
        <f t="shared" si="3"/>
        <v>15980465.377614539</v>
      </c>
      <c r="I23" s="16">
        <f>SUM(I10:I22)</f>
        <v>4568492.4004041292</v>
      </c>
      <c r="J23" s="16">
        <f t="shared" ref="J23:K23" si="4">SUM(J10:J22)</f>
        <v>-3058840.5138971196</v>
      </c>
      <c r="K23" s="16">
        <f t="shared" si="4"/>
        <v>22536548.759135753</v>
      </c>
      <c r="L23" s="16">
        <f t="shared" ref="L23:P23" si="5">SUM(L10:L22)</f>
        <v>0</v>
      </c>
      <c r="M23" s="16">
        <f t="shared" si="5"/>
        <v>0</v>
      </c>
      <c r="N23" s="16">
        <f t="shared" si="5"/>
        <v>52684657.890000001</v>
      </c>
      <c r="O23" s="16">
        <f t="shared" si="5"/>
        <v>10461914.388348391</v>
      </c>
      <c r="P23" s="172">
        <f t="shared" si="5"/>
        <v>788519864.68049181</v>
      </c>
      <c r="Q23" s="16">
        <f>SUM(Q10:Q22)</f>
        <v>27335375.321611471</v>
      </c>
      <c r="R23" s="16">
        <f>SUM(R10:R22)</f>
        <v>-6024133.7580585387</v>
      </c>
      <c r="S23" s="16">
        <f>SUM(S10:S22)</f>
        <v>21311241.563552931</v>
      </c>
      <c r="T23" s="245">
        <f>S23/P23</f>
        <v>2.7026892432428756E-2</v>
      </c>
      <c r="U23" s="12"/>
    </row>
    <row r="24" spans="2:23" s="24" customFormat="1" x14ac:dyDescent="0.25">
      <c r="B24" s="17"/>
      <c r="C24" s="18"/>
      <c r="D24" s="21"/>
      <c r="E24" s="22"/>
      <c r="F24" s="21"/>
      <c r="G24" s="21"/>
      <c r="H24" s="21"/>
      <c r="I24" s="20"/>
      <c r="J24" s="21"/>
      <c r="K24" s="20"/>
      <c r="L24" s="20"/>
      <c r="M24" s="20"/>
      <c r="N24" s="20"/>
      <c r="O24" s="20"/>
      <c r="P24" s="20"/>
      <c r="Q24" s="23"/>
      <c r="R24" s="23"/>
      <c r="S24" s="23"/>
      <c r="T24" s="27"/>
    </row>
    <row r="25" spans="2:23" s="24" customFormat="1" x14ac:dyDescent="0.25">
      <c r="B25" s="17" t="s">
        <v>454</v>
      </c>
      <c r="C25" s="17"/>
      <c r="D25" s="222">
        <f>'12ME Jun18 Rentals'!O28</f>
        <v>356738.40836915449</v>
      </c>
      <c r="E25" s="165">
        <v>5364365.7215311108</v>
      </c>
      <c r="F25" s="19"/>
      <c r="G25" s="21"/>
      <c r="H25" s="21"/>
      <c r="I25" s="165"/>
      <c r="J25" s="165">
        <f>'Schedule 132 Revenue'!F23</f>
        <v>-49943.377171681634</v>
      </c>
      <c r="K25" s="165">
        <f>'Schedule 140 Revenue'!F23</f>
        <v>210475.66093780115</v>
      </c>
      <c r="L25" s="165">
        <f>SUM('Schedule 141 Revenue'!G117:G137)</f>
        <v>0</v>
      </c>
      <c r="M25" s="165">
        <f>'Sch 142 Revenue (Rate Plan)'!G86</f>
        <v>0</v>
      </c>
      <c r="N25" s="165"/>
      <c r="O25" s="251">
        <f>'Schedule 149 Revenue'!F23</f>
        <v>0</v>
      </c>
      <c r="P25" s="171">
        <f>SUM(E25:O25)</f>
        <v>5524898.0052972306</v>
      </c>
      <c r="Q25" s="165">
        <f>SUM('Schedule 141 Revenue'!$H$117:$H$137)</f>
        <v>229704.85453490872</v>
      </c>
      <c r="R25" s="165">
        <f>SUM('Schedule X Revenue'!$H$117:$H$137)</f>
        <v>-73993.859107714234</v>
      </c>
      <c r="S25" s="773">
        <f>SUM(Q25:R25)</f>
        <v>155710.99542719449</v>
      </c>
      <c r="T25" s="244">
        <f>S25/P25</f>
        <v>2.8183505881538441E-2</v>
      </c>
      <c r="U25" s="27"/>
      <c r="V25" s="25"/>
      <c r="W25" s="28"/>
    </row>
    <row r="26" spans="2:23" s="24" customFormat="1" x14ac:dyDescent="0.25">
      <c r="B26" s="29" t="s">
        <v>6</v>
      </c>
      <c r="C26" s="29"/>
      <c r="D26" s="31"/>
      <c r="E26" s="30">
        <f>E23+E25</f>
        <v>443785249.65881413</v>
      </c>
      <c r="F26" s="30">
        <f t="shared" ref="F26:H26" si="6">F23+F25</f>
        <v>301952305.47160286</v>
      </c>
      <c r="G26" s="30">
        <f t="shared" si="6"/>
        <v>-55026563.030000009</v>
      </c>
      <c r="H26" s="30">
        <f t="shared" si="6"/>
        <v>15980465.377614539</v>
      </c>
      <c r="I26" s="30">
        <f>I23+I25</f>
        <v>4568492.4004041292</v>
      </c>
      <c r="J26" s="30">
        <f t="shared" ref="J26:Q26" si="7">J23+J25</f>
        <v>-3108783.8910688013</v>
      </c>
      <c r="K26" s="30">
        <f t="shared" si="7"/>
        <v>22747024.420073554</v>
      </c>
      <c r="L26" s="30">
        <f t="shared" si="7"/>
        <v>0</v>
      </c>
      <c r="M26" s="30">
        <f t="shared" si="7"/>
        <v>0</v>
      </c>
      <c r="N26" s="30">
        <f t="shared" si="7"/>
        <v>52684657.890000001</v>
      </c>
      <c r="O26" s="30">
        <f t="shared" si="7"/>
        <v>10461914.388348391</v>
      </c>
      <c r="P26" s="30">
        <f t="shared" si="7"/>
        <v>794044762.68578899</v>
      </c>
      <c r="Q26" s="30">
        <f t="shared" si="7"/>
        <v>27565080.176146381</v>
      </c>
      <c r="R26" s="30">
        <f t="shared" ref="R26:S26" si="8">R23+R25</f>
        <v>-6098127.6171662528</v>
      </c>
      <c r="S26" s="30">
        <f t="shared" si="8"/>
        <v>21466952.558980126</v>
      </c>
      <c r="T26" s="245">
        <f>S26/P26</f>
        <v>2.7034940053467491E-2</v>
      </c>
      <c r="U26" s="27"/>
    </row>
    <row r="27" spans="2:23" x14ac:dyDescent="0.25">
      <c r="I27" s="12"/>
      <c r="L27" s="12"/>
      <c r="M27" s="12"/>
      <c r="N27" s="12"/>
      <c r="P27" s="12"/>
      <c r="T27" s="246"/>
    </row>
    <row r="28" spans="2:23" x14ac:dyDescent="0.25">
      <c r="D28" s="32"/>
      <c r="I28" s="12"/>
      <c r="L28" s="12"/>
      <c r="M28" s="12"/>
      <c r="N28" s="12"/>
      <c r="P28" s="12"/>
      <c r="Q28" s="12"/>
      <c r="R28" s="12"/>
      <c r="S28" s="12"/>
      <c r="T28" s="246"/>
    </row>
    <row r="29" spans="2:23" s="24" customFormat="1" x14ac:dyDescent="0.25">
      <c r="B29" s="33" t="s">
        <v>42</v>
      </c>
      <c r="C29" s="33"/>
      <c r="Q29" s="34"/>
      <c r="R29" s="34"/>
      <c r="S29" s="34"/>
      <c r="T29" s="27"/>
    </row>
    <row r="30" spans="2:23" s="24" customFormat="1" x14ac:dyDescent="0.25">
      <c r="B30" s="29" t="s">
        <v>43</v>
      </c>
      <c r="C30" s="29"/>
      <c r="E30" s="35">
        <f>E10+E11</f>
        <v>311324127.60569382</v>
      </c>
      <c r="I30" s="35"/>
      <c r="L30" s="35"/>
      <c r="M30" s="35"/>
      <c r="N30" s="35"/>
      <c r="P30" s="35">
        <f>P10+P11</f>
        <v>555242612.18681431</v>
      </c>
      <c r="Q30" s="12">
        <f>SUM(Q10:Q11)</f>
        <v>19055122.991596613</v>
      </c>
      <c r="R30" s="12">
        <f>SUM(R10:R11)</f>
        <v>-4288395.174616185</v>
      </c>
      <c r="S30" s="12">
        <f>SUM(S10:S11)</f>
        <v>14766727.816980429</v>
      </c>
      <c r="T30" s="244">
        <f>S30/P30</f>
        <v>2.6595091033848977E-2</v>
      </c>
      <c r="U30" s="36"/>
    </row>
    <row r="31" spans="2:23" s="24" customFormat="1" x14ac:dyDescent="0.25">
      <c r="B31" s="37" t="s">
        <v>44</v>
      </c>
      <c r="C31" s="37"/>
      <c r="E31" s="35">
        <f>E12+E17</f>
        <v>91604142.633226827</v>
      </c>
      <c r="F31" s="39"/>
      <c r="G31" s="39"/>
      <c r="H31" s="39"/>
      <c r="I31" s="35"/>
      <c r="J31" s="39"/>
      <c r="K31" s="39"/>
      <c r="L31" s="35"/>
      <c r="M31" s="35"/>
      <c r="N31" s="35"/>
      <c r="O31" s="39"/>
      <c r="P31" s="35">
        <f>P12+P17</f>
        <v>165628387.20766506</v>
      </c>
      <c r="Q31" s="12">
        <f t="shared" ref="Q31:S35" si="9">SUM(Q12,Q17)</f>
        <v>6033078.0078498134</v>
      </c>
      <c r="R31" s="12">
        <f t="shared" si="9"/>
        <v>-1259391.3364052465</v>
      </c>
      <c r="S31" s="12">
        <f t="shared" si="9"/>
        <v>4773686.6714445669</v>
      </c>
      <c r="T31" s="244">
        <f t="shared" ref="T31:T36" si="10">S31/P31</f>
        <v>2.8821669714499565E-2</v>
      </c>
    </row>
    <row r="32" spans="2:23" s="24" customFormat="1" x14ac:dyDescent="0.25">
      <c r="B32" s="29" t="s">
        <v>45</v>
      </c>
      <c r="C32" s="29"/>
      <c r="E32" s="35">
        <f>E13+E18</f>
        <v>18451801.045003682</v>
      </c>
      <c r="F32" s="39"/>
      <c r="G32" s="39"/>
      <c r="H32" s="39"/>
      <c r="I32" s="35"/>
      <c r="J32" s="39"/>
      <c r="K32" s="39"/>
      <c r="L32" s="35"/>
      <c r="M32" s="35"/>
      <c r="N32" s="35"/>
      <c r="O32" s="39"/>
      <c r="P32" s="35">
        <f>P13+P18</f>
        <v>37367446.005100787</v>
      </c>
      <c r="Q32" s="12">
        <f t="shared" si="9"/>
        <v>1330634.2129703271</v>
      </c>
      <c r="R32" s="12">
        <f t="shared" si="9"/>
        <v>-253953.40265178483</v>
      </c>
      <c r="S32" s="12">
        <f t="shared" si="9"/>
        <v>1076680.8103185424</v>
      </c>
      <c r="T32" s="244">
        <f t="shared" si="10"/>
        <v>2.8813336886111287E-2</v>
      </c>
    </row>
    <row r="33" spans="2:20" s="24" customFormat="1" x14ac:dyDescent="0.25">
      <c r="B33" s="29" t="s">
        <v>46</v>
      </c>
      <c r="C33" s="29"/>
      <c r="E33" s="35">
        <f>E14+E19</f>
        <v>8627271.4530034252</v>
      </c>
      <c r="F33" s="39"/>
      <c r="G33" s="39"/>
      <c r="H33" s="39"/>
      <c r="I33" s="35"/>
      <c r="J33" s="39"/>
      <c r="K33" s="39"/>
      <c r="L33" s="35"/>
      <c r="M33" s="35"/>
      <c r="N33" s="35"/>
      <c r="O33" s="39"/>
      <c r="P33" s="35">
        <f>P14+P19</f>
        <v>13237920.923301667</v>
      </c>
      <c r="Q33" s="12">
        <f t="shared" si="9"/>
        <v>459077.04249304149</v>
      </c>
      <c r="R33" s="12">
        <f t="shared" si="9"/>
        <v>-118622.99610200794</v>
      </c>
      <c r="S33" s="12">
        <f t="shared" si="9"/>
        <v>340454.04639103357</v>
      </c>
      <c r="T33" s="244">
        <f t="shared" si="10"/>
        <v>2.5718090352976741E-2</v>
      </c>
    </row>
    <row r="34" spans="2:20" s="24" customFormat="1" x14ac:dyDescent="0.25">
      <c r="B34" s="29" t="s">
        <v>47</v>
      </c>
      <c r="C34" s="29"/>
      <c r="E34" s="35">
        <f>E15+E20</f>
        <v>2029132.8836426272</v>
      </c>
      <c r="F34" s="39"/>
      <c r="G34" s="39"/>
      <c r="H34" s="39"/>
      <c r="I34" s="206"/>
      <c r="J34" s="39"/>
      <c r="K34" s="39"/>
      <c r="L34" s="206"/>
      <c r="M34" s="206"/>
      <c r="N34" s="206"/>
      <c r="O34" s="39"/>
      <c r="P34" s="35">
        <f>P15+P20</f>
        <v>4464954.5885152873</v>
      </c>
      <c r="Q34" s="12">
        <f t="shared" si="9"/>
        <v>160208.65517622733</v>
      </c>
      <c r="R34" s="12">
        <f t="shared" si="9"/>
        <v>-27927.906097352708</v>
      </c>
      <c r="S34" s="12">
        <f t="shared" si="9"/>
        <v>132280.74907887462</v>
      </c>
      <c r="T34" s="244">
        <f t="shared" si="10"/>
        <v>2.9626448927190855E-2</v>
      </c>
    </row>
    <row r="35" spans="2:20" s="24" customFormat="1" x14ac:dyDescent="0.25">
      <c r="B35" s="17" t="s">
        <v>48</v>
      </c>
      <c r="C35" s="17"/>
      <c r="D35" s="31"/>
      <c r="E35" s="35">
        <f>E16+E21</f>
        <v>4657855.0654298244</v>
      </c>
      <c r="F35" s="38"/>
      <c r="G35" s="38"/>
      <c r="H35" s="38"/>
      <c r="I35" s="206"/>
      <c r="J35" s="38"/>
      <c r="K35" s="38"/>
      <c r="L35" s="206"/>
      <c r="M35" s="206"/>
      <c r="N35" s="206"/>
      <c r="O35" s="38"/>
      <c r="P35" s="35">
        <f>P16+P21</f>
        <v>10648837.998155857</v>
      </c>
      <c r="Q35" s="12">
        <f t="shared" si="9"/>
        <v>261979.68948297494</v>
      </c>
      <c r="R35" s="12">
        <f t="shared" si="9"/>
        <v>-64180.316806307725</v>
      </c>
      <c r="S35" s="12">
        <f t="shared" si="9"/>
        <v>197799.3726766672</v>
      </c>
      <c r="T35" s="244">
        <f t="shared" si="10"/>
        <v>1.8574737704801378E-2</v>
      </c>
    </row>
    <row r="36" spans="2:20" s="24" customFormat="1" x14ac:dyDescent="0.25">
      <c r="B36" s="40" t="s">
        <v>13</v>
      </c>
      <c r="C36" s="17"/>
      <c r="D36" s="31"/>
      <c r="E36" s="35">
        <f>E22</f>
        <v>1726553.2512827553</v>
      </c>
      <c r="F36" s="38"/>
      <c r="G36" s="38"/>
      <c r="H36" s="38"/>
      <c r="I36" s="206"/>
      <c r="J36" s="38"/>
      <c r="K36" s="38"/>
      <c r="L36" s="206"/>
      <c r="M36" s="206"/>
      <c r="N36" s="206"/>
      <c r="O36" s="38"/>
      <c r="P36" s="35">
        <f>P22</f>
        <v>1929705.7709387555</v>
      </c>
      <c r="Q36" s="12">
        <f>Q22</f>
        <v>35274.722042470239</v>
      </c>
      <c r="R36" s="12">
        <f>R22</f>
        <v>-11662.625379653648</v>
      </c>
      <c r="S36" s="12">
        <f>S22</f>
        <v>23612.096662816592</v>
      </c>
      <c r="T36" s="244">
        <f t="shared" si="10"/>
        <v>1.2236112374442387E-2</v>
      </c>
    </row>
    <row r="37" spans="2:20" s="24" customFormat="1" x14ac:dyDescent="0.25">
      <c r="B37" s="41" t="s">
        <v>14</v>
      </c>
      <c r="C37" s="41"/>
      <c r="D37" s="31"/>
      <c r="E37" s="42">
        <f>SUM(E30:E36)</f>
        <v>438420883.93728292</v>
      </c>
      <c r="F37" s="31"/>
      <c r="G37" s="31"/>
      <c r="H37" s="38"/>
      <c r="I37" s="206"/>
      <c r="J37" s="38"/>
      <c r="K37" s="38"/>
      <c r="L37" s="206"/>
      <c r="M37" s="206"/>
      <c r="N37" s="206"/>
      <c r="O37" s="38"/>
      <c r="P37" s="42">
        <f>SUM(P30:P36)</f>
        <v>788519864.68049181</v>
      </c>
      <c r="Q37" s="42">
        <f>SUM(Q30:Q36)</f>
        <v>27335375.321611468</v>
      </c>
      <c r="R37" s="42">
        <f>SUM(R30:R36)</f>
        <v>-6024133.7580585387</v>
      </c>
      <c r="S37" s="42">
        <f>SUM(S30:S36)</f>
        <v>21311241.563552924</v>
      </c>
      <c r="T37" s="245">
        <f>S37/P37</f>
        <v>2.7026892432428746E-2</v>
      </c>
    </row>
    <row r="38" spans="2:20" s="24" customFormat="1" x14ac:dyDescent="0.25">
      <c r="B38" s="17"/>
      <c r="C38" s="17"/>
      <c r="D38" s="31"/>
      <c r="E38" s="35"/>
      <c r="F38" s="31"/>
      <c r="G38" s="31"/>
      <c r="H38" s="38"/>
      <c r="I38" s="206"/>
      <c r="J38" s="38"/>
      <c r="K38" s="38"/>
      <c r="L38" s="206"/>
      <c r="M38" s="206"/>
      <c r="N38" s="206"/>
      <c r="O38" s="38"/>
      <c r="P38" s="35"/>
      <c r="Q38" s="35"/>
      <c r="R38" s="35"/>
      <c r="S38" s="35"/>
      <c r="T38" s="244"/>
    </row>
    <row r="39" spans="2:20" s="24" customFormat="1" x14ac:dyDescent="0.25">
      <c r="B39" s="17" t="s">
        <v>423</v>
      </c>
      <c r="C39" s="17"/>
      <c r="D39" s="31"/>
      <c r="E39" s="35">
        <f>E25</f>
        <v>5364365.7215311108</v>
      </c>
      <c r="F39" s="31"/>
      <c r="G39" s="31"/>
      <c r="H39" s="38"/>
      <c r="I39" s="206"/>
      <c r="J39" s="38"/>
      <c r="K39" s="38"/>
      <c r="L39" s="206"/>
      <c r="M39" s="206"/>
      <c r="N39" s="206"/>
      <c r="O39" s="38"/>
      <c r="P39" s="35">
        <f>P25</f>
        <v>5524898.0052972306</v>
      </c>
      <c r="Q39" s="12">
        <f>Q25</f>
        <v>229704.85453490872</v>
      </c>
      <c r="R39" s="12">
        <f>R25</f>
        <v>-73993.859107714234</v>
      </c>
      <c r="S39" s="12">
        <f>S25</f>
        <v>155710.99542719449</v>
      </c>
      <c r="T39" s="244">
        <f>S39/P39</f>
        <v>2.8183505881538441E-2</v>
      </c>
    </row>
    <row r="40" spans="2:20" s="31" customFormat="1" x14ac:dyDescent="0.25">
      <c r="B40" s="29" t="s">
        <v>6</v>
      </c>
      <c r="C40" s="29"/>
      <c r="D40" s="24"/>
      <c r="E40" s="42">
        <f>E39+E37</f>
        <v>443785249.65881401</v>
      </c>
      <c r="I40" s="206"/>
      <c r="L40" s="206"/>
      <c r="M40" s="206"/>
      <c r="N40" s="206"/>
      <c r="P40" s="42">
        <f>P39+P37</f>
        <v>794044762.68578899</v>
      </c>
      <c r="Q40" s="42">
        <f>Q39+Q37</f>
        <v>27565080.176146377</v>
      </c>
      <c r="R40" s="42">
        <f>R39+R37</f>
        <v>-6098127.6171662528</v>
      </c>
      <c r="S40" s="42">
        <f>S39+S37</f>
        <v>21466952.558980118</v>
      </c>
      <c r="T40" s="245">
        <f>S40/P40</f>
        <v>2.7034940053467481E-2</v>
      </c>
    </row>
    <row r="41" spans="2:20" s="24" customFormat="1" x14ac:dyDescent="0.25">
      <c r="B41" s="31"/>
      <c r="C41" s="31"/>
      <c r="F41" s="39"/>
      <c r="I41" s="31"/>
      <c r="K41" s="31"/>
      <c r="L41" s="31"/>
      <c r="M41" s="31"/>
      <c r="N41" s="31"/>
      <c r="O41" s="31"/>
      <c r="P41" s="31"/>
      <c r="Q41" s="43"/>
      <c r="R41" s="43"/>
      <c r="S41" s="43"/>
    </row>
    <row r="42" spans="2:20" ht="17.25" x14ac:dyDescent="0.25">
      <c r="B42" t="s">
        <v>464</v>
      </c>
      <c r="E42" s="175"/>
      <c r="I42" s="32"/>
      <c r="L42" s="32"/>
      <c r="M42" s="32"/>
      <c r="N42" s="32"/>
      <c r="P42" s="32"/>
    </row>
    <row r="43" spans="2:20" ht="17.25" x14ac:dyDescent="0.25">
      <c r="B43" t="s">
        <v>457</v>
      </c>
      <c r="I43" s="32"/>
      <c r="L43" s="32"/>
      <c r="M43" s="32"/>
      <c r="N43" s="32"/>
      <c r="P43" s="32"/>
    </row>
    <row r="44" spans="2:20" x14ac:dyDescent="0.25">
      <c r="B44" s="176"/>
    </row>
  </sheetData>
  <mergeCells count="4">
    <mergeCell ref="B1:T1"/>
    <mergeCell ref="B2:T2"/>
    <mergeCell ref="B3:T3"/>
    <mergeCell ref="B4:T4"/>
  </mergeCells>
  <printOptions horizontalCentered="1"/>
  <pageMargins left="0.45" right="0.45" top="0.75" bottom="0.75" header="0.3" footer="0.3"/>
  <pageSetup paperSize="5" scale="61" orientation="landscape" blackAndWhite="1" r:id="rId1"/>
  <headerFooter>
    <oddFooter>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"/>
  <sheetViews>
    <sheetView zoomScaleNormal="100" workbookViewId="0">
      <selection activeCell="C24" sqref="C24"/>
    </sheetView>
  </sheetViews>
  <sheetFormatPr defaultRowHeight="15" x14ac:dyDescent="0.25"/>
  <cols>
    <col min="1" max="1" width="40" bestFit="1" customWidth="1"/>
    <col min="3" max="3" width="16.5703125" bestFit="1" customWidth="1"/>
    <col min="4" max="5" width="10.7109375" bestFit="1" customWidth="1"/>
    <col min="6" max="6" width="15.7109375" bestFit="1" customWidth="1"/>
    <col min="7" max="7" width="15.7109375" customWidth="1"/>
    <col min="8" max="8" width="7.85546875" bestFit="1" customWidth="1"/>
  </cols>
  <sheetData>
    <row r="1" spans="1:11" x14ac:dyDescent="0.25">
      <c r="A1" s="783" t="s">
        <v>0</v>
      </c>
      <c r="B1" s="783"/>
      <c r="C1" s="783"/>
      <c r="D1" s="783"/>
      <c r="E1" s="783"/>
      <c r="F1" s="783"/>
      <c r="G1" s="783"/>
      <c r="H1" s="783"/>
    </row>
    <row r="2" spans="1:11" x14ac:dyDescent="0.25">
      <c r="A2" s="783" t="s">
        <v>422</v>
      </c>
      <c r="B2" s="783"/>
      <c r="C2" s="783"/>
      <c r="D2" s="783"/>
      <c r="E2" s="783"/>
      <c r="F2" s="783"/>
      <c r="G2" s="783"/>
      <c r="H2" s="783"/>
    </row>
    <row r="3" spans="1:11" x14ac:dyDescent="0.25">
      <c r="A3" s="783" t="s">
        <v>263</v>
      </c>
      <c r="B3" s="783"/>
      <c r="C3" s="783"/>
      <c r="D3" s="783"/>
      <c r="E3" s="783"/>
      <c r="F3" s="783"/>
      <c r="G3" s="783"/>
      <c r="H3" s="783"/>
    </row>
    <row r="4" spans="1:11" x14ac:dyDescent="0.25">
      <c r="D4" s="4"/>
      <c r="E4" s="4"/>
    </row>
    <row r="5" spans="1:11" x14ac:dyDescent="0.25">
      <c r="A5" s="5"/>
      <c r="B5" s="5"/>
      <c r="C5" s="5" t="s">
        <v>15</v>
      </c>
      <c r="D5" s="5" t="s">
        <v>211</v>
      </c>
      <c r="E5" s="5" t="s">
        <v>1</v>
      </c>
      <c r="F5" s="5"/>
      <c r="G5" s="5" t="s">
        <v>114</v>
      </c>
      <c r="H5" s="5"/>
    </row>
    <row r="6" spans="1:11" x14ac:dyDescent="0.25">
      <c r="A6" s="5"/>
      <c r="B6" s="5" t="s">
        <v>17</v>
      </c>
      <c r="C6" s="5" t="s">
        <v>3</v>
      </c>
      <c r="D6" s="5" t="s">
        <v>114</v>
      </c>
      <c r="E6" s="5" t="s">
        <v>114</v>
      </c>
      <c r="F6" s="5" t="s">
        <v>15</v>
      </c>
      <c r="G6" s="5" t="s">
        <v>2</v>
      </c>
      <c r="H6" s="5" t="s">
        <v>20</v>
      </c>
    </row>
    <row r="7" spans="1:11" x14ac:dyDescent="0.25">
      <c r="A7" s="6" t="s">
        <v>4</v>
      </c>
      <c r="B7" s="6" t="s">
        <v>21</v>
      </c>
      <c r="C7" s="209" t="str">
        <f>'Exh. JAP-8 Page 1'!D8</f>
        <v>Jul 17 - Jun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11" x14ac:dyDescent="0.25">
      <c r="A8" t="s">
        <v>7</v>
      </c>
      <c r="B8" s="8" t="s">
        <v>30</v>
      </c>
      <c r="C8" s="194">
        <f>SUM('Normalized Therms'!P10,'Normalized Therms'!P12)</f>
        <v>603105848.20999992</v>
      </c>
      <c r="D8" s="11">
        <v>-3.5799999999999998E-3</v>
      </c>
      <c r="E8" s="11">
        <v>-3.5799999999999998E-3</v>
      </c>
      <c r="F8" s="171">
        <f>C8*D8</f>
        <v>-2159118.9365917998</v>
      </c>
      <c r="G8" s="12">
        <f>(E8-D8)*C8</f>
        <v>0</v>
      </c>
      <c r="H8" s="2">
        <f>G8/F8</f>
        <v>0</v>
      </c>
      <c r="K8" s="8"/>
    </row>
    <row r="9" spans="1:11" x14ac:dyDescent="0.25">
      <c r="A9" t="s">
        <v>31</v>
      </c>
      <c r="B9" s="8">
        <v>16</v>
      </c>
      <c r="C9" s="194">
        <f>'Normalized Therms'!P11</f>
        <v>9592.0450000000001</v>
      </c>
      <c r="D9" s="11">
        <v>-3.5799999999999998E-3</v>
      </c>
      <c r="E9" s="11">
        <v>-3.5799999999999998E-3</v>
      </c>
      <c r="F9" s="171">
        <f t="shared" ref="F9:F20" si="0">C9*D9</f>
        <v>-34.339521099999999</v>
      </c>
      <c r="G9" s="12">
        <f t="shared" ref="G9:G20" si="1">(E9-D9)*C9</f>
        <v>0</v>
      </c>
      <c r="H9" s="2">
        <f t="shared" ref="H9:H24" si="2">G9/F9</f>
        <v>0</v>
      </c>
      <c r="K9" s="8"/>
    </row>
    <row r="10" spans="1:11" x14ac:dyDescent="0.25">
      <c r="A10" t="s">
        <v>8</v>
      </c>
      <c r="B10" s="8">
        <v>31</v>
      </c>
      <c r="C10" s="194">
        <f>'Normalized Therms'!P13</f>
        <v>228604732.46999997</v>
      </c>
      <c r="D10" s="11">
        <v>-2.48E-3</v>
      </c>
      <c r="E10" s="11">
        <v>-2.48E-3</v>
      </c>
      <c r="F10" s="171">
        <f t="shared" si="0"/>
        <v>-566939.73652559996</v>
      </c>
      <c r="G10" s="12">
        <f t="shared" si="1"/>
        <v>0</v>
      </c>
      <c r="H10" s="2">
        <f t="shared" si="2"/>
        <v>0</v>
      </c>
      <c r="K10" s="8"/>
    </row>
    <row r="11" spans="1:11" x14ac:dyDescent="0.25">
      <c r="A11" t="s">
        <v>9</v>
      </c>
      <c r="B11" s="8">
        <v>41</v>
      </c>
      <c r="C11" s="194">
        <f>'Normalized Therms'!P14</f>
        <v>63966868.016999997</v>
      </c>
      <c r="D11" s="11">
        <v>-2.49E-3</v>
      </c>
      <c r="E11" s="11">
        <v>-2.49E-3</v>
      </c>
      <c r="F11" s="171">
        <f t="shared" si="0"/>
        <v>-159277.50136232999</v>
      </c>
      <c r="G11" s="12">
        <f t="shared" si="1"/>
        <v>0</v>
      </c>
      <c r="H11" s="2">
        <f t="shared" si="2"/>
        <v>0</v>
      </c>
      <c r="K11" s="8"/>
    </row>
    <row r="12" spans="1:11" x14ac:dyDescent="0.25">
      <c r="A12" t="s">
        <v>10</v>
      </c>
      <c r="B12" s="8">
        <v>85</v>
      </c>
      <c r="C12" s="194">
        <f>'Normalized Therms'!P15</f>
        <v>16307789.425999999</v>
      </c>
      <c r="D12" s="11">
        <v>-4.8000000000000001E-4</v>
      </c>
      <c r="E12" s="11">
        <v>-4.8000000000000001E-4</v>
      </c>
      <c r="F12" s="171">
        <f t="shared" si="0"/>
        <v>-7827.7389244799997</v>
      </c>
      <c r="G12" s="12">
        <f t="shared" si="1"/>
        <v>0</v>
      </c>
      <c r="H12" s="2">
        <f t="shared" si="2"/>
        <v>0</v>
      </c>
      <c r="K12" s="8"/>
    </row>
    <row r="13" spans="1:11" x14ac:dyDescent="0.25">
      <c r="A13" t="s">
        <v>11</v>
      </c>
      <c r="B13" s="8">
        <v>86</v>
      </c>
      <c r="C13" s="194">
        <f>'Normalized Therms'!P16</f>
        <v>9107268.5420000013</v>
      </c>
      <c r="D13" s="11">
        <v>-2.5300000000000001E-3</v>
      </c>
      <c r="E13" s="11">
        <v>-2.5300000000000001E-3</v>
      </c>
      <c r="F13" s="171">
        <f t="shared" si="0"/>
        <v>-23041.389411260003</v>
      </c>
      <c r="G13" s="12">
        <f t="shared" si="1"/>
        <v>0</v>
      </c>
      <c r="H13" s="2">
        <f t="shared" si="2"/>
        <v>0</v>
      </c>
      <c r="K13" s="8"/>
    </row>
    <row r="14" spans="1:11" x14ac:dyDescent="0.25">
      <c r="A14" t="s">
        <v>12</v>
      </c>
      <c r="B14" s="8">
        <v>87</v>
      </c>
      <c r="C14" s="194">
        <f>'Normalized Therms'!P17</f>
        <v>23273158.627999999</v>
      </c>
      <c r="D14" s="11">
        <v>-3.8000000000000002E-4</v>
      </c>
      <c r="E14" s="11">
        <v>-3.8000000000000002E-4</v>
      </c>
      <c r="F14" s="171">
        <f t="shared" si="0"/>
        <v>-8843.8002786399993</v>
      </c>
      <c r="G14" s="12">
        <f t="shared" si="1"/>
        <v>0</v>
      </c>
      <c r="H14" s="2">
        <f t="shared" si="2"/>
        <v>0</v>
      </c>
      <c r="K14" s="8"/>
    </row>
    <row r="15" spans="1:11" x14ac:dyDescent="0.25">
      <c r="A15" t="s">
        <v>32</v>
      </c>
      <c r="B15" s="8" t="s">
        <v>33</v>
      </c>
      <c r="C15" s="194">
        <f>'Normalized Therms'!P18</f>
        <v>43413.770000000004</v>
      </c>
      <c r="D15" s="11">
        <v>-2.48E-3</v>
      </c>
      <c r="E15" s="11">
        <v>-2.48E-3</v>
      </c>
      <c r="F15" s="171">
        <f t="shared" si="0"/>
        <v>-107.66614960000001</v>
      </c>
      <c r="G15" s="12">
        <f t="shared" si="1"/>
        <v>0</v>
      </c>
      <c r="H15" s="2">
        <f t="shared" si="2"/>
        <v>0</v>
      </c>
      <c r="K15" s="8"/>
    </row>
    <row r="16" spans="1:11" x14ac:dyDescent="0.25">
      <c r="A16" t="s">
        <v>34</v>
      </c>
      <c r="B16" t="s">
        <v>35</v>
      </c>
      <c r="C16" s="194">
        <f>'Normalized Therms'!P19</f>
        <v>19254249.518999998</v>
      </c>
      <c r="D16" s="11">
        <v>-2.49E-3</v>
      </c>
      <c r="E16" s="11">
        <v>-2.49E-3</v>
      </c>
      <c r="F16" s="171">
        <f t="shared" si="0"/>
        <v>-47943.081302309991</v>
      </c>
      <c r="G16" s="12">
        <f t="shared" si="1"/>
        <v>0</v>
      </c>
      <c r="H16" s="2">
        <f t="shared" si="2"/>
        <v>0</v>
      </c>
    </row>
    <row r="17" spans="1:8" x14ac:dyDescent="0.25">
      <c r="A17" t="s">
        <v>36</v>
      </c>
      <c r="B17" t="s">
        <v>37</v>
      </c>
      <c r="C17" s="194">
        <f>'Normalized Therms'!P20</f>
        <v>76582587.120000005</v>
      </c>
      <c r="D17" s="11">
        <v>-4.8000000000000001E-4</v>
      </c>
      <c r="E17" s="11">
        <v>-4.8000000000000001E-4</v>
      </c>
      <c r="F17" s="171">
        <f t="shared" si="0"/>
        <v>-36759.641817600001</v>
      </c>
      <c r="G17" s="12">
        <f t="shared" si="1"/>
        <v>0</v>
      </c>
      <c r="H17" s="2">
        <f t="shared" si="2"/>
        <v>0</v>
      </c>
    </row>
    <row r="18" spans="1:8" x14ac:dyDescent="0.25">
      <c r="A18" t="s">
        <v>38</v>
      </c>
      <c r="B18" t="s">
        <v>39</v>
      </c>
      <c r="C18" s="194">
        <f>'Normalized Therms'!P21</f>
        <v>354636.7</v>
      </c>
      <c r="D18" s="11">
        <v>-2.5300000000000001E-3</v>
      </c>
      <c r="E18" s="11">
        <v>-2.5300000000000001E-3</v>
      </c>
      <c r="F18" s="171">
        <f t="shared" si="0"/>
        <v>-897.23085100000003</v>
      </c>
      <c r="G18" s="12">
        <f t="shared" si="1"/>
        <v>0</v>
      </c>
      <c r="H18" s="2">
        <f t="shared" si="2"/>
        <v>0</v>
      </c>
    </row>
    <row r="19" spans="1:8" x14ac:dyDescent="0.25">
      <c r="A19" t="s">
        <v>40</v>
      </c>
      <c r="B19" t="s">
        <v>41</v>
      </c>
      <c r="C19" s="194">
        <f>'Normalized Therms'!P22</f>
        <v>103884321.25000001</v>
      </c>
      <c r="D19" s="11">
        <v>-3.8000000000000002E-4</v>
      </c>
      <c r="E19" s="11">
        <v>-3.8000000000000002E-4</v>
      </c>
      <c r="F19" s="171">
        <f t="shared" si="0"/>
        <v>-39476.042075000005</v>
      </c>
      <c r="G19" s="12">
        <f t="shared" si="1"/>
        <v>0</v>
      </c>
      <c r="H19" s="2">
        <f t="shared" si="2"/>
        <v>0</v>
      </c>
    </row>
    <row r="20" spans="1:8" x14ac:dyDescent="0.25">
      <c r="A20" t="s">
        <v>13</v>
      </c>
      <c r="C20" s="194">
        <f>'Normalized Therms'!P23</f>
        <v>37275691.68</v>
      </c>
      <c r="D20" s="14">
        <v>-2.3000000000000001E-4</v>
      </c>
      <c r="E20" s="14">
        <v>-2.3000000000000001E-4</v>
      </c>
      <c r="F20" s="171">
        <f t="shared" si="0"/>
        <v>-8573.4090864000009</v>
      </c>
      <c r="G20" s="12">
        <f t="shared" si="1"/>
        <v>0</v>
      </c>
      <c r="H20" s="2">
        <f t="shared" si="2"/>
        <v>0</v>
      </c>
    </row>
    <row r="21" spans="1:8" x14ac:dyDescent="0.25">
      <c r="A21" t="s">
        <v>6</v>
      </c>
      <c r="C21" s="15">
        <f>SUM(C8:C20)</f>
        <v>1181770157.3770001</v>
      </c>
      <c r="D21" s="9"/>
      <c r="E21" s="9"/>
      <c r="F21" s="172">
        <f t="shared" ref="F21:G21" si="3">SUM(F8:F20)</f>
        <v>-3058840.5138971196</v>
      </c>
      <c r="G21" s="16">
        <f t="shared" si="3"/>
        <v>0</v>
      </c>
      <c r="H21" s="3">
        <f t="shared" si="2"/>
        <v>0</v>
      </c>
    </row>
    <row r="22" spans="1:8" x14ac:dyDescent="0.25">
      <c r="A22" s="17"/>
      <c r="B22" s="18"/>
      <c r="C22" s="21"/>
      <c r="D22" s="20"/>
      <c r="E22" s="20"/>
      <c r="F22" s="20"/>
      <c r="G22" s="23"/>
      <c r="H22" s="24"/>
    </row>
    <row r="23" spans="1:8" x14ac:dyDescent="0.25">
      <c r="A23" s="17" t="s">
        <v>423</v>
      </c>
      <c r="B23" s="17"/>
      <c r="C23" s="177">
        <f>'12ME Jun18 Rentals'!O28</f>
        <v>356738.40836915449</v>
      </c>
      <c r="D23" s="110">
        <v>-0.14000000000000001</v>
      </c>
      <c r="E23" s="110">
        <v>-0.14000000000000001</v>
      </c>
      <c r="F23" s="171">
        <f>D23*C23</f>
        <v>-49943.377171681634</v>
      </c>
      <c r="G23" s="12">
        <v>0</v>
      </c>
      <c r="H23" s="2">
        <f t="shared" si="2"/>
        <v>0</v>
      </c>
    </row>
    <row r="24" spans="1:8" x14ac:dyDescent="0.25">
      <c r="A24" s="29" t="s">
        <v>6</v>
      </c>
      <c r="B24" s="29"/>
      <c r="C24" s="31"/>
      <c r="D24" s="31"/>
      <c r="E24" s="31"/>
      <c r="F24" s="30">
        <f t="shared" ref="F24:G24" si="4">F21+F23</f>
        <v>-3108783.8910688013</v>
      </c>
      <c r="G24" s="30">
        <f t="shared" si="4"/>
        <v>0</v>
      </c>
      <c r="H24" s="3">
        <f t="shared" si="2"/>
        <v>0</v>
      </c>
    </row>
  </sheetData>
  <mergeCells count="3">
    <mergeCell ref="A1:H1"/>
    <mergeCell ref="A2:H2"/>
    <mergeCell ref="A3:H3"/>
  </mergeCells>
  <pageMargins left="0.7" right="0.7" top="0.75" bottom="0.75" header="0.3" footer="0.3"/>
  <pageSetup scale="96" orientation="landscape" blackAndWhite="1" r:id="rId1"/>
  <headerFooter>
    <oddFooter>&amp;L&amp;F
&amp;A&amp;C&amp;P&amp;R&amp;D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C24" sqref="C24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4" width="16.85546875" bestFit="1" customWidth="1"/>
    <col min="5" max="5" width="16.85546875" customWidth="1"/>
    <col min="6" max="6" width="20.42578125" customWidth="1"/>
    <col min="7" max="7" width="15.140625" customWidth="1"/>
    <col min="8" max="8" width="7.85546875" bestFit="1" customWidth="1"/>
  </cols>
  <sheetData>
    <row r="1" spans="1:9" s="82" customFormat="1" ht="12.75" x14ac:dyDescent="0.2">
      <c r="A1" s="783" t="s">
        <v>0</v>
      </c>
      <c r="B1" s="783"/>
      <c r="C1" s="783"/>
      <c r="D1" s="783"/>
      <c r="E1" s="783"/>
      <c r="F1" s="783"/>
      <c r="G1" s="783"/>
      <c r="H1" s="783"/>
      <c r="I1" s="81"/>
    </row>
    <row r="2" spans="1:9" s="82" customFormat="1" ht="12.75" x14ac:dyDescent="0.2">
      <c r="A2" s="783" t="s">
        <v>424</v>
      </c>
      <c r="B2" s="783"/>
      <c r="C2" s="783"/>
      <c r="D2" s="783"/>
      <c r="E2" s="783"/>
      <c r="F2" s="783"/>
      <c r="G2" s="783"/>
      <c r="H2" s="783"/>
      <c r="I2" s="81"/>
    </row>
    <row r="3" spans="1:9" s="82" customFormat="1" ht="12.75" x14ac:dyDescent="0.2">
      <c r="A3" s="783" t="s">
        <v>433</v>
      </c>
      <c r="B3" s="783"/>
      <c r="C3" s="783"/>
      <c r="D3" s="783"/>
      <c r="E3" s="783"/>
      <c r="F3" s="783"/>
      <c r="G3" s="783"/>
      <c r="H3" s="783"/>
      <c r="I3" s="81"/>
    </row>
    <row r="4" spans="1:9" x14ac:dyDescent="0.25">
      <c r="D4" s="4"/>
      <c r="E4" s="4"/>
    </row>
    <row r="5" spans="1:9" x14ac:dyDescent="0.25">
      <c r="A5" s="5"/>
      <c r="B5" s="5"/>
      <c r="C5" s="5" t="s">
        <v>15</v>
      </c>
      <c r="D5" s="5" t="s">
        <v>211</v>
      </c>
      <c r="E5" s="5" t="s">
        <v>1</v>
      </c>
      <c r="F5" s="5"/>
      <c r="G5" s="5" t="s">
        <v>16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16</v>
      </c>
      <c r="E6" s="5" t="s">
        <v>16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09" t="str">
        <f>'Exh. JAP-8 Page 1'!D8</f>
        <v>Jul 17 - Jun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94">
        <f>SUM('Normalized Therms'!P10,'Normalized Therms'!P12)</f>
        <v>603105848.20999992</v>
      </c>
      <c r="D8" s="144">
        <v>2.4480000000000002E-2</v>
      </c>
      <c r="E8" s="10">
        <v>2.4480000000000002E-2</v>
      </c>
      <c r="F8" s="171">
        <f>C8*D8</f>
        <v>14764031.164180798</v>
      </c>
      <c r="G8" s="12">
        <f>(E8-D8)*C8</f>
        <v>0</v>
      </c>
      <c r="H8" s="2">
        <f>G8/F8</f>
        <v>0</v>
      </c>
    </row>
    <row r="9" spans="1:9" x14ac:dyDescent="0.25">
      <c r="A9" t="s">
        <v>31</v>
      </c>
      <c r="B9" s="8">
        <v>16</v>
      </c>
      <c r="C9" s="211">
        <f>'Normalized Therms'!P11</f>
        <v>9592.0450000000001</v>
      </c>
      <c r="D9" s="144">
        <v>2.4480000000000002E-2</v>
      </c>
      <c r="E9" s="144">
        <v>2.4480000000000002E-2</v>
      </c>
      <c r="F9" s="171">
        <f t="shared" ref="F9:F19" si="0">C9*D9</f>
        <v>234.81326160000003</v>
      </c>
      <c r="G9" s="12">
        <f t="shared" ref="G9:G20" si="1">(E9-D9)*C9</f>
        <v>0</v>
      </c>
      <c r="H9" s="2">
        <f t="shared" ref="H9:H24" si="2">G9/F9</f>
        <v>0</v>
      </c>
    </row>
    <row r="10" spans="1:9" x14ac:dyDescent="0.25">
      <c r="A10" t="s">
        <v>8</v>
      </c>
      <c r="B10" s="8">
        <v>31</v>
      </c>
      <c r="C10" s="194">
        <f>'Normalized Therms'!P13</f>
        <v>228604732.46999997</v>
      </c>
      <c r="D10" s="144">
        <v>2.6370000000000001E-2</v>
      </c>
      <c r="E10" s="10">
        <v>2.6370000000000001E-2</v>
      </c>
      <c r="F10" s="171">
        <f t="shared" si="0"/>
        <v>6028306.7952338997</v>
      </c>
      <c r="G10" s="12">
        <f>(E10-D10)*C10</f>
        <v>0</v>
      </c>
      <c r="H10" s="2">
        <f t="shared" si="2"/>
        <v>0</v>
      </c>
    </row>
    <row r="11" spans="1:9" x14ac:dyDescent="0.25">
      <c r="A11" t="s">
        <v>9</v>
      </c>
      <c r="B11" s="8">
        <v>41</v>
      </c>
      <c r="C11" s="194">
        <f>'Normalized Therms'!P14</f>
        <v>63966868.016999997</v>
      </c>
      <c r="D11" s="144">
        <v>9.1199999999999996E-3</v>
      </c>
      <c r="E11" s="10">
        <v>9.1199999999999996E-3</v>
      </c>
      <c r="F11" s="171">
        <f t="shared" si="0"/>
        <v>583377.83631503989</v>
      </c>
      <c r="G11" s="12">
        <f t="shared" si="1"/>
        <v>0</v>
      </c>
      <c r="H11" s="2">
        <f t="shared" si="2"/>
        <v>0</v>
      </c>
    </row>
    <row r="12" spans="1:9" x14ac:dyDescent="0.25">
      <c r="A12" t="s">
        <v>10</v>
      </c>
      <c r="B12" s="8">
        <v>85</v>
      </c>
      <c r="C12" s="194">
        <f>'Normalized Therms'!P15</f>
        <v>16307789.425999999</v>
      </c>
      <c r="D12" s="144">
        <v>4.4099999999999999E-3</v>
      </c>
      <c r="E12" s="10">
        <v>4.4099999999999999E-3</v>
      </c>
      <c r="F12" s="171">
        <f t="shared" si="0"/>
        <v>71917.351368659991</v>
      </c>
      <c r="G12" s="12">
        <f t="shared" si="1"/>
        <v>0</v>
      </c>
      <c r="H12" s="2">
        <f t="shared" si="2"/>
        <v>0</v>
      </c>
    </row>
    <row r="13" spans="1:9" x14ac:dyDescent="0.25">
      <c r="A13" t="s">
        <v>11</v>
      </c>
      <c r="B13" s="8">
        <v>86</v>
      </c>
      <c r="C13" s="194">
        <f>'Normalized Therms'!P16</f>
        <v>9107268.5420000013</v>
      </c>
      <c r="D13" s="144">
        <v>8.5299999999999994E-3</v>
      </c>
      <c r="E13" s="10">
        <v>8.5299999999999994E-3</v>
      </c>
      <c r="F13" s="171">
        <f t="shared" si="0"/>
        <v>77685.000663260013</v>
      </c>
      <c r="G13" s="12">
        <f t="shared" si="1"/>
        <v>0</v>
      </c>
      <c r="H13" s="2">
        <f t="shared" si="2"/>
        <v>0</v>
      </c>
    </row>
    <row r="14" spans="1:9" x14ac:dyDescent="0.25">
      <c r="A14" t="s">
        <v>12</v>
      </c>
      <c r="B14" s="8">
        <v>87</v>
      </c>
      <c r="C14" s="194">
        <f>'Normalized Therms'!P17</f>
        <v>23273158.627999999</v>
      </c>
      <c r="D14" s="144">
        <v>2.9399999999999999E-3</v>
      </c>
      <c r="E14" s="10">
        <v>2.9399999999999999E-3</v>
      </c>
      <c r="F14" s="171">
        <f t="shared" si="0"/>
        <v>68423.08636632</v>
      </c>
      <c r="G14" s="12">
        <f t="shared" si="1"/>
        <v>0</v>
      </c>
      <c r="H14" s="2">
        <f t="shared" si="2"/>
        <v>0</v>
      </c>
    </row>
    <row r="15" spans="1:9" x14ac:dyDescent="0.25">
      <c r="A15" t="s">
        <v>32</v>
      </c>
      <c r="B15" s="8" t="s">
        <v>33</v>
      </c>
      <c r="C15" s="194">
        <f>'Normalized Therms'!P18</f>
        <v>43413.770000000004</v>
      </c>
      <c r="D15" s="144">
        <v>2.6370000000000001E-2</v>
      </c>
      <c r="E15" s="144">
        <v>2.6370000000000001E-2</v>
      </c>
      <c r="F15" s="171">
        <f t="shared" si="0"/>
        <v>1144.8211149000001</v>
      </c>
      <c r="G15" s="12">
        <f t="shared" si="1"/>
        <v>0</v>
      </c>
      <c r="H15" s="2">
        <f t="shared" si="2"/>
        <v>0</v>
      </c>
    </row>
    <row r="16" spans="1:9" x14ac:dyDescent="0.25">
      <c r="A16" t="s">
        <v>34</v>
      </c>
      <c r="B16" t="s">
        <v>35</v>
      </c>
      <c r="C16" s="194">
        <f>'Normalized Therms'!P19</f>
        <v>19254249.518999998</v>
      </c>
      <c r="D16" s="144">
        <v>9.1199999999999996E-3</v>
      </c>
      <c r="E16" s="144">
        <v>9.1199999999999996E-3</v>
      </c>
      <c r="F16" s="171">
        <f t="shared" si="0"/>
        <v>175598.75561327997</v>
      </c>
      <c r="G16" s="12">
        <f t="shared" si="1"/>
        <v>0</v>
      </c>
      <c r="H16" s="2">
        <f t="shared" si="2"/>
        <v>0</v>
      </c>
    </row>
    <row r="17" spans="1:11" x14ac:dyDescent="0.25">
      <c r="A17" t="s">
        <v>36</v>
      </c>
      <c r="B17" t="s">
        <v>37</v>
      </c>
      <c r="C17" s="194">
        <f>'Normalized Therms'!P20</f>
        <v>76582587.120000005</v>
      </c>
      <c r="D17" s="144">
        <v>4.4099999999999999E-3</v>
      </c>
      <c r="E17" s="144">
        <v>4.4099999999999999E-3</v>
      </c>
      <c r="F17" s="171">
        <f t="shared" si="0"/>
        <v>337729.20919920004</v>
      </c>
      <c r="G17" s="12">
        <f t="shared" si="1"/>
        <v>0</v>
      </c>
      <c r="H17" s="2">
        <f t="shared" si="2"/>
        <v>0</v>
      </c>
    </row>
    <row r="18" spans="1:11" x14ac:dyDescent="0.25">
      <c r="A18" t="s">
        <v>38</v>
      </c>
      <c r="B18" t="s">
        <v>39</v>
      </c>
      <c r="C18" s="194">
        <f>'Normalized Therms'!P21</f>
        <v>354636.7</v>
      </c>
      <c r="D18" s="144">
        <v>8.5299999999999994E-3</v>
      </c>
      <c r="E18" s="144">
        <v>8.5299999999999994E-3</v>
      </c>
      <c r="F18" s="171">
        <f t="shared" si="0"/>
        <v>3025.0510509999999</v>
      </c>
      <c r="G18" s="12">
        <f t="shared" si="1"/>
        <v>0</v>
      </c>
      <c r="H18" s="2">
        <f t="shared" si="2"/>
        <v>0</v>
      </c>
    </row>
    <row r="19" spans="1:11" x14ac:dyDescent="0.25">
      <c r="A19" t="s">
        <v>40</v>
      </c>
      <c r="B19" t="s">
        <v>41</v>
      </c>
      <c r="C19" s="194">
        <f>'Normalized Therms'!P22</f>
        <v>103884321.25000001</v>
      </c>
      <c r="D19" s="144">
        <v>2.9399999999999999E-3</v>
      </c>
      <c r="E19" s="144">
        <v>2.9399999999999999E-3</v>
      </c>
      <c r="F19" s="171">
        <f t="shared" si="0"/>
        <v>305419.90447500005</v>
      </c>
      <c r="G19" s="12">
        <f t="shared" si="1"/>
        <v>0</v>
      </c>
      <c r="H19" s="2">
        <f t="shared" si="2"/>
        <v>0</v>
      </c>
    </row>
    <row r="20" spans="1:11" x14ac:dyDescent="0.25">
      <c r="A20" t="s">
        <v>13</v>
      </c>
      <c r="C20" s="194">
        <f>'Normalized Therms'!P23</f>
        <v>37275691.68</v>
      </c>
      <c r="D20" s="14">
        <v>3.2100000000000002E-3</v>
      </c>
      <c r="E20" s="14">
        <v>3.2100000000000002E-3</v>
      </c>
      <c r="F20" s="171">
        <f>C20*D20</f>
        <v>119654.9702928</v>
      </c>
      <c r="G20" s="12">
        <f t="shared" si="1"/>
        <v>0</v>
      </c>
      <c r="H20" s="2">
        <f t="shared" si="2"/>
        <v>0</v>
      </c>
    </row>
    <row r="21" spans="1:11" x14ac:dyDescent="0.25">
      <c r="A21" t="s">
        <v>6</v>
      </c>
      <c r="C21" s="15">
        <f>SUM(C8:C20)</f>
        <v>1181770157.3770001</v>
      </c>
      <c r="D21" s="9"/>
      <c r="E21" s="9"/>
      <c r="F21" s="172">
        <f t="shared" ref="F21:G21" si="3">SUM(F8:F20)</f>
        <v>22536548.759135753</v>
      </c>
      <c r="G21" s="16">
        <f t="shared" si="3"/>
        <v>0</v>
      </c>
      <c r="H21" s="3">
        <f t="shared" si="2"/>
        <v>0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423</v>
      </c>
      <c r="B23" s="17"/>
      <c r="C23" s="222">
        <f>'12ME Jun18 Rentals'!O28</f>
        <v>356738.40836915449</v>
      </c>
      <c r="D23" s="26">
        <v>0.59</v>
      </c>
      <c r="E23" s="26">
        <v>0.59</v>
      </c>
      <c r="F23" s="171">
        <f>D23*C23</f>
        <v>210475.66093780115</v>
      </c>
      <c r="G23" s="12">
        <f t="shared" ref="G23" si="4">(E23-D23)*C23</f>
        <v>0</v>
      </c>
      <c r="H23" s="2">
        <f t="shared" si="2"/>
        <v>0</v>
      </c>
      <c r="I23" s="27"/>
      <c r="J23" s="25"/>
      <c r="K23" s="28"/>
    </row>
    <row r="24" spans="1:11" s="24" customFormat="1" x14ac:dyDescent="0.25">
      <c r="A24" s="29" t="s">
        <v>6</v>
      </c>
      <c r="B24" s="29"/>
      <c r="C24" s="31"/>
      <c r="D24" s="31"/>
      <c r="E24" s="31"/>
      <c r="F24" s="30">
        <f t="shared" ref="F24:G24" si="5">F21+F23</f>
        <v>22747024.420073554</v>
      </c>
      <c r="G24" s="30">
        <f t="shared" si="5"/>
        <v>0</v>
      </c>
      <c r="H24" s="3">
        <f t="shared" si="2"/>
        <v>0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7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4"/>
  <sheetViews>
    <sheetView zoomScaleNormal="100" workbookViewId="0">
      <selection activeCell="F142" sqref="F142"/>
    </sheetView>
  </sheetViews>
  <sheetFormatPr defaultColWidth="9.140625" defaultRowHeight="15" x14ac:dyDescent="0.25"/>
  <cols>
    <col min="1" max="1" width="3.28515625" style="179" customWidth="1"/>
    <col min="2" max="2" width="43.7109375" style="179" bestFit="1" customWidth="1"/>
    <col min="3" max="3" width="9.140625" style="179"/>
    <col min="4" max="4" width="16.5703125" style="179" bestFit="1" customWidth="1"/>
    <col min="5" max="5" width="13.7109375" style="179" bestFit="1" customWidth="1"/>
    <col min="6" max="6" width="13.7109375" style="179" customWidth="1"/>
    <col min="7" max="7" width="15" style="179" bestFit="1" customWidth="1"/>
    <col min="8" max="8" width="16" style="179" bestFit="1" customWidth="1"/>
    <col min="9" max="16384" width="9.140625" style="179"/>
  </cols>
  <sheetData>
    <row r="1" spans="1:8" x14ac:dyDescent="0.25">
      <c r="A1" s="787" t="s">
        <v>0</v>
      </c>
      <c r="B1" s="787"/>
      <c r="C1" s="787"/>
      <c r="D1" s="787"/>
      <c r="E1" s="787"/>
      <c r="F1" s="787"/>
      <c r="G1" s="787"/>
      <c r="H1" s="787"/>
    </row>
    <row r="2" spans="1:8" x14ac:dyDescent="0.25">
      <c r="A2" s="787" t="s">
        <v>442</v>
      </c>
      <c r="B2" s="787"/>
      <c r="C2" s="787"/>
      <c r="D2" s="787"/>
      <c r="E2" s="787"/>
      <c r="F2" s="787"/>
      <c r="G2" s="787"/>
      <c r="H2" s="787"/>
    </row>
    <row r="3" spans="1:8" x14ac:dyDescent="0.25">
      <c r="A3" s="787" t="s">
        <v>336</v>
      </c>
      <c r="B3" s="787"/>
      <c r="C3" s="787"/>
      <c r="D3" s="787"/>
      <c r="E3" s="787"/>
      <c r="F3" s="787"/>
      <c r="G3" s="787"/>
      <c r="H3" s="787"/>
    </row>
    <row r="4" spans="1:8" x14ac:dyDescent="0.25">
      <c r="A4" s="178"/>
      <c r="B4" s="178"/>
      <c r="C4" s="178"/>
      <c r="D4" s="178"/>
      <c r="E4" s="178"/>
      <c r="F4" s="178"/>
    </row>
    <row r="5" spans="1:8" x14ac:dyDescent="0.25">
      <c r="A5" s="196"/>
      <c r="B5" s="196"/>
      <c r="C5" s="196"/>
      <c r="D5" s="5" t="s">
        <v>15</v>
      </c>
      <c r="E5" s="195" t="s">
        <v>211</v>
      </c>
      <c r="F5" s="195" t="s">
        <v>1</v>
      </c>
      <c r="G5" s="5"/>
      <c r="H5" s="109" t="s">
        <v>235</v>
      </c>
    </row>
    <row r="6" spans="1:8" x14ac:dyDescent="0.25">
      <c r="B6" s="195"/>
      <c r="C6" s="195"/>
      <c r="D6" s="5" t="s">
        <v>3</v>
      </c>
      <c r="E6" s="195" t="s">
        <v>235</v>
      </c>
      <c r="F6" s="195" t="s">
        <v>235</v>
      </c>
      <c r="G6" s="5" t="s">
        <v>15</v>
      </c>
      <c r="H6" s="109" t="s">
        <v>214</v>
      </c>
    </row>
    <row r="7" spans="1:8" x14ac:dyDescent="0.25">
      <c r="A7" s="197"/>
      <c r="B7" s="198" t="s">
        <v>215</v>
      </c>
      <c r="C7" s="198" t="s">
        <v>236</v>
      </c>
      <c r="D7" s="209" t="str">
        <f>'Exh. JAP-8 Page 1'!D8</f>
        <v>Jul 17 - Jun 18</v>
      </c>
      <c r="E7" s="198" t="s">
        <v>22</v>
      </c>
      <c r="F7" s="198" t="s">
        <v>22</v>
      </c>
      <c r="G7" s="182" t="s">
        <v>2</v>
      </c>
      <c r="H7" s="182" t="s">
        <v>247</v>
      </c>
    </row>
    <row r="8" spans="1:8" x14ac:dyDescent="0.25">
      <c r="A8" s="183" t="s">
        <v>216</v>
      </c>
      <c r="C8" s="183"/>
      <c r="D8" s="183"/>
    </row>
    <row r="9" spans="1:8" x14ac:dyDescent="0.25">
      <c r="B9" s="199" t="s">
        <v>237</v>
      </c>
      <c r="C9" s="199" t="s">
        <v>238</v>
      </c>
      <c r="D9" s="224">
        <f>'12ME Jun18 Data'!N22</f>
        <v>9329676.0139058214</v>
      </c>
      <c r="E9" s="205">
        <v>0</v>
      </c>
      <c r="F9" s="765">
        <f>'[66]Exh. JAP-6 Pages 7-10'!F10</f>
        <v>0.66999999999999993</v>
      </c>
      <c r="G9" s="203">
        <f>ROUND(E9*D9,2)</f>
        <v>0</v>
      </c>
      <c r="H9" s="203">
        <f>(F9-E9)*D9</f>
        <v>6250882.9293168997</v>
      </c>
    </row>
    <row r="10" spans="1:8" x14ac:dyDescent="0.25">
      <c r="B10" s="184" t="s">
        <v>239</v>
      </c>
      <c r="C10" s="184" t="s">
        <v>240</v>
      </c>
      <c r="D10" s="224">
        <f>'Normalized Therms'!P10</f>
        <v>603105552.93699992</v>
      </c>
      <c r="E10" s="144">
        <v>0</v>
      </c>
      <c r="F10" s="768">
        <f>'[66]Exh. JAP-6 Pages 7-10'!F11</f>
        <v>2.1230000000000027E-2</v>
      </c>
      <c r="G10" s="203">
        <f t="shared" ref="G10:G73" si="0">ROUND(E10*D10,2)</f>
        <v>0</v>
      </c>
      <c r="H10" s="203">
        <f t="shared" ref="H10:H73" si="1">(F10-E10)*D10</f>
        <v>12803930.888852524</v>
      </c>
    </row>
    <row r="11" spans="1:8" x14ac:dyDescent="0.25">
      <c r="B11" s="160"/>
      <c r="C11" s="160"/>
      <c r="D11" s="185"/>
      <c r="E11" s="227"/>
      <c r="G11" s="203"/>
      <c r="H11" s="203"/>
    </row>
    <row r="12" spans="1:8" x14ac:dyDescent="0.25">
      <c r="A12" s="186" t="s">
        <v>217</v>
      </c>
      <c r="C12" s="186"/>
      <c r="D12" s="185"/>
      <c r="E12" s="227"/>
      <c r="G12" s="203"/>
      <c r="H12" s="203"/>
    </row>
    <row r="13" spans="1:8" x14ac:dyDescent="0.25">
      <c r="A13" s="180"/>
      <c r="B13" s="199" t="s">
        <v>237</v>
      </c>
      <c r="C13" s="199" t="s">
        <v>238</v>
      </c>
      <c r="D13" s="224">
        <f>'12ME Jun18 Data'!N23</f>
        <v>7.5321521335807056</v>
      </c>
      <c r="E13" s="205">
        <v>0</v>
      </c>
      <c r="F13" s="771">
        <f>'[66]Exh. JAP-6 Pages 7-10'!F14</f>
        <v>0.66999999999999993</v>
      </c>
      <c r="G13" s="203">
        <f t="shared" si="0"/>
        <v>0</v>
      </c>
      <c r="H13" s="203">
        <f t="shared" si="1"/>
        <v>5.0465419294990719</v>
      </c>
    </row>
    <row r="14" spans="1:8" x14ac:dyDescent="0.25">
      <c r="A14" s="180"/>
      <c r="B14" s="184" t="s">
        <v>239</v>
      </c>
      <c r="C14" s="184" t="s">
        <v>240</v>
      </c>
      <c r="D14" s="224">
        <f>'Normalized Therms'!P12</f>
        <v>295.27300000000002</v>
      </c>
      <c r="E14" s="144">
        <v>0</v>
      </c>
      <c r="F14" s="768">
        <f>'[66]Exh. JAP-6 Pages 7-10'!F15</f>
        <v>2.1230000000000027E-2</v>
      </c>
      <c r="G14" s="203">
        <f t="shared" si="0"/>
        <v>0</v>
      </c>
      <c r="H14" s="203">
        <f t="shared" si="1"/>
        <v>6.2686457900000088</v>
      </c>
    </row>
    <row r="15" spans="1:8" x14ac:dyDescent="0.25">
      <c r="A15" s="180"/>
      <c r="B15" s="187"/>
      <c r="C15" s="187"/>
      <c r="D15" s="224"/>
      <c r="E15" s="227"/>
      <c r="F15" s="770"/>
      <c r="G15" s="203"/>
      <c r="H15" s="203"/>
    </row>
    <row r="16" spans="1:8" x14ac:dyDescent="0.25">
      <c r="A16" s="186" t="s">
        <v>218</v>
      </c>
      <c r="C16" s="183"/>
      <c r="D16" s="224"/>
      <c r="E16" s="227"/>
      <c r="F16" s="770"/>
      <c r="G16" s="203"/>
      <c r="H16" s="203"/>
    </row>
    <row r="17" spans="1:8" x14ac:dyDescent="0.25">
      <c r="B17" s="184" t="s">
        <v>239</v>
      </c>
      <c r="C17" s="200" t="s">
        <v>241</v>
      </c>
      <c r="D17" s="224">
        <f>'Normalized Therms'!P11/19</f>
        <v>504.84447368421053</v>
      </c>
      <c r="E17" s="205">
        <v>0</v>
      </c>
      <c r="F17" s="771">
        <f>'[66]Exh. JAP-6 Pages 7-10'!$F$18</f>
        <v>0.58999999999999986</v>
      </c>
      <c r="G17" s="203">
        <f t="shared" si="0"/>
        <v>0</v>
      </c>
      <c r="H17" s="203">
        <f t="shared" si="1"/>
        <v>297.85823947368414</v>
      </c>
    </row>
    <row r="18" spans="1:8" x14ac:dyDescent="0.25">
      <c r="B18" s="184"/>
      <c r="C18" s="184"/>
      <c r="D18" s="224"/>
      <c r="E18" s="227"/>
      <c r="F18" s="770"/>
      <c r="G18" s="203"/>
      <c r="H18" s="203"/>
    </row>
    <row r="19" spans="1:8" x14ac:dyDescent="0.25">
      <c r="A19" s="157" t="s">
        <v>219</v>
      </c>
      <c r="B19" s="188"/>
      <c r="C19" s="189"/>
      <c r="D19" s="224"/>
      <c r="E19" s="227"/>
      <c r="F19" s="770"/>
      <c r="G19" s="203"/>
      <c r="H19" s="203"/>
    </row>
    <row r="20" spans="1:8" x14ac:dyDescent="0.25">
      <c r="A20" s="188"/>
      <c r="B20" s="193" t="s">
        <v>237</v>
      </c>
      <c r="C20" s="193" t="s">
        <v>238</v>
      </c>
      <c r="D20" s="224">
        <f>'12ME Jun18 Data'!N24</f>
        <v>689698.95172727259</v>
      </c>
      <c r="E20" s="205">
        <v>0</v>
      </c>
      <c r="F20" s="771">
        <f>'[66]Exh. JAP-6 Pages 7-10'!F21</f>
        <v>2.1200000000000045</v>
      </c>
      <c r="G20" s="203">
        <f t="shared" si="0"/>
        <v>0</v>
      </c>
      <c r="H20" s="203">
        <f t="shared" si="1"/>
        <v>1462161.7776618211</v>
      </c>
    </row>
    <row r="21" spans="1:8" x14ac:dyDescent="0.25">
      <c r="A21" s="188"/>
      <c r="B21" s="190" t="s">
        <v>239</v>
      </c>
      <c r="C21" s="190" t="s">
        <v>240</v>
      </c>
      <c r="D21" s="224">
        <f>'Normalized Therms'!$P$13</f>
        <v>228604732.46999997</v>
      </c>
      <c r="E21" s="144">
        <v>0</v>
      </c>
      <c r="F21" s="768">
        <f>'[66]Exh. JAP-6 Pages 7-10'!F22</f>
        <v>1.9409999999999983E-2</v>
      </c>
      <c r="G21" s="203">
        <f t="shared" si="0"/>
        <v>0</v>
      </c>
      <c r="H21" s="203">
        <f t="shared" si="1"/>
        <v>4437217.8572426951</v>
      </c>
    </row>
    <row r="22" spans="1:8" s="201" customFormat="1" x14ac:dyDescent="0.25">
      <c r="B22" s="202" t="s">
        <v>87</v>
      </c>
      <c r="C22" s="202" t="s">
        <v>240</v>
      </c>
      <c r="D22" s="224">
        <f>'Normalized Therms'!$P$13</f>
        <v>228604732.46999997</v>
      </c>
      <c r="E22" s="144">
        <v>0</v>
      </c>
      <c r="F22" s="768">
        <f>'[66]Exh. JAP-6 Pages 7-10'!F23</f>
        <v>5.8000000000000065E-4</v>
      </c>
      <c r="G22" s="203">
        <f t="shared" ref="G22" si="2">ROUND(E22*D22,2)</f>
        <v>0</v>
      </c>
      <c r="H22" s="203">
        <f>(F22-E22)*D22</f>
        <v>132590.74483260012</v>
      </c>
    </row>
    <row r="23" spans="1:8" x14ac:dyDescent="0.25">
      <c r="A23" s="188"/>
      <c r="B23" s="190"/>
      <c r="C23" s="190"/>
      <c r="D23" s="224"/>
      <c r="E23" s="227"/>
      <c r="F23" s="770"/>
      <c r="G23" s="203"/>
      <c r="H23" s="203"/>
    </row>
    <row r="24" spans="1:8" x14ac:dyDescent="0.25">
      <c r="A24" s="191" t="s">
        <v>220</v>
      </c>
      <c r="B24" s="188"/>
      <c r="C24" s="189"/>
      <c r="D24" s="224"/>
      <c r="E24" s="227"/>
      <c r="F24" s="770"/>
      <c r="G24" s="203"/>
      <c r="H24" s="203"/>
    </row>
    <row r="25" spans="1:8" x14ac:dyDescent="0.25">
      <c r="A25" s="190"/>
      <c r="B25" s="193" t="s">
        <v>237</v>
      </c>
      <c r="C25" s="193" t="s">
        <v>238</v>
      </c>
      <c r="D25" s="224">
        <f>'12ME Jun18 Data'!N25</f>
        <v>37.000031241542246</v>
      </c>
      <c r="E25" s="205">
        <v>0</v>
      </c>
      <c r="F25" s="771">
        <f>'[66]Exh. JAP-6 Pages 7-10'!F26</f>
        <v>15.140000000000043</v>
      </c>
      <c r="G25" s="203">
        <f t="shared" si="0"/>
        <v>0</v>
      </c>
      <c r="H25" s="203">
        <f t="shared" si="1"/>
        <v>560.18047299695115</v>
      </c>
    </row>
    <row r="26" spans="1:8" x14ac:dyDescent="0.25">
      <c r="A26" s="190"/>
      <c r="B26" s="190" t="s">
        <v>239</v>
      </c>
      <c r="C26" s="190" t="s">
        <v>240</v>
      </c>
      <c r="D26" s="224">
        <f>'Normalized Therms'!P18</f>
        <v>43413.770000000004</v>
      </c>
      <c r="E26" s="144">
        <v>0</v>
      </c>
      <c r="F26" s="768">
        <f>'[66]Exh. JAP-6 Pages 7-10'!F27</f>
        <v>1.261000000000001E-2</v>
      </c>
      <c r="G26" s="203">
        <f t="shared" si="0"/>
        <v>0</v>
      </c>
      <c r="H26" s="203">
        <f t="shared" si="1"/>
        <v>547.44763970000054</v>
      </c>
    </row>
    <row r="27" spans="1:8" x14ac:dyDescent="0.25">
      <c r="A27" s="190"/>
      <c r="B27" s="190"/>
      <c r="C27" s="190"/>
      <c r="D27" s="224"/>
      <c r="E27" s="227"/>
      <c r="F27" s="770"/>
      <c r="G27" s="203"/>
      <c r="H27" s="203"/>
    </row>
    <row r="28" spans="1:8" x14ac:dyDescent="0.25">
      <c r="A28" s="191" t="s">
        <v>221</v>
      </c>
      <c r="B28" s="188"/>
      <c r="C28" s="189"/>
      <c r="D28" s="224"/>
      <c r="E28" s="205"/>
      <c r="F28" s="770"/>
      <c r="G28" s="203"/>
      <c r="H28" s="203"/>
    </row>
    <row r="29" spans="1:8" x14ac:dyDescent="0.25">
      <c r="A29" s="188"/>
      <c r="B29" s="190" t="s">
        <v>204</v>
      </c>
      <c r="C29" s="190"/>
      <c r="D29" s="224"/>
      <c r="E29" s="205">
        <v>0</v>
      </c>
      <c r="F29" s="771">
        <f>'[66]Exh. JAP-6 Pages 7-10'!$F$30</f>
        <v>9.999999999999995E-3</v>
      </c>
      <c r="G29" s="203">
        <f t="shared" si="0"/>
        <v>0</v>
      </c>
      <c r="H29" s="203">
        <f t="shared" si="1"/>
        <v>0</v>
      </c>
    </row>
    <row r="30" spans="1:8" x14ac:dyDescent="0.25">
      <c r="A30" s="188"/>
      <c r="B30" s="192"/>
      <c r="C30" s="190"/>
      <c r="D30" s="224"/>
      <c r="E30" s="227"/>
      <c r="F30" s="770"/>
      <c r="G30" s="203"/>
      <c r="H30" s="203"/>
    </row>
    <row r="31" spans="1:8" x14ac:dyDescent="0.25">
      <c r="A31" s="191" t="s">
        <v>222</v>
      </c>
      <c r="B31" s="188"/>
      <c r="C31" s="189"/>
      <c r="D31" s="224"/>
      <c r="E31" s="227"/>
      <c r="F31" s="770"/>
      <c r="G31" s="203"/>
      <c r="H31" s="203"/>
    </row>
    <row r="32" spans="1:8" x14ac:dyDescent="0.25">
      <c r="A32" s="188"/>
      <c r="B32" s="193" t="s">
        <v>237</v>
      </c>
      <c r="C32" s="193" t="s">
        <v>238</v>
      </c>
      <c r="D32" s="224">
        <f>'12ME Jun18 Data'!$N$26</f>
        <v>15757.12870224839</v>
      </c>
      <c r="E32" s="205">
        <v>0</v>
      </c>
      <c r="F32" s="771">
        <f>'[66]Exh. JAP-6 Pages 7-10'!F33</f>
        <v>8.3300000000000125</v>
      </c>
      <c r="G32" s="203">
        <f t="shared" si="0"/>
        <v>0</v>
      </c>
      <c r="H32" s="203">
        <f t="shared" si="1"/>
        <v>131256.88208972928</v>
      </c>
    </row>
    <row r="33" spans="1:8" x14ac:dyDescent="0.25">
      <c r="A33" s="188"/>
      <c r="B33" s="192" t="s">
        <v>242</v>
      </c>
      <c r="C33" s="193" t="s">
        <v>238</v>
      </c>
      <c r="D33" s="224">
        <f>'12ME Jun18 Data'!$N$26</f>
        <v>15757.12870224839</v>
      </c>
      <c r="E33" s="205">
        <v>0</v>
      </c>
      <c r="F33" s="771">
        <f>'[66]Exh. JAP-6 Pages 7-10'!F34</f>
        <v>9.0799999999999983</v>
      </c>
      <c r="G33" s="203">
        <f t="shared" si="0"/>
        <v>0</v>
      </c>
      <c r="H33" s="203">
        <f t="shared" si="1"/>
        <v>143074.72861641535</v>
      </c>
    </row>
    <row r="34" spans="1:8" x14ac:dyDescent="0.25">
      <c r="A34" s="188"/>
      <c r="B34" s="192" t="s">
        <v>78</v>
      </c>
      <c r="C34" s="190" t="s">
        <v>204</v>
      </c>
      <c r="D34" s="224">
        <f>'12ME Jun18 Data'!N8</f>
        <v>3902427.7730000005</v>
      </c>
      <c r="E34" s="205">
        <v>0</v>
      </c>
      <c r="F34" s="771">
        <f>'[66]Exh. JAP-6 Pages 7-10'!F35</f>
        <v>0.10000000000000009</v>
      </c>
      <c r="G34" s="203">
        <f t="shared" si="0"/>
        <v>0</v>
      </c>
      <c r="H34" s="203">
        <f t="shared" si="1"/>
        <v>390242.77730000042</v>
      </c>
    </row>
    <row r="35" spans="1:8" x14ac:dyDescent="0.25">
      <c r="A35" s="188"/>
      <c r="B35" s="192"/>
      <c r="C35" s="190"/>
      <c r="D35" s="224"/>
      <c r="E35" s="227"/>
      <c r="F35" s="770"/>
      <c r="G35" s="203"/>
      <c r="H35" s="203"/>
    </row>
    <row r="36" spans="1:8" x14ac:dyDescent="0.25">
      <c r="A36" s="188"/>
      <c r="B36" s="192" t="s">
        <v>79</v>
      </c>
      <c r="C36" s="190"/>
      <c r="D36" s="224"/>
      <c r="E36" s="227"/>
      <c r="F36" s="770"/>
      <c r="G36" s="203"/>
      <c r="H36" s="203"/>
    </row>
    <row r="37" spans="1:8" x14ac:dyDescent="0.25">
      <c r="A37" s="188"/>
      <c r="B37" s="192" t="s">
        <v>164</v>
      </c>
      <c r="C37" s="190" t="s">
        <v>240</v>
      </c>
      <c r="D37" s="224">
        <f>'Normalized Therms'!$P$14*'12ME Jun18 Bill Freq'!N36</f>
        <v>13168764.918000001</v>
      </c>
      <c r="E37" s="144">
        <v>0</v>
      </c>
      <c r="F37" s="768">
        <f>'[66]Exh. JAP-6 Pages 7-10'!F38</f>
        <v>1.0089999999999988E-2</v>
      </c>
      <c r="G37" s="203">
        <f t="shared" si="0"/>
        <v>0</v>
      </c>
      <c r="H37" s="203" t="s">
        <v>451</v>
      </c>
    </row>
    <row r="38" spans="1:8" x14ac:dyDescent="0.25">
      <c r="A38" s="188"/>
      <c r="B38" s="192" t="s">
        <v>165</v>
      </c>
      <c r="C38" s="190" t="s">
        <v>240</v>
      </c>
      <c r="D38" s="224">
        <f>'Normalized Therms'!$P$14*'12ME Jun18 Bill Freq'!N37</f>
        <v>29185983.706</v>
      </c>
      <c r="E38" s="144">
        <v>0</v>
      </c>
      <c r="F38" s="768">
        <f>'[66]Exh. JAP-6 Pages 7-10'!F39</f>
        <v>1.0089999999999988E-2</v>
      </c>
      <c r="G38" s="203">
        <f t="shared" si="0"/>
        <v>0</v>
      </c>
      <c r="H38" s="203">
        <f t="shared" si="1"/>
        <v>294486.57559353963</v>
      </c>
    </row>
    <row r="39" spans="1:8" x14ac:dyDescent="0.25">
      <c r="A39" s="188"/>
      <c r="B39" s="192" t="s">
        <v>166</v>
      </c>
      <c r="C39" s="190" t="s">
        <v>240</v>
      </c>
      <c r="D39" s="224">
        <f>'Normalized Therms'!$P$14*'12ME Jun18 Bill Freq'!N38</f>
        <v>21612119.392999999</v>
      </c>
      <c r="E39" s="144">
        <v>0</v>
      </c>
      <c r="F39" s="768">
        <f>'[66]Exh. JAP-6 Pages 7-10'!F40</f>
        <v>7.8499999999999959E-3</v>
      </c>
      <c r="G39" s="203">
        <f t="shared" si="0"/>
        <v>0</v>
      </c>
      <c r="H39" s="203">
        <f t="shared" si="1"/>
        <v>169655.13723504992</v>
      </c>
    </row>
    <row r="40" spans="1:8" s="201" customFormat="1" x14ac:dyDescent="0.25">
      <c r="B40" s="192"/>
      <c r="C40" s="202"/>
      <c r="D40" s="224"/>
      <c r="E40" s="144"/>
      <c r="F40" s="770"/>
      <c r="G40" s="203"/>
      <c r="H40" s="203"/>
    </row>
    <row r="41" spans="1:8" s="201" customFormat="1" x14ac:dyDescent="0.25">
      <c r="B41" s="192" t="s">
        <v>87</v>
      </c>
      <c r="C41" s="202" t="s">
        <v>240</v>
      </c>
      <c r="D41" s="224">
        <f>'Normalized Therms'!$P$14</f>
        <v>63966868.016999997</v>
      </c>
      <c r="E41" s="144">
        <v>0</v>
      </c>
      <c r="F41" s="768">
        <f>'[66]Exh. JAP-6 Pages 7-10'!$F$42</f>
        <v>4.8000000000000039E-4</v>
      </c>
      <c r="G41" s="203">
        <f t="shared" ref="G41" si="3">ROUND(E41*D41,2)</f>
        <v>0</v>
      </c>
      <c r="H41" s="203">
        <f t="shared" ref="H41" si="4">(F41-E41)*D41</f>
        <v>30704.096648160023</v>
      </c>
    </row>
    <row r="42" spans="1:8" x14ac:dyDescent="0.25">
      <c r="A42" s="188"/>
      <c r="B42" s="193"/>
      <c r="C42" s="189"/>
      <c r="D42" s="224"/>
      <c r="E42" s="227"/>
      <c r="F42" s="770"/>
      <c r="G42" s="203"/>
      <c r="H42" s="203"/>
    </row>
    <row r="43" spans="1:8" x14ac:dyDescent="0.25">
      <c r="A43" s="191" t="s">
        <v>224</v>
      </c>
      <c r="B43" s="159"/>
      <c r="C43" s="189"/>
      <c r="D43" s="224"/>
      <c r="E43" s="227"/>
      <c r="F43" s="770"/>
      <c r="G43" s="203"/>
      <c r="H43" s="203"/>
    </row>
    <row r="44" spans="1:8" x14ac:dyDescent="0.25">
      <c r="A44" s="192"/>
      <c r="B44" s="193" t="s">
        <v>237</v>
      </c>
      <c r="C44" s="193" t="s">
        <v>238</v>
      </c>
      <c r="D44" s="224">
        <f>'12ME Jun18 Data'!$N$27</f>
        <v>1217.0689113856104</v>
      </c>
      <c r="E44" s="205">
        <v>0</v>
      </c>
      <c r="F44" s="771">
        <f>'[66]Exh. JAP-6 Pages 7-10'!F45</f>
        <v>17.54000000000002</v>
      </c>
      <c r="G44" s="203">
        <f t="shared" si="0"/>
        <v>0</v>
      </c>
      <c r="H44" s="203">
        <f t="shared" si="1"/>
        <v>21347.38870570363</v>
      </c>
    </row>
    <row r="45" spans="1:8" x14ac:dyDescent="0.25">
      <c r="A45" s="192"/>
      <c r="B45" s="192" t="s">
        <v>242</v>
      </c>
      <c r="C45" s="193" t="s">
        <v>238</v>
      </c>
      <c r="D45" s="224">
        <f>'12ME Jun18 Data'!$N$27</f>
        <v>1217.0689113856104</v>
      </c>
      <c r="E45" s="205">
        <v>0</v>
      </c>
      <c r="F45" s="771">
        <f>'[66]Exh. JAP-6 Pages 7-10'!F46</f>
        <v>4.9499999999999886</v>
      </c>
      <c r="G45" s="203">
        <f t="shared" si="0"/>
        <v>0</v>
      </c>
      <c r="H45" s="203">
        <f t="shared" si="1"/>
        <v>6024.4911113587577</v>
      </c>
    </row>
    <row r="46" spans="1:8" x14ac:dyDescent="0.25">
      <c r="A46" s="192"/>
      <c r="B46" s="192" t="s">
        <v>78</v>
      </c>
      <c r="C46" s="190" t="s">
        <v>204</v>
      </c>
      <c r="D46" s="224">
        <f>'12ME Jun18 Data'!N9</f>
        <v>1169396.5019999999</v>
      </c>
      <c r="E46" s="205">
        <v>0</v>
      </c>
      <c r="F46" s="771">
        <f>'[66]Exh. JAP-6 Pages 7-10'!F47</f>
        <v>6.0000000000000053E-2</v>
      </c>
      <c r="G46" s="203">
        <f t="shared" si="0"/>
        <v>0</v>
      </c>
      <c r="H46" s="203">
        <f t="shared" si="1"/>
        <v>70163.790120000049</v>
      </c>
    </row>
    <row r="47" spans="1:8" x14ac:dyDescent="0.25">
      <c r="A47" s="192"/>
      <c r="B47" s="192"/>
      <c r="C47" s="190"/>
      <c r="D47" s="224"/>
      <c r="E47" s="227"/>
      <c r="F47" s="770"/>
      <c r="G47" s="203"/>
      <c r="H47" s="203"/>
    </row>
    <row r="48" spans="1:8" x14ac:dyDescent="0.25">
      <c r="A48" s="192"/>
      <c r="B48" s="192" t="s">
        <v>79</v>
      </c>
      <c r="C48" s="190"/>
      <c r="D48" s="224"/>
      <c r="E48" s="227"/>
      <c r="F48" s="770"/>
      <c r="G48" s="203"/>
      <c r="H48" s="203"/>
    </row>
    <row r="49" spans="1:8" x14ac:dyDescent="0.25">
      <c r="A49" s="192"/>
      <c r="B49" s="192" t="s">
        <v>164</v>
      </c>
      <c r="C49" s="190" t="s">
        <v>240</v>
      </c>
      <c r="D49" s="224">
        <f>'Normalized Therms'!$P$19*'12ME Jun18 Bill Freq'!N6</f>
        <v>1086774.6600000001</v>
      </c>
      <c r="E49" s="144">
        <v>0</v>
      </c>
      <c r="F49" s="768">
        <f>'[66]Exh. JAP-6 Pages 7-10'!F50</f>
        <v>5.5000000000000049E-3</v>
      </c>
      <c r="G49" s="203">
        <f t="shared" si="0"/>
        <v>0</v>
      </c>
      <c r="H49" s="203" t="s">
        <v>451</v>
      </c>
    </row>
    <row r="50" spans="1:8" x14ac:dyDescent="0.25">
      <c r="A50" s="192"/>
      <c r="B50" s="192" t="s">
        <v>165</v>
      </c>
      <c r="C50" s="190" t="s">
        <v>240</v>
      </c>
      <c r="D50" s="224">
        <f>'Normalized Therms'!$P$19*'12ME Jun18 Bill Freq'!N7</f>
        <v>4133910.06</v>
      </c>
      <c r="E50" s="144">
        <v>0</v>
      </c>
      <c r="F50" s="768">
        <f>'[66]Exh. JAP-6 Pages 7-10'!F51</f>
        <v>5.5000000000000049E-3</v>
      </c>
      <c r="G50" s="203">
        <f t="shared" si="0"/>
        <v>0</v>
      </c>
      <c r="H50" s="203">
        <f t="shared" si="1"/>
        <v>22736.505330000022</v>
      </c>
    </row>
    <row r="51" spans="1:8" x14ac:dyDescent="0.25">
      <c r="A51" s="192"/>
      <c r="B51" s="192" t="s">
        <v>166</v>
      </c>
      <c r="C51" s="190" t="s">
        <v>240</v>
      </c>
      <c r="D51" s="224">
        <f>'Normalized Therms'!$P$19*'12ME Jun18 Bill Freq'!N8</f>
        <v>14033564.799000001</v>
      </c>
      <c r="E51" s="144">
        <v>0</v>
      </c>
      <c r="F51" s="768">
        <f>'[66]Exh. JAP-6 Pages 7-10'!F52</f>
        <v>3.6300000000000082E-3</v>
      </c>
      <c r="G51" s="203">
        <f t="shared" si="0"/>
        <v>0</v>
      </c>
      <c r="H51" s="203">
        <f t="shared" si="1"/>
        <v>50941.840220370119</v>
      </c>
    </row>
    <row r="52" spans="1:8" x14ac:dyDescent="0.25">
      <c r="A52" s="192"/>
      <c r="B52" s="193"/>
      <c r="C52" s="189"/>
      <c r="D52" s="224"/>
      <c r="E52" s="227"/>
      <c r="F52" s="770"/>
      <c r="G52" s="203"/>
      <c r="H52" s="203"/>
    </row>
    <row r="53" spans="1:8" x14ac:dyDescent="0.25">
      <c r="A53" s="157" t="s">
        <v>225</v>
      </c>
      <c r="B53" s="188"/>
      <c r="C53" s="189"/>
      <c r="D53" s="224"/>
      <c r="E53" s="227"/>
      <c r="F53" s="770"/>
      <c r="G53" s="203"/>
      <c r="H53" s="203"/>
    </row>
    <row r="54" spans="1:8" x14ac:dyDescent="0.25">
      <c r="A54" s="188"/>
      <c r="B54" s="189" t="s">
        <v>237</v>
      </c>
      <c r="C54" s="189" t="s">
        <v>238</v>
      </c>
      <c r="D54" s="224">
        <f>'12ME Jun18 Data'!N28</f>
        <v>331.51750649225198</v>
      </c>
      <c r="E54" s="205">
        <v>0</v>
      </c>
      <c r="F54" s="771">
        <f>'[66]Exh. JAP-6 Pages 7-10'!F55</f>
        <v>53.950000000000045</v>
      </c>
      <c r="G54" s="203">
        <f t="shared" si="0"/>
        <v>0</v>
      </c>
      <c r="H54" s="203">
        <f t="shared" si="1"/>
        <v>17885.369475257008</v>
      </c>
    </row>
    <row r="55" spans="1:8" x14ac:dyDescent="0.25">
      <c r="A55" s="188"/>
      <c r="B55" s="190" t="s">
        <v>78</v>
      </c>
      <c r="C55" s="190" t="s">
        <v>204</v>
      </c>
      <c r="D55" s="224">
        <f>'12ME Jun18 Data'!N10</f>
        <v>84395.974999999991</v>
      </c>
      <c r="E55" s="205">
        <v>0</v>
      </c>
      <c r="F55" s="771">
        <f>'[66]Exh. JAP-6 Pages 7-10'!F56</f>
        <v>0.12000000000000011</v>
      </c>
      <c r="G55" s="203">
        <f t="shared" si="0"/>
        <v>0</v>
      </c>
      <c r="H55" s="203">
        <f t="shared" si="1"/>
        <v>10127.517000000007</v>
      </c>
    </row>
    <row r="56" spans="1:8" x14ac:dyDescent="0.25">
      <c r="A56" s="188"/>
      <c r="B56" s="190" t="s">
        <v>87</v>
      </c>
      <c r="C56" s="190" t="s">
        <v>240</v>
      </c>
      <c r="D56" s="224">
        <f>'Normalized Therms'!P15</f>
        <v>16307789.425999999</v>
      </c>
      <c r="E56" s="144">
        <v>0</v>
      </c>
      <c r="F56" s="768">
        <f>'[66]Exh. JAP-6 Pages 7-10'!$F$63</f>
        <v>7.2999999999999975E-4</v>
      </c>
      <c r="G56" s="203">
        <f t="shared" si="0"/>
        <v>0</v>
      </c>
      <c r="H56" s="203">
        <f t="shared" si="1"/>
        <v>11904.686280979995</v>
      </c>
    </row>
    <row r="57" spans="1:8" x14ac:dyDescent="0.25">
      <c r="A57" s="188"/>
      <c r="B57" s="190"/>
      <c r="C57" s="190"/>
      <c r="D57" s="224"/>
      <c r="E57" s="227"/>
      <c r="F57" s="770"/>
      <c r="G57" s="203"/>
      <c r="H57" s="203"/>
    </row>
    <row r="58" spans="1:8" x14ac:dyDescent="0.25">
      <c r="A58" s="188"/>
      <c r="B58" s="190" t="s">
        <v>79</v>
      </c>
      <c r="C58" s="190"/>
      <c r="D58" s="224"/>
      <c r="E58" s="227"/>
      <c r="F58" s="770"/>
      <c r="G58" s="203"/>
      <c r="H58" s="203"/>
    </row>
    <row r="59" spans="1:8" x14ac:dyDescent="0.25">
      <c r="A59" s="188"/>
      <c r="B59" s="190" t="s">
        <v>226</v>
      </c>
      <c r="C59" s="190" t="s">
        <v>240</v>
      </c>
      <c r="D59" s="224">
        <f>'Normalized Therms'!$P$15*'12ME Jun18 Bill Freq'!N43</f>
        <v>7796583.8329999996</v>
      </c>
      <c r="E59" s="144">
        <v>0</v>
      </c>
      <c r="F59" s="768">
        <f>'[66]Exh. JAP-6 Pages 7-10'!F59</f>
        <v>9.779999999999997E-3</v>
      </c>
      <c r="G59" s="203">
        <f t="shared" si="0"/>
        <v>0</v>
      </c>
      <c r="H59" s="203">
        <f t="shared" si="1"/>
        <v>76250.589886739966</v>
      </c>
    </row>
    <row r="60" spans="1:8" x14ac:dyDescent="0.25">
      <c r="A60" s="188"/>
      <c r="B60" s="190" t="s">
        <v>227</v>
      </c>
      <c r="C60" s="190" t="s">
        <v>240</v>
      </c>
      <c r="D60" s="224">
        <f>'Normalized Therms'!$P$15*'12ME Jun18 Bill Freq'!N44</f>
        <v>4282488.4919999996</v>
      </c>
      <c r="E60" s="144">
        <v>0</v>
      </c>
      <c r="F60" s="768">
        <f>'[66]Exh. JAP-6 Pages 7-10'!F60</f>
        <v>4.8399999999999971E-3</v>
      </c>
      <c r="G60" s="203">
        <f t="shared" si="0"/>
        <v>0</v>
      </c>
      <c r="H60" s="203">
        <f t="shared" si="1"/>
        <v>20727.244301279985</v>
      </c>
    </row>
    <row r="61" spans="1:8" x14ac:dyDescent="0.25">
      <c r="A61" s="188"/>
      <c r="B61" s="190" t="s">
        <v>228</v>
      </c>
      <c r="C61" s="190" t="s">
        <v>240</v>
      </c>
      <c r="D61" s="224">
        <f>'Normalized Therms'!$P$15*'12ME Jun18 Bill Freq'!N45</f>
        <v>4228717.1009999998</v>
      </c>
      <c r="E61" s="144">
        <v>0</v>
      </c>
      <c r="F61" s="768">
        <f>'[66]Exh. JAP-6 Pages 7-10'!F61</f>
        <v>4.6300000000000022E-3</v>
      </c>
      <c r="G61" s="203">
        <f t="shared" si="0"/>
        <v>0</v>
      </c>
      <c r="H61" s="203">
        <f t="shared" si="1"/>
        <v>19578.960177630008</v>
      </c>
    </row>
    <row r="62" spans="1:8" x14ac:dyDescent="0.25">
      <c r="A62" s="188"/>
      <c r="B62" s="189"/>
      <c r="C62" s="189"/>
      <c r="D62" s="224"/>
      <c r="E62" s="227"/>
      <c r="F62" s="770"/>
      <c r="G62" s="203"/>
      <c r="H62" s="203"/>
    </row>
    <row r="63" spans="1:8" x14ac:dyDescent="0.25">
      <c r="A63" s="157" t="s">
        <v>229</v>
      </c>
      <c r="B63" s="188"/>
      <c r="C63" s="189"/>
      <c r="D63" s="224"/>
      <c r="E63" s="227"/>
      <c r="F63" s="770"/>
      <c r="G63" s="203"/>
      <c r="H63" s="203"/>
    </row>
    <row r="64" spans="1:8" x14ac:dyDescent="0.25">
      <c r="A64" s="188"/>
      <c r="B64" s="189" t="s">
        <v>237</v>
      </c>
      <c r="C64" s="189" t="s">
        <v>238</v>
      </c>
      <c r="D64" s="224">
        <f>'12ME Jun18 Data'!N29</f>
        <v>1226.3663564440635</v>
      </c>
      <c r="E64" s="205">
        <v>0</v>
      </c>
      <c r="F64" s="771">
        <f>'[66]Exh. JAP-6 Pages 7-10'!F66</f>
        <v>37.190000000000055</v>
      </c>
      <c r="G64" s="203">
        <f t="shared" si="0"/>
        <v>0</v>
      </c>
      <c r="H64" s="203">
        <f t="shared" si="1"/>
        <v>45608.564796154787</v>
      </c>
    </row>
    <row r="65" spans="1:8" x14ac:dyDescent="0.25">
      <c r="A65" s="188"/>
      <c r="B65" s="190" t="s">
        <v>78</v>
      </c>
      <c r="C65" s="190" t="s">
        <v>204</v>
      </c>
      <c r="D65" s="224">
        <f>'12ME Jun18 Data'!N11</f>
        <v>686276.33400000003</v>
      </c>
      <c r="E65" s="205">
        <v>0</v>
      </c>
      <c r="F65" s="771">
        <f>'[66]Exh. JAP-6 Pages 7-10'!F67</f>
        <v>6.0000000000000053E-2</v>
      </c>
      <c r="G65" s="203">
        <f t="shared" si="0"/>
        <v>0</v>
      </c>
      <c r="H65" s="203">
        <f t="shared" si="1"/>
        <v>41176.580040000037</v>
      </c>
    </row>
    <row r="66" spans="1:8" x14ac:dyDescent="0.25">
      <c r="A66" s="188"/>
      <c r="B66" s="190"/>
      <c r="C66" s="190"/>
      <c r="D66" s="224"/>
      <c r="E66" s="227"/>
      <c r="F66" s="770"/>
      <c r="G66" s="203"/>
      <c r="H66" s="203"/>
    </row>
    <row r="67" spans="1:8" x14ac:dyDescent="0.25">
      <c r="A67" s="188"/>
      <c r="B67" s="190" t="s">
        <v>79</v>
      </c>
      <c r="C67" s="190"/>
      <c r="D67" s="224"/>
      <c r="E67" s="227"/>
      <c r="F67" s="770"/>
      <c r="G67" s="203"/>
      <c r="H67" s="203"/>
    </row>
    <row r="68" spans="1:8" x14ac:dyDescent="0.25">
      <c r="A68" s="188"/>
      <c r="B68" s="190" t="s">
        <v>226</v>
      </c>
      <c r="C68" s="190" t="s">
        <v>240</v>
      </c>
      <c r="D68" s="224">
        <f>'Normalized Therms'!$P$20*'12ME Jun18 Bill Freq'!N13</f>
        <v>28192306.539999999</v>
      </c>
      <c r="E68" s="144">
        <v>0</v>
      </c>
      <c r="F68" s="768">
        <f>'[66]Exh. JAP-6 Pages 7-10'!F70</f>
        <v>4.2099999999999915E-3</v>
      </c>
      <c r="G68" s="203">
        <f t="shared" si="0"/>
        <v>0</v>
      </c>
      <c r="H68" s="203">
        <f t="shared" si="1"/>
        <v>118689.61053339975</v>
      </c>
    </row>
    <row r="69" spans="1:8" x14ac:dyDescent="0.25">
      <c r="A69" s="188"/>
      <c r="B69" s="190" t="s">
        <v>227</v>
      </c>
      <c r="C69" s="190" t="s">
        <v>240</v>
      </c>
      <c r="D69" s="224">
        <f>'Normalized Therms'!$P$20*'12ME Jun18 Bill Freq'!N14</f>
        <v>19024750.539999999</v>
      </c>
      <c r="E69" s="144">
        <v>0</v>
      </c>
      <c r="F69" s="768">
        <f>'[66]Exh. JAP-6 Pages 7-10'!F71</f>
        <v>2.0800000000000055E-3</v>
      </c>
      <c r="G69" s="203">
        <f t="shared" si="0"/>
        <v>0</v>
      </c>
      <c r="H69" s="203">
        <f t="shared" si="1"/>
        <v>39571.481123200101</v>
      </c>
    </row>
    <row r="70" spans="1:8" x14ac:dyDescent="0.25">
      <c r="A70" s="188"/>
      <c r="B70" s="190" t="s">
        <v>230</v>
      </c>
      <c r="C70" s="190" t="s">
        <v>240</v>
      </c>
      <c r="D70" s="224">
        <f>'Normalized Therms'!$P$20*'12ME Jun18 Bill Freq'!N15</f>
        <v>29365530.040000003</v>
      </c>
      <c r="E70" s="144">
        <v>0</v>
      </c>
      <c r="F70" s="768">
        <f>'[66]Exh. JAP-6 Pages 7-10'!F72</f>
        <v>1.9599999999999965E-3</v>
      </c>
      <c r="G70" s="203">
        <f t="shared" si="0"/>
        <v>0</v>
      </c>
      <c r="H70" s="203">
        <f t="shared" si="1"/>
        <v>57556.438878399902</v>
      </c>
    </row>
    <row r="71" spans="1:8" x14ac:dyDescent="0.25">
      <c r="A71" s="188"/>
      <c r="B71" s="189"/>
      <c r="C71" s="189"/>
      <c r="D71" s="224"/>
      <c r="E71" s="227"/>
      <c r="F71" s="770"/>
      <c r="G71" s="203"/>
      <c r="H71" s="203"/>
    </row>
    <row r="72" spans="1:8" x14ac:dyDescent="0.25">
      <c r="A72" s="157" t="s">
        <v>231</v>
      </c>
      <c r="B72" s="188"/>
      <c r="C72" s="189"/>
      <c r="D72" s="224"/>
      <c r="E72" s="227"/>
      <c r="F72" s="770"/>
      <c r="G72" s="203"/>
      <c r="H72" s="203"/>
    </row>
    <row r="73" spans="1:8" x14ac:dyDescent="0.25">
      <c r="A73" s="188"/>
      <c r="B73" s="189" t="s">
        <v>237</v>
      </c>
      <c r="C73" s="189" t="s">
        <v>238</v>
      </c>
      <c r="D73" s="224">
        <f>'12ME Jun18 Data'!N30</f>
        <v>2677.7055539223543</v>
      </c>
      <c r="E73" s="205">
        <v>0</v>
      </c>
      <c r="F73" s="771">
        <f>'[66]Exh. JAP-6 Pages 7-10'!F75</f>
        <v>11.379999999999995</v>
      </c>
      <c r="G73" s="203">
        <f t="shared" si="0"/>
        <v>0</v>
      </c>
      <c r="H73" s="203">
        <f t="shared" si="1"/>
        <v>30472.289203636381</v>
      </c>
    </row>
    <row r="74" spans="1:8" x14ac:dyDescent="0.25">
      <c r="A74" s="188"/>
      <c r="B74" s="190" t="s">
        <v>78</v>
      </c>
      <c r="C74" s="190" t="s">
        <v>204</v>
      </c>
      <c r="D74" s="224">
        <f>'12ME Jun18 Data'!N12</f>
        <v>82161.953000000009</v>
      </c>
      <c r="E74" s="205">
        <v>0</v>
      </c>
      <c r="F74" s="771">
        <f>'[66]Exh. JAP-6 Pages 7-10'!F76</f>
        <v>0.10000000000000009</v>
      </c>
      <c r="G74" s="203">
        <f t="shared" ref="G74:G137" si="5">ROUND(E74*D74,2)</f>
        <v>0</v>
      </c>
      <c r="H74" s="203">
        <f t="shared" ref="H74:H137" si="6">(F74-E74)*D74</f>
        <v>8216.1953000000085</v>
      </c>
    </row>
    <row r="75" spans="1:8" x14ac:dyDescent="0.25">
      <c r="A75" s="188"/>
      <c r="B75" s="190" t="s">
        <v>87</v>
      </c>
      <c r="C75" s="190" t="s">
        <v>240</v>
      </c>
      <c r="D75" s="224">
        <f>'Normalized Therms'!P16</f>
        <v>9107268.5420000013</v>
      </c>
      <c r="E75" s="144">
        <v>0</v>
      </c>
      <c r="F75" s="768">
        <f>'[66]Exh. JAP-6 Pages 7-10'!$F$82</f>
        <v>7.5000000000000067E-4</v>
      </c>
      <c r="G75" s="203">
        <f t="shared" si="5"/>
        <v>0</v>
      </c>
      <c r="H75" s="203">
        <f t="shared" si="6"/>
        <v>6830.4514065000067</v>
      </c>
    </row>
    <row r="76" spans="1:8" x14ac:dyDescent="0.25">
      <c r="A76" s="188"/>
      <c r="B76" s="190"/>
      <c r="C76" s="190"/>
      <c r="D76" s="224"/>
      <c r="E76" s="227"/>
      <c r="F76" s="770"/>
      <c r="G76" s="203"/>
      <c r="H76" s="203"/>
    </row>
    <row r="77" spans="1:8" x14ac:dyDescent="0.25">
      <c r="A77" s="188"/>
      <c r="B77" s="190" t="s">
        <v>79</v>
      </c>
      <c r="C77" s="190"/>
      <c r="D77" s="224"/>
      <c r="E77" s="227"/>
      <c r="F77" s="770"/>
      <c r="G77" s="203"/>
      <c r="H77" s="203"/>
    </row>
    <row r="78" spans="1:8" x14ac:dyDescent="0.25">
      <c r="A78" s="188"/>
      <c r="B78" s="192" t="s">
        <v>94</v>
      </c>
      <c r="C78" s="192" t="s">
        <v>240</v>
      </c>
      <c r="D78" s="224">
        <f>'Normalized Therms'!$P$16*'12ME Jun18 Bill Freq'!N50</f>
        <v>2060386.0149999994</v>
      </c>
      <c r="E78" s="144">
        <v>0</v>
      </c>
      <c r="F78" s="768">
        <f>'[66]Exh. JAP-6 Pages 7-10'!F79</f>
        <v>1.5740000000000004E-2</v>
      </c>
      <c r="G78" s="203">
        <f t="shared" si="5"/>
        <v>0</v>
      </c>
      <c r="H78" s="203">
        <f t="shared" si="6"/>
        <v>32430.475876099998</v>
      </c>
    </row>
    <row r="79" spans="1:8" x14ac:dyDescent="0.25">
      <c r="A79" s="188"/>
      <c r="B79" s="192" t="s">
        <v>172</v>
      </c>
      <c r="C79" s="192" t="s">
        <v>240</v>
      </c>
      <c r="D79" s="224">
        <f>'Normalized Therms'!$P$16*'12ME Jun18 Bill Freq'!N51</f>
        <v>7046882.5270000007</v>
      </c>
      <c r="E79" s="144">
        <v>0</v>
      </c>
      <c r="F79" s="768">
        <f>'[66]Exh. JAP-6 Pages 7-10'!F80</f>
        <v>1.1160000000000003E-2</v>
      </c>
      <c r="G79" s="203">
        <f t="shared" si="5"/>
        <v>0</v>
      </c>
      <c r="H79" s="203">
        <f t="shared" si="6"/>
        <v>78643.209001320036</v>
      </c>
    </row>
    <row r="80" spans="1:8" x14ac:dyDescent="0.25">
      <c r="A80" s="188"/>
      <c r="B80" s="189"/>
      <c r="C80" s="189"/>
      <c r="D80" s="224"/>
      <c r="E80" s="227"/>
      <c r="F80" s="770"/>
      <c r="G80" s="203"/>
      <c r="H80" s="203"/>
    </row>
    <row r="81" spans="1:8" x14ac:dyDescent="0.25">
      <c r="A81" s="157" t="s">
        <v>232</v>
      </c>
      <c r="B81" s="188"/>
      <c r="C81" s="189"/>
      <c r="D81" s="224"/>
      <c r="E81" s="227"/>
      <c r="F81" s="770"/>
      <c r="G81" s="203"/>
      <c r="H81" s="203"/>
    </row>
    <row r="82" spans="1:8" x14ac:dyDescent="0.25">
      <c r="A82" s="190"/>
      <c r="B82" s="189" t="s">
        <v>237</v>
      </c>
      <c r="C82" s="189" t="s">
        <v>238</v>
      </c>
      <c r="D82" s="224">
        <f>'12ME Jun18 Data'!N31</f>
        <v>31.999971930109631</v>
      </c>
      <c r="E82" s="205">
        <v>0</v>
      </c>
      <c r="F82" s="771">
        <f>'[66]Exh. JAP-6 Pages 7-10'!F85</f>
        <v>21.019999999999982</v>
      </c>
      <c r="G82" s="203">
        <f t="shared" si="5"/>
        <v>0</v>
      </c>
      <c r="H82" s="203">
        <f t="shared" si="6"/>
        <v>672.6394099709039</v>
      </c>
    </row>
    <row r="83" spans="1:8" x14ac:dyDescent="0.25">
      <c r="A83" s="190"/>
      <c r="B83" s="190" t="s">
        <v>78</v>
      </c>
      <c r="C83" s="190" t="s">
        <v>204</v>
      </c>
      <c r="D83" s="224">
        <f>'12ME Jun18 Data'!N13</f>
        <v>9750</v>
      </c>
      <c r="E83" s="205">
        <v>0</v>
      </c>
      <c r="F83" s="771">
        <f>'[66]Exh. JAP-6 Pages 7-10'!F86</f>
        <v>6.0000000000000053E-2</v>
      </c>
      <c r="G83" s="203">
        <f t="shared" si="5"/>
        <v>0</v>
      </c>
      <c r="H83" s="203">
        <f t="shared" si="6"/>
        <v>585.00000000000057</v>
      </c>
    </row>
    <row r="84" spans="1:8" x14ac:dyDescent="0.25">
      <c r="A84" s="190"/>
      <c r="B84" s="190" t="s">
        <v>243</v>
      </c>
      <c r="C84" s="190"/>
      <c r="D84" s="224"/>
      <c r="E84" s="227"/>
      <c r="F84" s="770"/>
      <c r="G84" s="203"/>
      <c r="H84" s="203"/>
    </row>
    <row r="85" spans="1:8" x14ac:dyDescent="0.25">
      <c r="A85" s="190"/>
      <c r="B85" s="190"/>
      <c r="C85" s="190"/>
      <c r="D85" s="224"/>
      <c r="E85" s="227"/>
      <c r="F85" s="770"/>
      <c r="G85" s="203"/>
      <c r="H85" s="203"/>
    </row>
    <row r="86" spans="1:8" x14ac:dyDescent="0.25">
      <c r="A86" s="190"/>
      <c r="B86" s="190" t="s">
        <v>79</v>
      </c>
      <c r="C86" s="190"/>
      <c r="D86" s="224"/>
      <c r="E86" s="227"/>
      <c r="F86" s="770"/>
      <c r="G86" s="203"/>
      <c r="H86" s="203"/>
    </row>
    <row r="87" spans="1:8" x14ac:dyDescent="0.25">
      <c r="A87" s="190"/>
      <c r="B87" s="192" t="s">
        <v>94</v>
      </c>
      <c r="C87" s="192" t="s">
        <v>240</v>
      </c>
      <c r="D87" s="224">
        <f>'Normalized Therms'!$P$21*'12ME Jun18 Bill Freq'!N20</f>
        <v>23930.91</v>
      </c>
      <c r="E87" s="144">
        <v>0</v>
      </c>
      <c r="F87" s="768">
        <f>'[66]Exh. JAP-6 Pages 7-10'!F89</f>
        <v>9.1400000000000092E-3</v>
      </c>
      <c r="G87" s="203">
        <f t="shared" si="5"/>
        <v>0</v>
      </c>
      <c r="H87" s="203">
        <f t="shared" si="6"/>
        <v>218.72851740000021</v>
      </c>
    </row>
    <row r="88" spans="1:8" x14ac:dyDescent="0.25">
      <c r="A88" s="190"/>
      <c r="B88" s="192" t="s">
        <v>172</v>
      </c>
      <c r="C88" s="192" t="s">
        <v>240</v>
      </c>
      <c r="D88" s="224">
        <f>'Normalized Therms'!$P$21*'12ME Jun18 Bill Freq'!N21</f>
        <v>330705.78999999998</v>
      </c>
      <c r="E88" s="144">
        <v>0</v>
      </c>
      <c r="F88" s="768">
        <f>'[66]Exh. JAP-6 Pages 7-10'!F90</f>
        <v>6.4700000000000035E-3</v>
      </c>
      <c r="G88" s="203">
        <f t="shared" si="5"/>
        <v>0</v>
      </c>
      <c r="H88" s="203">
        <f t="shared" si="6"/>
        <v>2139.6664613000012</v>
      </c>
    </row>
    <row r="89" spans="1:8" x14ac:dyDescent="0.25">
      <c r="A89" s="190"/>
      <c r="B89" s="189"/>
      <c r="C89" s="189"/>
      <c r="D89" s="224"/>
      <c r="E89" s="227"/>
      <c r="F89" s="770"/>
      <c r="G89" s="203"/>
      <c r="H89" s="203"/>
    </row>
    <row r="90" spans="1:8" x14ac:dyDescent="0.25">
      <c r="A90" s="157" t="s">
        <v>233</v>
      </c>
      <c r="B90" s="188"/>
      <c r="C90" s="189"/>
      <c r="D90" s="224"/>
      <c r="E90" s="227"/>
      <c r="F90" s="770"/>
      <c r="G90" s="203"/>
      <c r="H90" s="203"/>
    </row>
    <row r="91" spans="1:8" x14ac:dyDescent="0.25">
      <c r="A91" s="188"/>
      <c r="B91" s="189" t="s">
        <v>237</v>
      </c>
      <c r="C91" s="189" t="s">
        <v>238</v>
      </c>
      <c r="D91" s="224">
        <f>'12ME Jun18 Data'!N32</f>
        <v>60.132496118726415</v>
      </c>
      <c r="E91" s="205">
        <v>0</v>
      </c>
      <c r="F91" s="771">
        <f>'[66]Exh. JAP-6 Pages 7-10'!F93</f>
        <v>57.090000000000032</v>
      </c>
      <c r="G91" s="203">
        <f t="shared" si="5"/>
        <v>0</v>
      </c>
      <c r="H91" s="203">
        <f t="shared" si="6"/>
        <v>3432.9642034180929</v>
      </c>
    </row>
    <row r="92" spans="1:8" x14ac:dyDescent="0.25">
      <c r="A92" s="188"/>
      <c r="B92" s="190" t="s">
        <v>78</v>
      </c>
      <c r="C92" s="190" t="s">
        <v>204</v>
      </c>
      <c r="D92" s="224">
        <f>'12ME Jun18 Data'!N14</f>
        <v>0</v>
      </c>
      <c r="E92" s="205">
        <v>0</v>
      </c>
      <c r="F92" s="771">
        <f>'[66]Exh. JAP-6 Pages 7-10'!F94</f>
        <v>0.1399999999999999</v>
      </c>
      <c r="G92" s="203">
        <f t="shared" si="5"/>
        <v>0</v>
      </c>
      <c r="H92" s="203">
        <f t="shared" si="6"/>
        <v>0</v>
      </c>
    </row>
    <row r="93" spans="1:8" x14ac:dyDescent="0.25">
      <c r="A93" s="188"/>
      <c r="B93" s="190" t="s">
        <v>87</v>
      </c>
      <c r="C93" s="190"/>
      <c r="D93" s="224">
        <f>'Normalized Therms'!P17</f>
        <v>23273158.627999999</v>
      </c>
      <c r="E93" s="144">
        <v>0</v>
      </c>
      <c r="F93" s="768">
        <f>'[66]Exh. JAP-6 Pages 7-10'!$F$104</f>
        <v>6.0999999999999943E-4</v>
      </c>
      <c r="G93" s="203">
        <f t="shared" si="5"/>
        <v>0</v>
      </c>
      <c r="H93" s="203">
        <f t="shared" si="6"/>
        <v>14196.626763079987</v>
      </c>
    </row>
    <row r="94" spans="1:8" x14ac:dyDescent="0.25">
      <c r="A94" s="188"/>
      <c r="B94" s="190"/>
      <c r="C94" s="190"/>
      <c r="D94" s="224"/>
      <c r="E94" s="227"/>
      <c r="F94" s="770"/>
      <c r="G94" s="203"/>
      <c r="H94" s="203"/>
    </row>
    <row r="95" spans="1:8" x14ac:dyDescent="0.25">
      <c r="A95" s="188"/>
      <c r="B95" s="190" t="s">
        <v>79</v>
      </c>
      <c r="C95" s="190"/>
      <c r="D95" s="224"/>
      <c r="E95" s="227"/>
      <c r="F95" s="770"/>
      <c r="G95" s="203"/>
      <c r="H95" s="203"/>
    </row>
    <row r="96" spans="1:8" x14ac:dyDescent="0.25">
      <c r="A96" s="188"/>
      <c r="B96" s="190" t="s">
        <v>226</v>
      </c>
      <c r="C96" s="190" t="s">
        <v>240</v>
      </c>
      <c r="D96" s="224">
        <f>'Normalized Therms'!$P$17*'12ME Jun18 Bill Freq'!N56</f>
        <v>1503311.6719999998</v>
      </c>
      <c r="E96" s="144">
        <v>0</v>
      </c>
      <c r="F96" s="768">
        <f>'[66]Exh. JAP-6 Pages 7-10'!F97</f>
        <v>1.4240000000000003E-2</v>
      </c>
      <c r="G96" s="203">
        <f t="shared" si="5"/>
        <v>0</v>
      </c>
      <c r="H96" s="203">
        <f t="shared" si="6"/>
        <v>21407.158209280002</v>
      </c>
    </row>
    <row r="97" spans="1:8" x14ac:dyDescent="0.25">
      <c r="A97" s="188"/>
      <c r="B97" s="190" t="s">
        <v>227</v>
      </c>
      <c r="C97" s="190" t="s">
        <v>240</v>
      </c>
      <c r="D97" s="224">
        <f>'Normalized Therms'!$P$17*'12ME Jun18 Bill Freq'!N57</f>
        <v>1455588.43</v>
      </c>
      <c r="E97" s="144">
        <v>0</v>
      </c>
      <c r="F97" s="768">
        <f>'[66]Exh. JAP-6 Pages 7-10'!F98</f>
        <v>8.6099999999999927E-3</v>
      </c>
      <c r="G97" s="203">
        <f t="shared" si="5"/>
        <v>0</v>
      </c>
      <c r="H97" s="203">
        <f t="shared" si="6"/>
        <v>12532.616382299988</v>
      </c>
    </row>
    <row r="98" spans="1:8" x14ac:dyDescent="0.25">
      <c r="A98" s="188"/>
      <c r="B98" s="190" t="s">
        <v>230</v>
      </c>
      <c r="C98" s="190" t="s">
        <v>240</v>
      </c>
      <c r="D98" s="224">
        <f>'Normalized Therms'!$P$17*'12ME Jun18 Bill Freq'!N58</f>
        <v>2640466.9439999997</v>
      </c>
      <c r="E98" s="144">
        <v>0</v>
      </c>
      <c r="F98" s="768">
        <f>'[66]Exh. JAP-6 Pages 7-10'!F99</f>
        <v>5.4799999999999988E-3</v>
      </c>
      <c r="G98" s="203">
        <f t="shared" si="5"/>
        <v>0</v>
      </c>
      <c r="H98" s="203">
        <f t="shared" si="6"/>
        <v>14469.758853119994</v>
      </c>
    </row>
    <row r="99" spans="1:8" x14ac:dyDescent="0.25">
      <c r="A99" s="188"/>
      <c r="B99" s="190" t="s">
        <v>100</v>
      </c>
      <c r="C99" s="190" t="s">
        <v>240</v>
      </c>
      <c r="D99" s="224">
        <f>'Normalized Therms'!$P$17*'12ME Jun18 Bill Freq'!N59</f>
        <v>3226287.8670000001</v>
      </c>
      <c r="E99" s="144">
        <v>0</v>
      </c>
      <c r="F99" s="768">
        <f>'[66]Exh. JAP-6 Pages 7-10'!F100</f>
        <v>3.5099999999999992E-3</v>
      </c>
      <c r="G99" s="203">
        <f t="shared" si="5"/>
        <v>0</v>
      </c>
      <c r="H99" s="203">
        <f t="shared" si="6"/>
        <v>11324.270413169997</v>
      </c>
    </row>
    <row r="100" spans="1:8" x14ac:dyDescent="0.25">
      <c r="A100" s="188"/>
      <c r="B100" s="190" t="s">
        <v>101</v>
      </c>
      <c r="C100" s="190" t="s">
        <v>240</v>
      </c>
      <c r="D100" s="224">
        <f>'Normalized Therms'!$P$17*'12ME Jun18 Bill Freq'!N60</f>
        <v>3759593.1549999998</v>
      </c>
      <c r="E100" s="144">
        <v>0</v>
      </c>
      <c r="F100" s="768">
        <f>'[66]Exh. JAP-6 Pages 7-10'!F101</f>
        <v>2.5199999999999979E-3</v>
      </c>
      <c r="G100" s="203">
        <f t="shared" si="5"/>
        <v>0</v>
      </c>
      <c r="H100" s="203">
        <f t="shared" si="6"/>
        <v>9474.174750599992</v>
      </c>
    </row>
    <row r="101" spans="1:8" x14ac:dyDescent="0.25">
      <c r="A101" s="188"/>
      <c r="B101" s="190" t="s">
        <v>174</v>
      </c>
      <c r="C101" s="190" t="s">
        <v>240</v>
      </c>
      <c r="D101" s="224">
        <f>'Normalized Therms'!$P$17*'12ME Jun18 Bill Freq'!N61</f>
        <v>10687910.560000001</v>
      </c>
      <c r="E101" s="144">
        <v>0</v>
      </c>
      <c r="F101" s="768">
        <f>'[66]Exh. JAP-6 Pages 7-10'!F102</f>
        <v>1.9500000000000003E-3</v>
      </c>
      <c r="G101" s="203">
        <f t="shared" si="5"/>
        <v>0</v>
      </c>
      <c r="H101" s="203">
        <f t="shared" si="6"/>
        <v>20841.425592000003</v>
      </c>
    </row>
    <row r="102" spans="1:8" x14ac:dyDescent="0.25">
      <c r="A102" s="188"/>
      <c r="B102" s="189"/>
      <c r="C102" s="189"/>
      <c r="D102" s="224"/>
      <c r="E102" s="227"/>
      <c r="F102" s="770"/>
      <c r="G102" s="203"/>
      <c r="H102" s="203"/>
    </row>
    <row r="103" spans="1:8" x14ac:dyDescent="0.25">
      <c r="A103" s="157" t="s">
        <v>234</v>
      </c>
      <c r="B103" s="188"/>
      <c r="C103" s="189"/>
      <c r="D103" s="224"/>
      <c r="E103" s="227"/>
      <c r="F103" s="770"/>
      <c r="G103" s="203"/>
      <c r="H103" s="203"/>
    </row>
    <row r="104" spans="1:8" x14ac:dyDescent="0.25">
      <c r="A104" s="190"/>
      <c r="B104" s="189" t="s">
        <v>237</v>
      </c>
      <c r="C104" s="189" t="s">
        <v>238</v>
      </c>
      <c r="D104" s="224">
        <f>'12ME Jun18 Data'!N33</f>
        <v>112.76670855311828</v>
      </c>
      <c r="E104" s="205">
        <v>0</v>
      </c>
      <c r="F104" s="771">
        <f>'[66]Exh. JAP-6 Pages 7-10'!F107</f>
        <v>38.629999999999995</v>
      </c>
      <c r="G104" s="203">
        <f t="shared" si="5"/>
        <v>0</v>
      </c>
      <c r="H104" s="203">
        <f t="shared" si="6"/>
        <v>4356.1779514069585</v>
      </c>
    </row>
    <row r="105" spans="1:8" x14ac:dyDescent="0.25">
      <c r="A105" s="190"/>
      <c r="B105" s="190" t="s">
        <v>78</v>
      </c>
      <c r="C105" s="190" t="s">
        <v>204</v>
      </c>
      <c r="D105" s="224">
        <f>'12ME Jun18 Data'!N15</f>
        <v>287412</v>
      </c>
      <c r="E105" s="205">
        <v>0</v>
      </c>
      <c r="F105" s="771">
        <f>'[66]Exh. JAP-6 Pages 7-10'!F108</f>
        <v>5.9999999999999831E-2</v>
      </c>
      <c r="G105" s="203">
        <f t="shared" si="5"/>
        <v>0</v>
      </c>
      <c r="H105" s="203">
        <f t="shared" si="6"/>
        <v>17244.71999999995</v>
      </c>
    </row>
    <row r="106" spans="1:8" x14ac:dyDescent="0.25">
      <c r="A106" s="190"/>
      <c r="B106" s="190" t="s">
        <v>243</v>
      </c>
      <c r="C106" s="190"/>
      <c r="D106" s="224"/>
      <c r="E106" s="227"/>
      <c r="F106" s="770"/>
      <c r="G106" s="203"/>
      <c r="H106" s="203"/>
    </row>
    <row r="107" spans="1:8" x14ac:dyDescent="0.25">
      <c r="A107" s="190"/>
      <c r="B107" s="192"/>
      <c r="C107" s="190"/>
      <c r="D107" s="224"/>
      <c r="E107" s="227"/>
      <c r="F107" s="770"/>
      <c r="G107" s="203"/>
      <c r="H107" s="203"/>
    </row>
    <row r="108" spans="1:8" x14ac:dyDescent="0.25">
      <c r="A108" s="190"/>
      <c r="B108" s="190" t="s">
        <v>79</v>
      </c>
      <c r="C108" s="190"/>
      <c r="D108" s="224"/>
      <c r="E108" s="227"/>
      <c r="F108" s="770"/>
      <c r="G108" s="203"/>
      <c r="H108" s="203"/>
    </row>
    <row r="109" spans="1:8" x14ac:dyDescent="0.25">
      <c r="A109" s="190"/>
      <c r="B109" s="190" t="s">
        <v>226</v>
      </c>
      <c r="C109" s="190" t="s">
        <v>240</v>
      </c>
      <c r="D109" s="224">
        <f>'Normalized Therms'!$P$22*'12ME Jun18 Bill Freq'!N26</f>
        <v>3000000</v>
      </c>
      <c r="E109" s="144">
        <v>0</v>
      </c>
      <c r="F109" s="768">
        <f>'[66]Exh. JAP-6 Pages 7-10'!F111</f>
        <v>6.0199999999999976E-3</v>
      </c>
      <c r="G109" s="203">
        <f t="shared" si="5"/>
        <v>0</v>
      </c>
      <c r="H109" s="203">
        <f t="shared" si="6"/>
        <v>18059.999999999993</v>
      </c>
    </row>
    <row r="110" spans="1:8" x14ac:dyDescent="0.25">
      <c r="A110" s="190"/>
      <c r="B110" s="190" t="s">
        <v>227</v>
      </c>
      <c r="C110" s="190" t="s">
        <v>240</v>
      </c>
      <c r="D110" s="224">
        <f>'Normalized Therms'!$P$22*'12ME Jun18 Bill Freq'!N27</f>
        <v>3000000</v>
      </c>
      <c r="E110" s="144">
        <v>0</v>
      </c>
      <c r="F110" s="768">
        <f>'[66]Exh. JAP-6 Pages 7-10'!F112</f>
        <v>3.6400000000000043E-3</v>
      </c>
      <c r="G110" s="203">
        <f t="shared" si="5"/>
        <v>0</v>
      </c>
      <c r="H110" s="203">
        <f t="shared" si="6"/>
        <v>10920.000000000013</v>
      </c>
    </row>
    <row r="111" spans="1:8" x14ac:dyDescent="0.25">
      <c r="A111" s="190"/>
      <c r="B111" s="190" t="s">
        <v>230</v>
      </c>
      <c r="C111" s="190" t="s">
        <v>240</v>
      </c>
      <c r="D111" s="224">
        <f>'Normalized Therms'!$P$22*'12ME Jun18 Bill Freq'!N28</f>
        <v>6000000</v>
      </c>
      <c r="E111" s="144">
        <v>0</v>
      </c>
      <c r="F111" s="768">
        <f>'[66]Exh. JAP-6 Pages 7-10'!F113</f>
        <v>2.3199999999999957E-3</v>
      </c>
      <c r="G111" s="203">
        <f t="shared" si="5"/>
        <v>0</v>
      </c>
      <c r="H111" s="203">
        <f t="shared" si="6"/>
        <v>13919.999999999975</v>
      </c>
    </row>
    <row r="112" spans="1:8" x14ac:dyDescent="0.25">
      <c r="A112" s="190"/>
      <c r="B112" s="190" t="s">
        <v>100</v>
      </c>
      <c r="C112" s="190" t="s">
        <v>240</v>
      </c>
      <c r="D112" s="224">
        <f>'Normalized Therms'!$P$22*'12ME Jun18 Bill Freq'!N29</f>
        <v>11777991.879999999</v>
      </c>
      <c r="E112" s="144">
        <v>0</v>
      </c>
      <c r="F112" s="768">
        <f>'[66]Exh. JAP-6 Pages 7-10'!F114</f>
        <v>1.4899999999999983E-3</v>
      </c>
      <c r="G112" s="203">
        <f t="shared" si="5"/>
        <v>0</v>
      </c>
      <c r="H112" s="203">
        <f t="shared" si="6"/>
        <v>17549.207901199978</v>
      </c>
    </row>
    <row r="113" spans="1:8" x14ac:dyDescent="0.25">
      <c r="A113" s="190"/>
      <c r="B113" s="190" t="s">
        <v>101</v>
      </c>
      <c r="C113" s="190" t="s">
        <v>240</v>
      </c>
      <c r="D113" s="224">
        <f>'Normalized Therms'!$P$22*'12ME Jun18 Bill Freq'!N30</f>
        <v>26253593.519999996</v>
      </c>
      <c r="E113" s="144">
        <v>0</v>
      </c>
      <c r="F113" s="768">
        <f>'[66]Exh. JAP-6 Pages 7-10'!F115</f>
        <v>1.069999999999998E-3</v>
      </c>
      <c r="G113" s="203">
        <f t="shared" si="5"/>
        <v>0</v>
      </c>
      <c r="H113" s="203">
        <f t="shared" si="6"/>
        <v>28091.345066399943</v>
      </c>
    </row>
    <row r="114" spans="1:8" x14ac:dyDescent="0.25">
      <c r="A114" s="190"/>
      <c r="B114" s="190" t="s">
        <v>174</v>
      </c>
      <c r="C114" s="190" t="s">
        <v>240</v>
      </c>
      <c r="D114" s="224">
        <f>'Normalized Therms'!$P$22*'12ME Jun18 Bill Freq'!N31</f>
        <v>53852735.850000001</v>
      </c>
      <c r="E114" s="144">
        <v>0</v>
      </c>
      <c r="F114" s="768">
        <f>'[66]Exh. JAP-6 Pages 7-10'!F116</f>
        <v>8.2000000000000128E-4</v>
      </c>
      <c r="G114" s="203">
        <f t="shared" si="5"/>
        <v>0</v>
      </c>
      <c r="H114" s="203">
        <f t="shared" si="6"/>
        <v>44159.243397000071</v>
      </c>
    </row>
    <row r="115" spans="1:8" x14ac:dyDescent="0.25">
      <c r="A115" s="190"/>
      <c r="B115" s="190"/>
      <c r="C115" s="189"/>
      <c r="D115" s="224"/>
      <c r="E115" s="227"/>
      <c r="F115" s="770"/>
      <c r="G115" s="203"/>
      <c r="H115" s="203"/>
    </row>
    <row r="116" spans="1:8" x14ac:dyDescent="0.25">
      <c r="A116" s="157" t="s">
        <v>120</v>
      </c>
      <c r="B116" s="184"/>
      <c r="C116" s="184"/>
      <c r="D116" s="224"/>
      <c r="E116" s="227"/>
      <c r="F116" s="770"/>
      <c r="G116" s="203"/>
      <c r="H116" s="203"/>
    </row>
    <row r="117" spans="1:8" x14ac:dyDescent="0.25">
      <c r="B117" s="159" t="s">
        <v>121</v>
      </c>
      <c r="C117" s="159" t="s">
        <v>122</v>
      </c>
      <c r="D117" s="224">
        <f>'12ME Jun18 Rentals'!O4</f>
        <v>12480.465045003857</v>
      </c>
      <c r="E117" s="205">
        <v>0</v>
      </c>
      <c r="F117" s="771">
        <f>'[66]Exh. JAP-6 Pages 7-10'!F119</f>
        <v>0.3100000000000005</v>
      </c>
      <c r="G117" s="203">
        <f t="shared" si="5"/>
        <v>0</v>
      </c>
      <c r="H117" s="203">
        <f t="shared" si="6"/>
        <v>3868.944163951202</v>
      </c>
    </row>
    <row r="118" spans="1:8" x14ac:dyDescent="0.25">
      <c r="B118" s="159" t="s">
        <v>123</v>
      </c>
      <c r="C118" s="159" t="s">
        <v>124</v>
      </c>
      <c r="D118" s="224">
        <f>'12ME Jun18 Rentals'!O5</f>
        <v>193906.38286551557</v>
      </c>
      <c r="E118" s="205">
        <v>0</v>
      </c>
      <c r="F118" s="771">
        <f>'[66]Exh. JAP-6 Pages 7-10'!F120</f>
        <v>0.51999999999999957</v>
      </c>
      <c r="G118" s="203">
        <f t="shared" si="5"/>
        <v>0</v>
      </c>
      <c r="H118" s="203">
        <f t="shared" si="6"/>
        <v>100831.31909006801</v>
      </c>
    </row>
    <row r="119" spans="1:8" x14ac:dyDescent="0.25">
      <c r="B119" s="159" t="s">
        <v>125</v>
      </c>
      <c r="C119" s="159" t="s">
        <v>126</v>
      </c>
      <c r="D119" s="224">
        <f>'12ME Jun18 Rentals'!O6</f>
        <v>36640.184380349841</v>
      </c>
      <c r="E119" s="205">
        <v>0</v>
      </c>
      <c r="F119" s="771">
        <f>'[66]Exh. JAP-6 Pages 7-10'!F121</f>
        <v>0.72999999999999687</v>
      </c>
      <c r="G119" s="203">
        <f t="shared" si="5"/>
        <v>0</v>
      </c>
      <c r="H119" s="203">
        <f t="shared" si="6"/>
        <v>26747.33459765527</v>
      </c>
    </row>
    <row r="120" spans="1:8" x14ac:dyDescent="0.25">
      <c r="B120" s="159" t="s">
        <v>127</v>
      </c>
      <c r="C120" s="159" t="s">
        <v>128</v>
      </c>
      <c r="D120" s="224">
        <f>'12ME Jun18 Rentals'!O7</f>
        <v>8166.0570112435507</v>
      </c>
      <c r="E120" s="205">
        <v>0</v>
      </c>
      <c r="F120" s="771">
        <f>'[66]Exh. JAP-6 Pages 7-10'!F122</f>
        <v>0.71999999999999886</v>
      </c>
      <c r="G120" s="203">
        <f t="shared" si="5"/>
        <v>0</v>
      </c>
      <c r="H120" s="203">
        <f t="shared" si="6"/>
        <v>5879.5610480953474</v>
      </c>
    </row>
    <row r="121" spans="1:8" x14ac:dyDescent="0.25">
      <c r="B121" s="159" t="s">
        <v>129</v>
      </c>
      <c r="C121" s="159" t="s">
        <v>130</v>
      </c>
      <c r="D121" s="224">
        <f>'12ME Jun18 Rentals'!O8</f>
        <v>40969.207236776536</v>
      </c>
      <c r="E121" s="205">
        <v>0</v>
      </c>
      <c r="F121" s="771">
        <f>'[66]Exh. JAP-6 Pages 7-10'!F123</f>
        <v>0.25</v>
      </c>
      <c r="G121" s="203">
        <f t="shared" si="5"/>
        <v>0</v>
      </c>
      <c r="H121" s="203">
        <f t="shared" si="6"/>
        <v>10242.301809194134</v>
      </c>
    </row>
    <row r="122" spans="1:8" x14ac:dyDescent="0.25">
      <c r="B122" s="159" t="s">
        <v>131</v>
      </c>
      <c r="C122" s="159" t="s">
        <v>132</v>
      </c>
      <c r="D122" s="224">
        <f>'12ME Jun18 Rentals'!O9</f>
        <v>2378.5021946803395</v>
      </c>
      <c r="E122" s="205">
        <v>0</v>
      </c>
      <c r="F122" s="771">
        <f>'[66]Exh. JAP-6 Pages 7-10'!F124</f>
        <v>0.45000000000000107</v>
      </c>
      <c r="G122" s="203">
        <f t="shared" si="5"/>
        <v>0</v>
      </c>
      <c r="H122" s="203">
        <f t="shared" si="6"/>
        <v>1070.3259876061552</v>
      </c>
    </row>
    <row r="123" spans="1:8" x14ac:dyDescent="0.25">
      <c r="B123" s="159"/>
      <c r="C123" s="184"/>
      <c r="D123" s="224"/>
      <c r="E123" s="227"/>
      <c r="F123" s="772"/>
      <c r="G123" s="203"/>
      <c r="H123" s="203"/>
    </row>
    <row r="124" spans="1:8" x14ac:dyDescent="0.25">
      <c r="A124" s="157" t="s">
        <v>134</v>
      </c>
      <c r="B124" s="159"/>
      <c r="C124" s="184"/>
      <c r="D124" s="224"/>
      <c r="E124" s="227"/>
      <c r="F124" s="772"/>
      <c r="G124" s="203"/>
      <c r="H124" s="203"/>
    </row>
    <row r="125" spans="1:8" x14ac:dyDescent="0.25">
      <c r="B125" s="159" t="s">
        <v>135</v>
      </c>
      <c r="C125" s="159" t="s">
        <v>136</v>
      </c>
      <c r="D125" s="224">
        <f>'12ME Jun18 Rentals'!O13</f>
        <v>1385.380082485219</v>
      </c>
      <c r="E125" s="205">
        <v>0</v>
      </c>
      <c r="F125" s="771">
        <f>'[66]Exh. JAP-6 Pages 7-10'!F127</f>
        <v>0.63000000000000078</v>
      </c>
      <c r="G125" s="203">
        <f t="shared" si="5"/>
        <v>0</v>
      </c>
      <c r="H125" s="203">
        <f t="shared" si="6"/>
        <v>872.78945196568907</v>
      </c>
    </row>
    <row r="126" spans="1:8" x14ac:dyDescent="0.25">
      <c r="B126" s="159" t="s">
        <v>137</v>
      </c>
      <c r="C126" s="159" t="s">
        <v>138</v>
      </c>
      <c r="D126" s="224">
        <f>'12ME Jun18 Rentals'!O14</f>
        <v>1037.5582075779919</v>
      </c>
      <c r="E126" s="205">
        <v>0</v>
      </c>
      <c r="F126" s="771">
        <f>'[66]Exh. JAP-6 Pages 7-10'!F128</f>
        <v>0.84000000000000341</v>
      </c>
      <c r="G126" s="203">
        <f t="shared" si="5"/>
        <v>0</v>
      </c>
      <c r="H126" s="203">
        <f t="shared" si="6"/>
        <v>871.54889436551673</v>
      </c>
    </row>
    <row r="127" spans="1:8" x14ac:dyDescent="0.25">
      <c r="B127" s="159" t="s">
        <v>139</v>
      </c>
      <c r="C127" s="159" t="s">
        <v>140</v>
      </c>
      <c r="D127" s="224">
        <f>'12ME Jun18 Rentals'!O15</f>
        <v>2771.9403299097144</v>
      </c>
      <c r="E127" s="205">
        <v>0</v>
      </c>
      <c r="F127" s="771">
        <f>'[66]Exh. JAP-6 Pages 7-10'!F129</f>
        <v>0.84000000000000341</v>
      </c>
      <c r="G127" s="203">
        <f t="shared" si="5"/>
        <v>0</v>
      </c>
      <c r="H127" s="203">
        <f t="shared" si="6"/>
        <v>2328.4298771241697</v>
      </c>
    </row>
    <row r="128" spans="1:8" x14ac:dyDescent="0.25">
      <c r="B128" s="159" t="s">
        <v>141</v>
      </c>
      <c r="C128" s="159" t="s">
        <v>142</v>
      </c>
      <c r="D128" s="224">
        <f>'12ME Jun18 Rentals'!O16</f>
        <v>156.42359935012365</v>
      </c>
      <c r="E128" s="205">
        <v>0</v>
      </c>
      <c r="F128" s="771">
        <f>'[66]Exh. JAP-6 Pages 7-10'!F130</f>
        <v>1.3200000000000003</v>
      </c>
      <c r="G128" s="203">
        <f t="shared" si="5"/>
        <v>0</v>
      </c>
      <c r="H128" s="203">
        <f t="shared" si="6"/>
        <v>206.47915114216326</v>
      </c>
    </row>
    <row r="129" spans="1:8" x14ac:dyDescent="0.25">
      <c r="B129" s="159" t="s">
        <v>143</v>
      </c>
      <c r="C129" s="159" t="s">
        <v>144</v>
      </c>
      <c r="D129" s="224">
        <f>'12ME Jun18 Rentals'!O17</f>
        <v>6653.0909836922901</v>
      </c>
      <c r="E129" s="205">
        <v>0</v>
      </c>
      <c r="F129" s="771">
        <f>'[66]Exh. JAP-6 Pages 7-10'!F131</f>
        <v>1.7299999999999969</v>
      </c>
      <c r="G129" s="203">
        <f t="shared" si="5"/>
        <v>0</v>
      </c>
      <c r="H129" s="203">
        <f t="shared" si="6"/>
        <v>11509.847401787642</v>
      </c>
    </row>
    <row r="130" spans="1:8" x14ac:dyDescent="0.25">
      <c r="B130" s="159" t="s">
        <v>145</v>
      </c>
      <c r="C130" s="159" t="s">
        <v>146</v>
      </c>
      <c r="D130" s="224">
        <f>'12ME Jun18 Rentals'!O18</f>
        <v>4493.0155629840601</v>
      </c>
      <c r="E130" s="205">
        <v>0</v>
      </c>
      <c r="F130" s="771">
        <f>'[66]Exh. JAP-6 Pages 7-10'!F132</f>
        <v>2.3200000000000003</v>
      </c>
      <c r="G130" s="203">
        <f t="shared" si="5"/>
        <v>0</v>
      </c>
      <c r="H130" s="203">
        <f t="shared" si="6"/>
        <v>10423.796106123022</v>
      </c>
    </row>
    <row r="131" spans="1:8" x14ac:dyDescent="0.25">
      <c r="B131" s="159" t="s">
        <v>147</v>
      </c>
      <c r="C131" s="159" t="s">
        <v>148</v>
      </c>
      <c r="D131" s="224">
        <f>'12ME Jun18 Rentals'!O19</f>
        <v>12979.72487632374</v>
      </c>
      <c r="E131" s="205">
        <v>0</v>
      </c>
      <c r="F131" s="771">
        <f>'[66]Exh. JAP-6 Pages 7-10'!F133</f>
        <v>2.6900000000000048</v>
      </c>
      <c r="G131" s="203">
        <f t="shared" si="5"/>
        <v>0</v>
      </c>
      <c r="H131" s="203">
        <f t="shared" si="6"/>
        <v>34915.459917310924</v>
      </c>
    </row>
    <row r="132" spans="1:8" x14ac:dyDescent="0.25">
      <c r="A132" s="160"/>
      <c r="B132" s="184"/>
      <c r="C132" s="184"/>
      <c r="D132" s="224"/>
      <c r="E132" s="227"/>
      <c r="F132" s="772"/>
      <c r="G132" s="203"/>
      <c r="H132" s="203"/>
    </row>
    <row r="133" spans="1:8" x14ac:dyDescent="0.25">
      <c r="A133" s="157" t="s">
        <v>150</v>
      </c>
      <c r="B133" s="184"/>
      <c r="C133" s="184"/>
      <c r="D133" s="224"/>
      <c r="E133" s="227"/>
      <c r="F133" s="772"/>
      <c r="G133" s="203"/>
      <c r="H133" s="203"/>
    </row>
    <row r="134" spans="1:8" x14ac:dyDescent="0.25">
      <c r="B134" s="159" t="s">
        <v>151</v>
      </c>
      <c r="C134" s="159" t="s">
        <v>152</v>
      </c>
      <c r="D134" s="224">
        <f>'12ME Jun18 Rentals'!O23</f>
        <v>11826.912573528694</v>
      </c>
      <c r="E134" s="205">
        <v>0</v>
      </c>
      <c r="F134" s="771">
        <f>'[66]Exh. JAP-6 Pages 7-10'!F136</f>
        <v>0.44000000000000128</v>
      </c>
      <c r="G134" s="203">
        <f t="shared" si="5"/>
        <v>0</v>
      </c>
      <c r="H134" s="203">
        <f t="shared" si="6"/>
        <v>5203.8415323526406</v>
      </c>
    </row>
    <row r="135" spans="1:8" x14ac:dyDescent="0.25">
      <c r="B135" s="159" t="s">
        <v>153</v>
      </c>
      <c r="C135" s="159" t="s">
        <v>154</v>
      </c>
      <c r="D135" s="224">
        <f>'12ME Jun18 Rentals'!O24</f>
        <v>845.66294824016904</v>
      </c>
      <c r="E135" s="205">
        <v>0</v>
      </c>
      <c r="F135" s="771">
        <f>'[66]Exh. JAP-6 Pages 7-10'!F137</f>
        <v>1.1800000000000033</v>
      </c>
      <c r="G135" s="203">
        <f t="shared" si="5"/>
        <v>0</v>
      </c>
      <c r="H135" s="203">
        <f t="shared" si="6"/>
        <v>997.88227892340228</v>
      </c>
    </row>
    <row r="136" spans="1:8" x14ac:dyDescent="0.25">
      <c r="B136" s="159" t="s">
        <v>155</v>
      </c>
      <c r="C136" s="159" t="s">
        <v>156</v>
      </c>
      <c r="D136" s="224">
        <f>'12ME Jun18 Rentals'!O25</f>
        <v>535.50948516824371</v>
      </c>
      <c r="E136" s="205">
        <v>0</v>
      </c>
      <c r="F136" s="771">
        <f>'[66]Exh. JAP-6 Pages 7-10'!F138</f>
        <v>1.6000000000000014</v>
      </c>
      <c r="G136" s="203">
        <f t="shared" si="5"/>
        <v>0</v>
      </c>
      <c r="H136" s="203">
        <f t="shared" si="6"/>
        <v>856.81517626919072</v>
      </c>
    </row>
    <row r="137" spans="1:8" x14ac:dyDescent="0.25">
      <c r="B137" s="159" t="s">
        <v>157</v>
      </c>
      <c r="C137" s="159" t="s">
        <v>158</v>
      </c>
      <c r="D137" s="224">
        <f>'12ME Jun18 Rentals'!O26</f>
        <v>19512.390986324594</v>
      </c>
      <c r="E137" s="205">
        <v>0</v>
      </c>
      <c r="F137" s="771">
        <f>'[66]Exh. JAP-6 Pages 7-10'!F139</f>
        <v>0.66000000000000014</v>
      </c>
      <c r="G137" s="203">
        <f t="shared" si="5"/>
        <v>0</v>
      </c>
      <c r="H137" s="203">
        <f t="shared" si="6"/>
        <v>12878.178050974235</v>
      </c>
    </row>
    <row r="138" spans="1:8" x14ac:dyDescent="0.25">
      <c r="B138" s="184"/>
      <c r="C138" s="184"/>
      <c r="D138" s="225"/>
      <c r="F138" s="13"/>
    </row>
    <row r="139" spans="1:8" x14ac:dyDescent="0.25">
      <c r="A139" s="162" t="s">
        <v>13</v>
      </c>
      <c r="B139" s="181"/>
      <c r="C139" s="192" t="s">
        <v>240</v>
      </c>
      <c r="D139" s="226">
        <f>'Normalized Therms'!P23</f>
        <v>37275691.68</v>
      </c>
      <c r="E139" s="205"/>
      <c r="G139" s="763">
        <v>0</v>
      </c>
      <c r="H139" s="766">
        <f>'[66]Exh. JAP-6 Page 1'!$L$24-'[66]Exh. JAP-6 Page 11'!$L$24</f>
        <v>35274.722042470239</v>
      </c>
    </row>
    <row r="141" spans="1:8" x14ac:dyDescent="0.25">
      <c r="B141" s="228" t="s">
        <v>244</v>
      </c>
      <c r="C141" s="184"/>
      <c r="D141" s="184"/>
    </row>
    <row r="142" spans="1:8" x14ac:dyDescent="0.25">
      <c r="B142" s="179" t="s">
        <v>246</v>
      </c>
      <c r="C142" s="179" t="s">
        <v>245</v>
      </c>
      <c r="D142" s="204">
        <f>SUM(D10,D14,D21,D26,D37:D39,D49:D51,D56,D68:D70,D75,D87:D88,D93,D109:D114,D139)-('Normalized Therms'!P24-'Normalized Therms'!P11)</f>
        <v>0</v>
      </c>
    </row>
    <row r="143" spans="1:8" x14ac:dyDescent="0.25">
      <c r="B143" s="179" t="s">
        <v>204</v>
      </c>
      <c r="D143" s="204">
        <f>SUM(D34,D46,D55,D65,D74,D83,D92,D105)-SUM('12ME Jun18 Data'!N8:N15)</f>
        <v>0</v>
      </c>
    </row>
    <row r="144" spans="1:8" x14ac:dyDescent="0.25">
      <c r="B144" s="179" t="s">
        <v>237</v>
      </c>
      <c r="D144" s="204">
        <f>SUM(D9,D13,D20,D25,D32,D44,D54,D64,D73,D82,D91,D104)-SUM('12ME Jun18 Data'!N22:N33)</f>
        <v>0</v>
      </c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0" fitToHeight="4" orientation="landscape" blackAndWhite="1" horizontalDpi="300" verticalDpi="300" r:id="rId1"/>
  <headerFooter>
    <oddFooter>&amp;L&amp;F 
&amp;A&amp;C&amp;P&amp;R&amp;D</oddFooter>
  </headerFooter>
  <rowBreaks count="4" manualBreakCount="4">
    <brk id="30" max="7" man="1"/>
    <brk id="62" max="7" man="1"/>
    <brk id="89" max="7" man="1"/>
    <brk id="123" max="7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7"/>
  <sheetViews>
    <sheetView zoomScaleNormal="100" workbookViewId="0">
      <selection activeCell="F38" sqref="F38"/>
    </sheetView>
  </sheetViews>
  <sheetFormatPr defaultColWidth="9.140625" defaultRowHeight="12.75" x14ac:dyDescent="0.2"/>
  <cols>
    <col min="1" max="1" width="2.5703125" style="112" customWidth="1"/>
    <col min="2" max="2" width="24.85546875" style="112" customWidth="1"/>
    <col min="3" max="3" width="8.7109375" style="112" bestFit="1" customWidth="1"/>
    <col min="4" max="5" width="16.5703125" style="112" bestFit="1" customWidth="1"/>
    <col min="6" max="6" width="11.7109375" style="112" customWidth="1"/>
    <col min="7" max="7" width="18" style="112" bestFit="1" customWidth="1"/>
    <col min="8" max="8" width="18" style="112" customWidth="1"/>
    <col min="9" max="9" width="15.5703125" style="112" customWidth="1"/>
    <col min="10" max="11" width="9.140625" style="112"/>
    <col min="12" max="13" width="11.28515625" style="112" bestFit="1" customWidth="1"/>
    <col min="14" max="14" width="9.7109375" style="112" bestFit="1" customWidth="1"/>
    <col min="15" max="16384" width="9.140625" style="112"/>
  </cols>
  <sheetData>
    <row r="1" spans="1:13" x14ac:dyDescent="0.2">
      <c r="A1" s="783" t="s">
        <v>0</v>
      </c>
      <c r="B1" s="783"/>
      <c r="C1" s="783"/>
      <c r="D1" s="783"/>
      <c r="E1" s="783"/>
      <c r="F1" s="783"/>
      <c r="G1" s="783"/>
      <c r="H1" s="783"/>
      <c r="I1" s="111"/>
    </row>
    <row r="2" spans="1:13" x14ac:dyDescent="0.2">
      <c r="A2" s="783" t="s">
        <v>427</v>
      </c>
      <c r="B2" s="783"/>
      <c r="C2" s="783"/>
      <c r="D2" s="783"/>
      <c r="E2" s="783"/>
      <c r="F2" s="783"/>
      <c r="G2" s="783"/>
      <c r="H2" s="783"/>
      <c r="I2" s="111"/>
    </row>
    <row r="3" spans="1:13" x14ac:dyDescent="0.2">
      <c r="A3" s="783" t="s">
        <v>433</v>
      </c>
      <c r="B3" s="783"/>
      <c r="C3" s="783"/>
      <c r="D3" s="783"/>
      <c r="E3" s="783"/>
      <c r="F3" s="783"/>
      <c r="G3" s="783"/>
      <c r="H3" s="783"/>
      <c r="I3" s="111"/>
    </row>
    <row r="4" spans="1:13" x14ac:dyDescent="0.2">
      <c r="A4" s="169"/>
      <c r="B4" s="169"/>
      <c r="C4" s="169"/>
      <c r="D4" s="169"/>
      <c r="E4" s="169"/>
      <c r="F4" s="169"/>
      <c r="G4" s="169"/>
      <c r="H4" s="169"/>
      <c r="I4" s="111"/>
    </row>
    <row r="5" spans="1:13" x14ac:dyDescent="0.2">
      <c r="A5" s="256"/>
      <c r="B5" s="256"/>
      <c r="C5" s="256"/>
      <c r="D5" s="256"/>
      <c r="E5" s="256"/>
      <c r="F5" s="256"/>
      <c r="G5" s="256"/>
      <c r="H5" s="111"/>
    </row>
    <row r="6" spans="1:13" ht="15" customHeight="1" x14ac:dyDescent="0.25">
      <c r="C6" s="256"/>
      <c r="D6" s="5" t="s">
        <v>15</v>
      </c>
      <c r="E6" s="114" t="s">
        <v>5</v>
      </c>
      <c r="F6" s="114" t="s">
        <v>1</v>
      </c>
      <c r="G6" s="5"/>
      <c r="H6" s="256" t="s">
        <v>72</v>
      </c>
    </row>
    <row r="7" spans="1:13" ht="15" customHeight="1" x14ac:dyDescent="0.25">
      <c r="C7" s="256" t="s">
        <v>17</v>
      </c>
      <c r="D7" s="5" t="s">
        <v>3</v>
      </c>
      <c r="E7" s="114" t="s">
        <v>72</v>
      </c>
      <c r="F7" s="114" t="s">
        <v>72</v>
      </c>
      <c r="G7" s="5" t="s">
        <v>15</v>
      </c>
      <c r="H7" s="256" t="s">
        <v>74</v>
      </c>
    </row>
    <row r="8" spans="1:13" ht="15" x14ac:dyDescent="0.25">
      <c r="A8" s="702" t="s">
        <v>117</v>
      </c>
      <c r="B8" s="702"/>
      <c r="C8" s="703" t="s">
        <v>21</v>
      </c>
      <c r="D8" s="704" t="str">
        <f>'Exh. JAP-8 Page 1'!D8</f>
        <v>Jul 17 - Jun 18</v>
      </c>
      <c r="E8" s="705" t="s">
        <v>22</v>
      </c>
      <c r="F8" s="705" t="s">
        <v>22</v>
      </c>
      <c r="G8" s="703" t="s">
        <v>250</v>
      </c>
      <c r="H8" s="703" t="s">
        <v>247</v>
      </c>
    </row>
    <row r="9" spans="1:13" x14ac:dyDescent="0.2">
      <c r="A9" s="118"/>
      <c r="B9" s="118"/>
      <c r="C9" s="118"/>
      <c r="D9" s="154"/>
      <c r="E9" s="119"/>
      <c r="F9" s="119"/>
      <c r="G9" s="118"/>
      <c r="H9" s="117"/>
    </row>
    <row r="10" spans="1:13" x14ac:dyDescent="0.2">
      <c r="A10" s="112" t="s">
        <v>7</v>
      </c>
      <c r="C10" s="256" t="s">
        <v>75</v>
      </c>
      <c r="D10" s="153">
        <f>SUM('Normalized Therms'!P10,'Normalized Therms'!P12)</f>
        <v>603105848.20999992</v>
      </c>
      <c r="E10" s="123">
        <v>8.1549999999999997E-2</v>
      </c>
      <c r="F10" s="123">
        <v>8.1549999999999997E-2</v>
      </c>
      <c r="G10" s="121">
        <f>ROUND(E10*D10,2)</f>
        <v>49183281.920000002</v>
      </c>
      <c r="H10" s="121">
        <f>ROUND((F10-E10)*D10,2)</f>
        <v>0</v>
      </c>
      <c r="K10" s="121"/>
      <c r="L10" s="121"/>
      <c r="M10" s="121"/>
    </row>
    <row r="11" spans="1:13" x14ac:dyDescent="0.2">
      <c r="C11" s="256"/>
      <c r="D11" s="155"/>
      <c r="E11" s="123"/>
      <c r="F11" s="123"/>
      <c r="G11" s="121"/>
      <c r="H11" s="121"/>
      <c r="K11" s="121"/>
      <c r="L11" s="121"/>
      <c r="M11" s="121"/>
    </row>
    <row r="12" spans="1:13" x14ac:dyDescent="0.2">
      <c r="A12" s="112" t="s">
        <v>76</v>
      </c>
      <c r="C12" s="256">
        <v>31</v>
      </c>
      <c r="K12" s="121"/>
      <c r="L12" s="121"/>
      <c r="M12" s="121"/>
    </row>
    <row r="13" spans="1:13" x14ac:dyDescent="0.2">
      <c r="B13" s="112" t="s">
        <v>79</v>
      </c>
      <c r="C13" s="256"/>
      <c r="D13" s="153">
        <f>'Normalized Therms'!$P$13</f>
        <v>228604732.46999997</v>
      </c>
      <c r="E13" s="123">
        <v>7.0600000000000107E-3</v>
      </c>
      <c r="F13" s="123">
        <v>7.0600000000000107E-3</v>
      </c>
      <c r="G13" s="121">
        <f>ROUND(E13*D13,2)</f>
        <v>1613949.41</v>
      </c>
      <c r="H13" s="121">
        <f>ROUND((F13-E13)*D13,2)</f>
        <v>0</v>
      </c>
      <c r="K13" s="121"/>
      <c r="L13" s="121"/>
      <c r="M13" s="121"/>
    </row>
    <row r="14" spans="1:13" x14ac:dyDescent="0.2">
      <c r="B14" s="112" t="s">
        <v>87</v>
      </c>
      <c r="C14" s="256"/>
      <c r="D14" s="153">
        <f>'Normalized Therms'!$P$13</f>
        <v>228604732.46999997</v>
      </c>
      <c r="E14" s="123">
        <v>2.0000000000000052E-4</v>
      </c>
      <c r="F14" s="123">
        <v>2.0000000000000052E-4</v>
      </c>
      <c r="G14" s="121">
        <f>ROUND(E14*D14,2)</f>
        <v>45720.95</v>
      </c>
      <c r="H14" s="121">
        <f>ROUND((F14-E14)*D14,2)</f>
        <v>0</v>
      </c>
      <c r="K14" s="121"/>
      <c r="L14" s="121"/>
      <c r="M14" s="121"/>
    </row>
    <row r="15" spans="1:13" x14ac:dyDescent="0.2">
      <c r="B15" s="112" t="s">
        <v>6</v>
      </c>
      <c r="C15" s="256"/>
      <c r="D15" s="153"/>
      <c r="E15" s="123"/>
      <c r="F15" s="123"/>
      <c r="G15" s="170">
        <f>SUM(G13:G14)</f>
        <v>1659670.3599999999</v>
      </c>
      <c r="H15" s="170">
        <f>SUM(H13:H14)</f>
        <v>0</v>
      </c>
      <c r="K15" s="121"/>
      <c r="L15" s="121"/>
      <c r="M15" s="121"/>
    </row>
    <row r="16" spans="1:13" x14ac:dyDescent="0.2">
      <c r="C16" s="256"/>
      <c r="D16" s="155"/>
      <c r="E16" s="123"/>
      <c r="F16" s="123"/>
      <c r="G16" s="121"/>
      <c r="H16" s="121"/>
      <c r="K16" s="121"/>
      <c r="L16" s="121"/>
      <c r="M16" s="121"/>
    </row>
    <row r="17" spans="1:13" x14ac:dyDescent="0.2">
      <c r="A17" s="112" t="s">
        <v>213</v>
      </c>
      <c r="C17" s="256" t="s">
        <v>33</v>
      </c>
      <c r="D17" s="155"/>
      <c r="E17" s="123"/>
      <c r="F17" s="123"/>
      <c r="G17" s="121"/>
      <c r="H17" s="121"/>
      <c r="K17" s="121"/>
      <c r="L17" s="121"/>
      <c r="M17" s="121"/>
    </row>
    <row r="18" spans="1:13" x14ac:dyDescent="0.2">
      <c r="B18" s="112" t="s">
        <v>79</v>
      </c>
      <c r="C18" s="256"/>
      <c r="D18" s="153">
        <f>'Normalized Therms'!P18</f>
        <v>43413.770000000004</v>
      </c>
      <c r="E18" s="123">
        <v>7.0600000000000107E-3</v>
      </c>
      <c r="F18" s="123">
        <v>7.0600000000000107E-3</v>
      </c>
      <c r="G18" s="121">
        <f>ROUND(E18*D18,2)</f>
        <v>306.5</v>
      </c>
      <c r="H18" s="121">
        <f t="shared" ref="H18:H52" si="0">ROUND((F18-E18)*D18,2)</f>
        <v>0</v>
      </c>
      <c r="K18" s="121"/>
      <c r="L18" s="121"/>
      <c r="M18" s="121"/>
    </row>
    <row r="19" spans="1:13" x14ac:dyDescent="0.2">
      <c r="B19" s="112" t="s">
        <v>83</v>
      </c>
      <c r="C19" s="256"/>
      <c r="D19" s="153">
        <f>D18</f>
        <v>43413.770000000004</v>
      </c>
      <c r="E19" s="123">
        <v>0</v>
      </c>
      <c r="F19" s="123">
        <v>0</v>
      </c>
      <c r="G19" s="121">
        <f>ROUND(E19*D19,2)</f>
        <v>0</v>
      </c>
      <c r="H19" s="121">
        <f t="shared" si="0"/>
        <v>0</v>
      </c>
      <c r="K19" s="121"/>
      <c r="L19" s="121"/>
      <c r="M19" s="121"/>
    </row>
    <row r="20" spans="1:13" x14ac:dyDescent="0.2">
      <c r="B20" s="112" t="s">
        <v>6</v>
      </c>
      <c r="C20" s="256"/>
      <c r="D20" s="153"/>
      <c r="E20" s="123"/>
      <c r="F20" s="123"/>
      <c r="G20" s="170">
        <f>SUM(G18:G19)</f>
        <v>306.5</v>
      </c>
      <c r="H20" s="170">
        <f>SUM(H18:H19)</f>
        <v>0</v>
      </c>
      <c r="K20" s="121"/>
      <c r="L20" s="121"/>
      <c r="M20" s="121"/>
    </row>
    <row r="21" spans="1:13" x14ac:dyDescent="0.2">
      <c r="C21" s="256"/>
      <c r="D21" s="155"/>
      <c r="E21" s="123"/>
      <c r="F21" s="123"/>
      <c r="G21" s="121"/>
      <c r="H21" s="121"/>
      <c r="K21" s="121"/>
      <c r="L21" s="121"/>
      <c r="M21" s="121"/>
    </row>
    <row r="22" spans="1:13" x14ac:dyDescent="0.2">
      <c r="A22" s="112" t="s">
        <v>77</v>
      </c>
      <c r="C22" s="256">
        <v>41</v>
      </c>
      <c r="D22" s="153"/>
      <c r="E22" s="123"/>
      <c r="F22" s="123"/>
      <c r="G22" s="121"/>
      <c r="H22" s="121"/>
      <c r="K22" s="121"/>
      <c r="L22" s="121"/>
      <c r="M22" s="121"/>
    </row>
    <row r="23" spans="1:13" x14ac:dyDescent="0.2">
      <c r="B23" s="112" t="s">
        <v>78</v>
      </c>
      <c r="C23" s="256"/>
      <c r="D23" s="153">
        <f>'12ME Jun18 Data'!N8</f>
        <v>3902427.7730000005</v>
      </c>
      <c r="E23" s="124">
        <v>0.13000000000000012</v>
      </c>
      <c r="F23" s="124">
        <v>0.13000000000000012</v>
      </c>
      <c r="G23" s="121">
        <f>ROUND(E23*D23,2)</f>
        <v>507315.61</v>
      </c>
      <c r="H23" s="121">
        <f t="shared" si="0"/>
        <v>0</v>
      </c>
      <c r="K23" s="121"/>
      <c r="L23" s="121"/>
      <c r="M23" s="121"/>
    </row>
    <row r="24" spans="1:13" x14ac:dyDescent="0.2">
      <c r="B24" s="112" t="s">
        <v>87</v>
      </c>
      <c r="C24" s="256"/>
      <c r="D24" s="153">
        <f>'Normalized Therms'!P14</f>
        <v>63966868.016999997</v>
      </c>
      <c r="E24" s="123">
        <v>6.7000000000000046E-4</v>
      </c>
      <c r="F24" s="123">
        <v>6.7000000000000046E-4</v>
      </c>
      <c r="G24" s="121">
        <f>ROUND(E24*D24,2)</f>
        <v>42857.8</v>
      </c>
      <c r="H24" s="121">
        <f t="shared" si="0"/>
        <v>0</v>
      </c>
      <c r="K24" s="121"/>
      <c r="L24" s="121"/>
      <c r="M24" s="121"/>
    </row>
    <row r="25" spans="1:13" x14ac:dyDescent="0.2">
      <c r="B25" s="112" t="s">
        <v>79</v>
      </c>
      <c r="C25" s="256"/>
      <c r="D25" s="153"/>
      <c r="E25" s="123"/>
      <c r="F25" s="123"/>
      <c r="G25" s="121"/>
      <c r="H25" s="121"/>
      <c r="K25" s="121"/>
      <c r="L25" s="121"/>
      <c r="M25" s="121"/>
    </row>
    <row r="26" spans="1:13" x14ac:dyDescent="0.2">
      <c r="B26" s="112" t="s">
        <v>80</v>
      </c>
      <c r="C26" s="256"/>
      <c r="D26" s="153">
        <f>'Normalized Therms'!$P$14*'12ME Jun18 Bill Freq'!N37</f>
        <v>29185983.706</v>
      </c>
      <c r="E26" s="123">
        <v>1.5369999999999995E-2</v>
      </c>
      <c r="F26" s="123">
        <v>1.5369999999999995E-2</v>
      </c>
      <c r="G26" s="121">
        <f>ROUND(E26*D26,2)</f>
        <v>448588.57</v>
      </c>
      <c r="H26" s="121">
        <f t="shared" si="0"/>
        <v>0</v>
      </c>
      <c r="K26" s="121"/>
      <c r="L26" s="121"/>
      <c r="M26" s="121"/>
    </row>
    <row r="27" spans="1:13" x14ac:dyDescent="0.2">
      <c r="B27" s="112" t="s">
        <v>81</v>
      </c>
      <c r="C27" s="256"/>
      <c r="D27" s="153">
        <f>'Normalized Therms'!$P$14*'12ME Jun18 Bill Freq'!N38</f>
        <v>21612119.392999999</v>
      </c>
      <c r="E27" s="123">
        <v>1.2369999999999992E-2</v>
      </c>
      <c r="F27" s="123">
        <v>1.2369999999999992E-2</v>
      </c>
      <c r="G27" s="706">
        <f>ROUND(E27*D27,2)</f>
        <v>267341.92</v>
      </c>
      <c r="H27" s="121">
        <f t="shared" si="0"/>
        <v>0</v>
      </c>
      <c r="K27" s="121"/>
      <c r="L27" s="121"/>
      <c r="M27" s="121"/>
    </row>
    <row r="28" spans="1:13" x14ac:dyDescent="0.2">
      <c r="B28" s="112" t="s">
        <v>6</v>
      </c>
      <c r="C28" s="256"/>
      <c r="D28" s="153"/>
      <c r="E28" s="123"/>
      <c r="F28" s="123"/>
      <c r="G28" s="121">
        <f>SUM(G23:G27)</f>
        <v>1266103.8999999999</v>
      </c>
      <c r="H28" s="170">
        <f>SUM(H23:H27)</f>
        <v>0</v>
      </c>
      <c r="K28" s="121"/>
      <c r="L28" s="121"/>
      <c r="M28" s="121"/>
    </row>
    <row r="29" spans="1:13" x14ac:dyDescent="0.2">
      <c r="C29" s="256"/>
      <c r="D29" s="155"/>
      <c r="E29" s="123"/>
      <c r="F29" s="123"/>
      <c r="G29" s="121"/>
      <c r="H29" s="121"/>
      <c r="K29" s="121"/>
      <c r="L29" s="121"/>
      <c r="M29" s="121"/>
    </row>
    <row r="30" spans="1:13" x14ac:dyDescent="0.2">
      <c r="A30" s="112" t="s">
        <v>82</v>
      </c>
      <c r="C30" s="256" t="s">
        <v>35</v>
      </c>
      <c r="D30" s="153"/>
      <c r="E30" s="123"/>
      <c r="F30" s="123"/>
      <c r="G30" s="121"/>
      <c r="H30" s="121"/>
      <c r="K30" s="121"/>
      <c r="L30" s="121"/>
      <c r="M30" s="121"/>
    </row>
    <row r="31" spans="1:13" x14ac:dyDescent="0.2">
      <c r="B31" s="112" t="s">
        <v>78</v>
      </c>
      <c r="C31" s="256"/>
      <c r="D31" s="153">
        <f>'12ME Jun18 Data'!N9</f>
        <v>1169396.5019999999</v>
      </c>
      <c r="E31" s="124">
        <v>0.13000000000000012</v>
      </c>
      <c r="F31" s="124">
        <v>0.13000000000000012</v>
      </c>
      <c r="G31" s="121">
        <f>ROUND(E31*D31,2)</f>
        <v>152021.54999999999</v>
      </c>
      <c r="H31" s="121">
        <f t="shared" si="0"/>
        <v>0</v>
      </c>
      <c r="K31" s="121"/>
      <c r="L31" s="121"/>
      <c r="M31" s="121"/>
    </row>
    <row r="32" spans="1:13" x14ac:dyDescent="0.2">
      <c r="B32" s="112" t="s">
        <v>83</v>
      </c>
      <c r="C32" s="256"/>
      <c r="D32" s="221">
        <f>'Normalized Therms'!P19</f>
        <v>19254249.518999998</v>
      </c>
      <c r="E32" s="123">
        <v>0</v>
      </c>
      <c r="F32" s="123">
        <v>0</v>
      </c>
      <c r="G32" s="121">
        <f>ROUND(E32*D32,2)</f>
        <v>0</v>
      </c>
      <c r="H32" s="121">
        <f t="shared" si="0"/>
        <v>0</v>
      </c>
      <c r="K32" s="121"/>
      <c r="L32" s="121"/>
      <c r="M32" s="121"/>
    </row>
    <row r="33" spans="1:13" x14ac:dyDescent="0.2">
      <c r="B33" s="112" t="s">
        <v>79</v>
      </c>
      <c r="C33" s="256"/>
      <c r="D33" s="153"/>
      <c r="E33" s="123"/>
      <c r="F33" s="123"/>
      <c r="G33" s="121"/>
      <c r="H33" s="121"/>
      <c r="K33" s="121"/>
      <c r="L33" s="121"/>
      <c r="M33" s="121"/>
    </row>
    <row r="34" spans="1:13" x14ac:dyDescent="0.2">
      <c r="B34" s="112" t="s">
        <v>80</v>
      </c>
      <c r="C34" s="256"/>
      <c r="D34" s="153">
        <f>'Normalized Therms'!$P$19*'12ME Jun18 Bill Freq'!N7</f>
        <v>4133910.06</v>
      </c>
      <c r="E34" s="123">
        <v>1.5369999999999995E-2</v>
      </c>
      <c r="F34" s="123">
        <v>1.5369999999999995E-2</v>
      </c>
      <c r="G34" s="121">
        <f>ROUND(E34*D34,2)</f>
        <v>63538.2</v>
      </c>
      <c r="H34" s="121">
        <f t="shared" si="0"/>
        <v>0</v>
      </c>
      <c r="K34" s="121"/>
      <c r="L34" s="121"/>
      <c r="M34" s="121"/>
    </row>
    <row r="35" spans="1:13" x14ac:dyDescent="0.2">
      <c r="B35" s="112" t="s">
        <v>81</v>
      </c>
      <c r="C35" s="256"/>
      <c r="D35" s="221">
        <f>'Normalized Therms'!$P$19*'12ME Jun18 Bill Freq'!N8</f>
        <v>14033564.799000001</v>
      </c>
      <c r="E35" s="123">
        <v>1.2369999999999992E-2</v>
      </c>
      <c r="F35" s="123">
        <v>1.2369999999999992E-2</v>
      </c>
      <c r="G35" s="706">
        <f>ROUND(E35*D35,2)</f>
        <v>173595.2</v>
      </c>
      <c r="H35" s="121">
        <f t="shared" si="0"/>
        <v>0</v>
      </c>
      <c r="K35" s="121"/>
      <c r="L35" s="121"/>
      <c r="M35" s="121"/>
    </row>
    <row r="36" spans="1:13" x14ac:dyDescent="0.2">
      <c r="B36" s="112" t="s">
        <v>6</v>
      </c>
      <c r="C36" s="256"/>
      <c r="D36" s="153"/>
      <c r="E36" s="123"/>
      <c r="F36" s="123"/>
      <c r="G36" s="121">
        <f>SUM(G31:G35)</f>
        <v>389154.95</v>
      </c>
      <c r="H36" s="170">
        <f t="shared" si="0"/>
        <v>0</v>
      </c>
      <c r="K36" s="121"/>
      <c r="L36" s="121"/>
      <c r="M36" s="121"/>
    </row>
    <row r="37" spans="1:13" x14ac:dyDescent="0.2">
      <c r="C37" s="256"/>
      <c r="D37" s="153"/>
      <c r="E37" s="123"/>
      <c r="F37" s="123"/>
      <c r="G37" s="121"/>
      <c r="H37" s="121"/>
      <c r="K37" s="121"/>
      <c r="L37" s="121"/>
      <c r="M37" s="121"/>
    </row>
    <row r="38" spans="1:13" x14ac:dyDescent="0.2">
      <c r="B38" s="112" t="s">
        <v>84</v>
      </c>
      <c r="C38" s="256" t="s">
        <v>85</v>
      </c>
      <c r="D38" s="153"/>
      <c r="E38" s="123"/>
      <c r="F38" s="123"/>
      <c r="G38" s="121">
        <f t="shared" ref="G38:H38" si="1">G28+G36</f>
        <v>1655258.8499999999</v>
      </c>
      <c r="H38" s="121">
        <f t="shared" si="1"/>
        <v>0</v>
      </c>
      <c r="K38" s="121"/>
      <c r="L38" s="121"/>
      <c r="M38" s="121"/>
    </row>
    <row r="39" spans="1:13" x14ac:dyDescent="0.2">
      <c r="C39" s="256"/>
      <c r="D39" s="155"/>
      <c r="E39" s="123"/>
      <c r="F39" s="123"/>
      <c r="G39" s="121"/>
      <c r="H39" s="121"/>
      <c r="K39" s="121"/>
      <c r="L39" s="121"/>
      <c r="M39" s="121"/>
    </row>
    <row r="40" spans="1:13" ht="15" x14ac:dyDescent="0.25">
      <c r="A40" s="112" t="s">
        <v>11</v>
      </c>
      <c r="C40" s="256">
        <v>86</v>
      </c>
      <c r="D40" s="155"/>
      <c r="E40" s="123"/>
      <c r="F40" s="123"/>
      <c r="G40" s="126"/>
      <c r="H40" s="121"/>
      <c r="K40" s="121"/>
      <c r="L40" s="121"/>
      <c r="M40" s="121"/>
    </row>
    <row r="41" spans="1:13" x14ac:dyDescent="0.2">
      <c r="B41" s="112" t="s">
        <v>78</v>
      </c>
      <c r="C41" s="256"/>
      <c r="D41" s="153">
        <f>'12ME Jun18 Data'!N12</f>
        <v>82161.953000000009</v>
      </c>
      <c r="E41" s="124">
        <v>0.13000000000000012</v>
      </c>
      <c r="F41" s="124">
        <v>0.13000000000000012</v>
      </c>
      <c r="G41" s="121">
        <f>ROUND(E41*D41,2)</f>
        <v>10681.05</v>
      </c>
      <c r="H41" s="121">
        <f t="shared" si="0"/>
        <v>0</v>
      </c>
      <c r="K41" s="121"/>
      <c r="L41" s="121"/>
      <c r="M41" s="121"/>
    </row>
    <row r="42" spans="1:13" x14ac:dyDescent="0.2">
      <c r="B42" s="112" t="s">
        <v>87</v>
      </c>
      <c r="C42" s="256"/>
      <c r="D42" s="153">
        <f>'Normalized Therms'!P16</f>
        <v>9107268.5420000013</v>
      </c>
      <c r="E42" s="123">
        <v>1.0000000000000009E-3</v>
      </c>
      <c r="F42" s="123">
        <v>1.0000000000000009E-3</v>
      </c>
      <c r="G42" s="121">
        <f>ROUND(E42*D42,2)</f>
        <v>9107.27</v>
      </c>
      <c r="H42" s="121">
        <f t="shared" si="0"/>
        <v>0</v>
      </c>
      <c r="K42" s="121"/>
      <c r="L42" s="121"/>
      <c r="M42" s="121"/>
    </row>
    <row r="43" spans="1:13" ht="15" x14ac:dyDescent="0.25">
      <c r="B43" s="112" t="s">
        <v>79</v>
      </c>
      <c r="C43" s="256"/>
      <c r="D43" s="155"/>
      <c r="E43" s="123"/>
      <c r="F43" s="123"/>
      <c r="G43" s="126"/>
      <c r="H43" s="121"/>
      <c r="K43" s="121"/>
      <c r="L43" s="121"/>
      <c r="M43" s="121"/>
    </row>
    <row r="44" spans="1:13" x14ac:dyDescent="0.2">
      <c r="B44" s="112" t="s">
        <v>94</v>
      </c>
      <c r="C44" s="256"/>
      <c r="D44" s="153">
        <f>'Normalized Therms'!P16*'12ME Jun18 Bill Freq'!N50</f>
        <v>2060386.0149999994</v>
      </c>
      <c r="E44" s="123">
        <v>2.2569999999999979E-2</v>
      </c>
      <c r="F44" s="123">
        <v>2.2569999999999979E-2</v>
      </c>
      <c r="G44" s="121">
        <f>ROUND(E44*D44,2)</f>
        <v>46502.91</v>
      </c>
      <c r="H44" s="121">
        <f t="shared" si="0"/>
        <v>0</v>
      </c>
      <c r="K44" s="121"/>
      <c r="L44" s="121"/>
      <c r="M44" s="121"/>
    </row>
    <row r="45" spans="1:13" x14ac:dyDescent="0.2">
      <c r="B45" s="112" t="s">
        <v>95</v>
      </c>
      <c r="C45" s="256"/>
      <c r="D45" s="221">
        <f>'Normalized Therms'!P16*'12ME Jun18 Bill Freq'!N51</f>
        <v>7046882.5270000007</v>
      </c>
      <c r="E45" s="123">
        <v>1.5999999999999986E-2</v>
      </c>
      <c r="F45" s="123">
        <v>1.5999999999999986E-2</v>
      </c>
      <c r="G45" s="706">
        <f>ROUND(E45*D45,2)</f>
        <v>112750.12</v>
      </c>
      <c r="H45" s="121">
        <f t="shared" si="0"/>
        <v>0</v>
      </c>
      <c r="K45" s="121"/>
      <c r="L45" s="121"/>
      <c r="M45" s="121"/>
    </row>
    <row r="46" spans="1:13" x14ac:dyDescent="0.2">
      <c r="B46" s="112" t="s">
        <v>6</v>
      </c>
      <c r="C46" s="256"/>
      <c r="D46" s="153"/>
      <c r="E46" s="123"/>
      <c r="F46" s="123"/>
      <c r="G46" s="121">
        <f>SUM(G41:G45)</f>
        <v>179041.35</v>
      </c>
      <c r="H46" s="170">
        <f>SUM(H41:H45)</f>
        <v>0</v>
      </c>
      <c r="K46" s="121"/>
      <c r="L46" s="121"/>
      <c r="M46" s="121"/>
    </row>
    <row r="47" spans="1:13" x14ac:dyDescent="0.2">
      <c r="C47" s="256"/>
      <c r="D47" s="153"/>
      <c r="E47" s="123"/>
      <c r="F47" s="123"/>
      <c r="G47" s="121"/>
      <c r="H47" s="121"/>
      <c r="K47" s="121"/>
      <c r="L47" s="121"/>
      <c r="M47" s="121"/>
    </row>
    <row r="48" spans="1:13" ht="15" x14ac:dyDescent="0.25">
      <c r="A48" s="112" t="s">
        <v>96</v>
      </c>
      <c r="C48" s="256" t="s">
        <v>39</v>
      </c>
      <c r="D48" s="155"/>
      <c r="E48" s="123"/>
      <c r="F48" s="123"/>
      <c r="G48" s="126"/>
      <c r="H48" s="121"/>
      <c r="K48" s="121"/>
      <c r="L48" s="121"/>
      <c r="M48" s="121"/>
    </row>
    <row r="49" spans="1:13" x14ac:dyDescent="0.2">
      <c r="B49" s="112" t="s">
        <v>78</v>
      </c>
      <c r="C49" s="256"/>
      <c r="D49" s="153">
        <f>'12ME Jun18 Data'!N13</f>
        <v>9750</v>
      </c>
      <c r="E49" s="124">
        <v>0.13000000000000012</v>
      </c>
      <c r="F49" s="124">
        <v>0.13000000000000012</v>
      </c>
      <c r="G49" s="121">
        <f>ROUND(E49*D49,2)</f>
        <v>1267.5</v>
      </c>
      <c r="H49" s="121">
        <f t="shared" si="0"/>
        <v>0</v>
      </c>
      <c r="K49" s="121"/>
      <c r="L49" s="121"/>
      <c r="M49" s="121"/>
    </row>
    <row r="50" spans="1:13" ht="15" x14ac:dyDescent="0.25">
      <c r="B50" s="112" t="s">
        <v>79</v>
      </c>
      <c r="C50" s="256"/>
      <c r="D50" s="155"/>
      <c r="E50" s="123"/>
      <c r="F50" s="123"/>
      <c r="G50" s="126"/>
      <c r="H50" s="121"/>
      <c r="K50" s="121"/>
      <c r="L50" s="121"/>
      <c r="M50" s="121"/>
    </row>
    <row r="51" spans="1:13" x14ac:dyDescent="0.2">
      <c r="B51" s="112" t="s">
        <v>94</v>
      </c>
      <c r="C51" s="256"/>
      <c r="D51" s="153">
        <f>'Normalized Therms'!$P$21*'12ME Jun18 Bill Freq'!N20</f>
        <v>23930.91</v>
      </c>
      <c r="E51" s="123">
        <v>2.2569999999999979E-2</v>
      </c>
      <c r="F51" s="123">
        <v>2.2569999999999979E-2</v>
      </c>
      <c r="G51" s="121">
        <f>ROUND(E51*D51,2)</f>
        <v>540.12</v>
      </c>
      <c r="H51" s="121">
        <f t="shared" si="0"/>
        <v>0</v>
      </c>
      <c r="K51" s="121"/>
      <c r="L51" s="121"/>
      <c r="M51" s="121"/>
    </row>
    <row r="52" spans="1:13" x14ac:dyDescent="0.2">
      <c r="B52" s="112" t="s">
        <v>95</v>
      </c>
      <c r="C52" s="256"/>
      <c r="D52" s="153">
        <f>'Normalized Therms'!$P$21*'12ME Jun18 Bill Freq'!N21</f>
        <v>330705.78999999998</v>
      </c>
      <c r="E52" s="123">
        <v>1.5999999999999986E-2</v>
      </c>
      <c r="F52" s="123">
        <v>1.5999999999999986E-2</v>
      </c>
      <c r="G52" s="706">
        <f>ROUND(E52*D52,2)</f>
        <v>5291.29</v>
      </c>
      <c r="H52" s="121">
        <f t="shared" si="0"/>
        <v>0</v>
      </c>
      <c r="K52" s="121"/>
      <c r="L52" s="121"/>
      <c r="M52" s="121"/>
    </row>
    <row r="53" spans="1:13" x14ac:dyDescent="0.2">
      <c r="B53" s="112" t="s">
        <v>6</v>
      </c>
      <c r="C53" s="256"/>
      <c r="D53" s="153"/>
      <c r="E53" s="123"/>
      <c r="F53" s="123"/>
      <c r="G53" s="121">
        <f>SUM(G49:G52)</f>
        <v>7098.91</v>
      </c>
      <c r="H53" s="170">
        <f>SUM(H49:H52)</f>
        <v>0</v>
      </c>
      <c r="K53" s="121"/>
      <c r="L53" s="121"/>
      <c r="M53" s="121"/>
    </row>
    <row r="54" spans="1:13" x14ac:dyDescent="0.2">
      <c r="C54" s="256"/>
      <c r="D54" s="153"/>
      <c r="E54" s="123"/>
      <c r="F54" s="123"/>
      <c r="G54" s="121"/>
      <c r="K54" s="121"/>
      <c r="L54" s="121"/>
      <c r="M54" s="121"/>
    </row>
    <row r="55" spans="1:13" x14ac:dyDescent="0.2">
      <c r="B55" s="112" t="s">
        <v>97</v>
      </c>
      <c r="C55" s="256" t="s">
        <v>98</v>
      </c>
      <c r="D55" s="153"/>
      <c r="E55" s="123"/>
      <c r="F55" s="123"/>
      <c r="G55" s="121">
        <f t="shared" ref="G55:H55" si="2">G46+G53</f>
        <v>186140.26</v>
      </c>
      <c r="H55" s="121">
        <f t="shared" si="2"/>
        <v>0</v>
      </c>
      <c r="K55" s="121"/>
      <c r="L55" s="121"/>
      <c r="M55" s="121"/>
    </row>
    <row r="56" spans="1:13" x14ac:dyDescent="0.2">
      <c r="C56" s="256"/>
      <c r="D56" s="153"/>
      <c r="E56" s="130"/>
      <c r="F56" s="130"/>
      <c r="G56" s="121"/>
      <c r="H56" s="121"/>
      <c r="K56" s="121"/>
      <c r="L56" s="121"/>
      <c r="M56" s="121"/>
    </row>
    <row r="57" spans="1:13" x14ac:dyDescent="0.2">
      <c r="B57" s="112" t="s">
        <v>6</v>
      </c>
      <c r="C57" s="256"/>
      <c r="D57" s="153"/>
      <c r="E57" s="130"/>
      <c r="F57" s="130"/>
      <c r="G57" s="121">
        <f>G10+G15+G20+G28+G36+G46+G53</f>
        <v>52684657.890000001</v>
      </c>
      <c r="H57" s="121">
        <f>H10+H15+H20+H28+H36+H46+H53</f>
        <v>0</v>
      </c>
      <c r="K57" s="121"/>
      <c r="L57" s="121"/>
      <c r="M57" s="121"/>
    </row>
    <row r="58" spans="1:13" x14ac:dyDescent="0.2">
      <c r="D58" s="155"/>
      <c r="M58" s="121"/>
    </row>
    <row r="59" spans="1:13" x14ac:dyDescent="0.2">
      <c r="A59" s="131"/>
      <c r="B59" s="132"/>
      <c r="C59" s="133"/>
      <c r="M59" s="121"/>
    </row>
    <row r="60" spans="1:13" ht="12.75" customHeight="1" x14ac:dyDescent="0.2">
      <c r="A60" s="131"/>
      <c r="B60" s="133"/>
      <c r="C60" s="129"/>
      <c r="D60" s="129"/>
      <c r="E60" s="129"/>
      <c r="F60" s="129"/>
      <c r="G60" s="129"/>
      <c r="H60" s="129"/>
      <c r="M60" s="121"/>
    </row>
    <row r="61" spans="1:13" x14ac:dyDescent="0.2">
      <c r="B61" s="132"/>
      <c r="M61" s="121"/>
    </row>
    <row r="62" spans="1:13" x14ac:dyDescent="0.2">
      <c r="M62" s="121"/>
    </row>
    <row r="63" spans="1:13" x14ac:dyDescent="0.2">
      <c r="M63" s="121"/>
    </row>
    <row r="64" spans="1:13" x14ac:dyDescent="0.2">
      <c r="M64" s="121"/>
    </row>
    <row r="65" spans="13:13" x14ac:dyDescent="0.2">
      <c r="M65" s="121"/>
    </row>
    <row r="66" spans="13:13" x14ac:dyDescent="0.2">
      <c r="M66" s="121"/>
    </row>
    <row r="67" spans="13:13" x14ac:dyDescent="0.2">
      <c r="M67" s="121"/>
    </row>
    <row r="68" spans="13:13" x14ac:dyDescent="0.2">
      <c r="M68" s="121"/>
    </row>
    <row r="69" spans="13:13" x14ac:dyDescent="0.2">
      <c r="M69" s="121"/>
    </row>
    <row r="70" spans="13:13" x14ac:dyDescent="0.2">
      <c r="M70" s="121"/>
    </row>
    <row r="71" spans="13:13" x14ac:dyDescent="0.2">
      <c r="M71" s="121"/>
    </row>
    <row r="72" spans="13:13" x14ac:dyDescent="0.2">
      <c r="M72" s="121"/>
    </row>
    <row r="73" spans="13:13" x14ac:dyDescent="0.2">
      <c r="M73" s="121"/>
    </row>
    <row r="74" spans="13:13" x14ac:dyDescent="0.2">
      <c r="M74" s="121"/>
    </row>
    <row r="75" spans="13:13" x14ac:dyDescent="0.2">
      <c r="M75" s="121"/>
    </row>
    <row r="76" spans="13:13" x14ac:dyDescent="0.2">
      <c r="M76" s="121"/>
    </row>
    <row r="77" spans="13:13" x14ac:dyDescent="0.2">
      <c r="M77" s="121"/>
    </row>
    <row r="78" spans="13:13" x14ac:dyDescent="0.2">
      <c r="M78" s="121"/>
    </row>
    <row r="79" spans="13:13" x14ac:dyDescent="0.2">
      <c r="M79" s="121"/>
    </row>
    <row r="80" spans="13:13" x14ac:dyDescent="0.2">
      <c r="M80" s="121"/>
    </row>
    <row r="81" spans="13:13" x14ac:dyDescent="0.2">
      <c r="M81" s="121"/>
    </row>
    <row r="82" spans="13:13" x14ac:dyDescent="0.2">
      <c r="M82" s="121"/>
    </row>
    <row r="83" spans="13:13" x14ac:dyDescent="0.2">
      <c r="M83" s="121"/>
    </row>
    <row r="84" spans="13:13" x14ac:dyDescent="0.2">
      <c r="M84" s="121"/>
    </row>
    <row r="85" spans="13:13" x14ac:dyDescent="0.2">
      <c r="M85" s="121"/>
    </row>
    <row r="86" spans="13:13" x14ac:dyDescent="0.2">
      <c r="M86" s="121"/>
    </row>
    <row r="87" spans="13:13" x14ac:dyDescent="0.2">
      <c r="M87" s="121"/>
    </row>
    <row r="88" spans="13:13" x14ac:dyDescent="0.2">
      <c r="M88" s="121"/>
    </row>
    <row r="89" spans="13:13" x14ac:dyDescent="0.2">
      <c r="M89" s="121"/>
    </row>
    <row r="90" spans="13:13" x14ac:dyDescent="0.2">
      <c r="M90" s="121"/>
    </row>
    <row r="91" spans="13:13" x14ac:dyDescent="0.2">
      <c r="M91" s="121"/>
    </row>
    <row r="92" spans="13:13" x14ac:dyDescent="0.2">
      <c r="M92" s="121"/>
    </row>
    <row r="93" spans="13:13" x14ac:dyDescent="0.2">
      <c r="M93" s="121"/>
    </row>
    <row r="94" spans="13:13" x14ac:dyDescent="0.2">
      <c r="M94" s="121"/>
    </row>
    <row r="95" spans="13:13" x14ac:dyDescent="0.2">
      <c r="M95" s="121"/>
    </row>
    <row r="96" spans="13:13" x14ac:dyDescent="0.2">
      <c r="M96" s="121"/>
    </row>
    <row r="97" spans="13:13" x14ac:dyDescent="0.2">
      <c r="M97" s="121"/>
    </row>
  </sheetData>
  <mergeCells count="3">
    <mergeCell ref="A1:H1"/>
    <mergeCell ref="A2:H2"/>
    <mergeCell ref="A3:H3"/>
  </mergeCells>
  <printOptions horizontalCentered="1"/>
  <pageMargins left="0.7" right="0.7" top="0.5" bottom="0.5" header="0.3" footer="0.3"/>
  <pageSetup scale="66" orientation="landscape" blackAndWhite="1" r:id="rId1"/>
  <headerFooter>
    <oddFooter>&amp;L&amp;F
&amp;A&amp;C&amp;P&amp;R&amp;D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8"/>
  <sheetViews>
    <sheetView zoomScaleNormal="100" workbookViewId="0">
      <selection activeCell="F87" sqref="F87"/>
    </sheetView>
  </sheetViews>
  <sheetFormatPr defaultColWidth="9.140625" defaultRowHeight="12.75" x14ac:dyDescent="0.2"/>
  <cols>
    <col min="1" max="1" width="2.85546875" style="112" customWidth="1"/>
    <col min="2" max="2" width="26.28515625" style="112" customWidth="1"/>
    <col min="3" max="3" width="8.7109375" style="112" bestFit="1" customWidth="1"/>
    <col min="4" max="4" width="16.5703125" style="112" bestFit="1" customWidth="1"/>
    <col min="5" max="6" width="14.42578125" style="112" customWidth="1"/>
    <col min="7" max="8" width="17.140625" style="112" customWidth="1"/>
    <col min="9" max="9" width="15.5703125" style="112" customWidth="1"/>
    <col min="10" max="11" width="9.140625" style="112"/>
    <col min="12" max="13" width="11.28515625" style="112" bestFit="1" customWidth="1"/>
    <col min="14" max="14" width="9.7109375" style="112" bestFit="1" customWidth="1"/>
    <col min="15" max="16384" width="9.140625" style="112"/>
  </cols>
  <sheetData>
    <row r="1" spans="1:13" x14ac:dyDescent="0.2">
      <c r="A1" s="783" t="s">
        <v>0</v>
      </c>
      <c r="B1" s="783"/>
      <c r="C1" s="783"/>
      <c r="D1" s="783"/>
      <c r="E1" s="783"/>
      <c r="F1" s="783"/>
      <c r="G1" s="783"/>
      <c r="H1" s="783"/>
      <c r="I1" s="111"/>
    </row>
    <row r="2" spans="1:13" x14ac:dyDescent="0.2">
      <c r="A2" s="783" t="s">
        <v>426</v>
      </c>
      <c r="B2" s="783"/>
      <c r="C2" s="783"/>
      <c r="D2" s="783"/>
      <c r="E2" s="783"/>
      <c r="F2" s="783"/>
      <c r="G2" s="783"/>
      <c r="H2" s="783"/>
      <c r="I2" s="111"/>
    </row>
    <row r="3" spans="1:13" x14ac:dyDescent="0.2">
      <c r="A3" s="783" t="s">
        <v>418</v>
      </c>
      <c r="B3" s="783"/>
      <c r="C3" s="783"/>
      <c r="D3" s="783"/>
      <c r="E3" s="783"/>
      <c r="F3" s="783"/>
      <c r="G3" s="783"/>
      <c r="H3" s="783"/>
      <c r="I3" s="111"/>
    </row>
    <row r="4" spans="1:13" x14ac:dyDescent="0.2">
      <c r="A4" s="169"/>
      <c r="B4" s="169"/>
      <c r="C4" s="169"/>
      <c r="D4" s="169"/>
      <c r="E4" s="169"/>
      <c r="F4" s="169"/>
      <c r="G4" s="168"/>
      <c r="H4" s="111"/>
    </row>
    <row r="5" spans="1:13" x14ac:dyDescent="0.2">
      <c r="A5" s="113"/>
      <c r="B5" s="113"/>
      <c r="C5" s="113"/>
      <c r="D5" s="113"/>
      <c r="E5" s="113"/>
      <c r="F5" s="113"/>
      <c r="G5" s="113"/>
      <c r="H5" s="111"/>
    </row>
    <row r="6" spans="1:13" ht="15" customHeight="1" x14ac:dyDescent="0.25">
      <c r="C6" s="113"/>
      <c r="D6" s="5" t="s">
        <v>15</v>
      </c>
      <c r="E6" s="114" t="s">
        <v>211</v>
      </c>
      <c r="F6" s="114" t="s">
        <v>1</v>
      </c>
      <c r="G6" s="5"/>
      <c r="H6" s="113" t="s">
        <v>72</v>
      </c>
    </row>
    <row r="7" spans="1:13" ht="15" customHeight="1" x14ac:dyDescent="0.25">
      <c r="C7" s="113" t="s">
        <v>17</v>
      </c>
      <c r="D7" s="5" t="s">
        <v>3</v>
      </c>
      <c r="E7" s="114" t="s">
        <v>72</v>
      </c>
      <c r="F7" s="114" t="s">
        <v>72</v>
      </c>
      <c r="G7" s="5" t="s">
        <v>15</v>
      </c>
      <c r="H7" s="113" t="s">
        <v>208</v>
      </c>
    </row>
    <row r="8" spans="1:13" ht="15" x14ac:dyDescent="0.25">
      <c r="A8" s="134" t="s">
        <v>117</v>
      </c>
      <c r="B8" s="134"/>
      <c r="C8" s="115" t="s">
        <v>21</v>
      </c>
      <c r="D8" s="209" t="str">
        <f>'Exh. JAP-8 Page 1'!D8</f>
        <v>Jul 17 - Jun 18</v>
      </c>
      <c r="E8" s="116" t="s">
        <v>22</v>
      </c>
      <c r="F8" s="116" t="s">
        <v>22</v>
      </c>
      <c r="G8" s="115" t="s">
        <v>251</v>
      </c>
      <c r="H8" s="115" t="s">
        <v>248</v>
      </c>
    </row>
    <row r="9" spans="1:13" x14ac:dyDescent="0.2">
      <c r="A9" s="118"/>
      <c r="B9" s="118"/>
      <c r="C9" s="118"/>
      <c r="D9" s="118"/>
      <c r="E9" s="119"/>
      <c r="F9" s="119"/>
      <c r="G9" s="118"/>
      <c r="H9" s="117"/>
    </row>
    <row r="10" spans="1:13" x14ac:dyDescent="0.2">
      <c r="A10" s="112" t="s">
        <v>119</v>
      </c>
      <c r="B10" s="118"/>
      <c r="C10" s="118">
        <v>16</v>
      </c>
      <c r="D10" s="153">
        <f>'Normalized Therms'!P11</f>
        <v>9592.0450000000001</v>
      </c>
      <c r="E10" s="120">
        <v>0</v>
      </c>
      <c r="F10" s="120">
        <v>0</v>
      </c>
      <c r="G10" s="121">
        <f>ROUND(E10*D10,2)</f>
        <v>0</v>
      </c>
      <c r="H10" s="121">
        <f>ROUND((F10-E10)*D10,2)</f>
        <v>0</v>
      </c>
    </row>
    <row r="11" spans="1:13" x14ac:dyDescent="0.2">
      <c r="A11" s="118"/>
      <c r="B11" s="118"/>
      <c r="C11" s="118"/>
      <c r="D11" s="154"/>
      <c r="E11" s="122"/>
      <c r="F11" s="122"/>
      <c r="G11" s="121"/>
      <c r="H11" s="117"/>
    </row>
    <row r="12" spans="1:13" ht="15" x14ac:dyDescent="0.25">
      <c r="A12" s="112" t="s">
        <v>10</v>
      </c>
      <c r="C12" s="113">
        <v>85</v>
      </c>
      <c r="D12" s="155"/>
      <c r="E12" s="123"/>
      <c r="F12" s="123"/>
      <c r="G12" s="126"/>
      <c r="H12" s="121"/>
      <c r="K12" s="121"/>
      <c r="L12" s="121"/>
      <c r="M12" s="121"/>
    </row>
    <row r="13" spans="1:13" x14ac:dyDescent="0.2">
      <c r="B13" s="112" t="s">
        <v>86</v>
      </c>
      <c r="C13" s="113"/>
      <c r="D13" s="153">
        <f>'12ME Jun18 Data'!N28</f>
        <v>331.51750649225198</v>
      </c>
      <c r="E13" s="127">
        <v>0</v>
      </c>
      <c r="F13" s="127">
        <v>0</v>
      </c>
      <c r="G13" s="121">
        <f>ROUND(E13*D13,2)</f>
        <v>0</v>
      </c>
      <c r="H13" s="121">
        <f>ROUND((F13-E13)*D13,2)</f>
        <v>0</v>
      </c>
      <c r="K13" s="121"/>
      <c r="L13" s="121"/>
      <c r="M13" s="121"/>
    </row>
    <row r="14" spans="1:13" x14ac:dyDescent="0.2">
      <c r="B14" s="112" t="s">
        <v>78</v>
      </c>
      <c r="C14" s="113"/>
      <c r="D14" s="153"/>
      <c r="E14" s="127"/>
      <c r="F14" s="127"/>
      <c r="G14" s="121"/>
      <c r="H14" s="121"/>
      <c r="K14" s="121"/>
      <c r="L14" s="121"/>
      <c r="M14" s="121"/>
    </row>
    <row r="15" spans="1:13" x14ac:dyDescent="0.2">
      <c r="B15" s="112" t="s">
        <v>87</v>
      </c>
      <c r="C15" s="113"/>
      <c r="D15" s="153">
        <f>'Normalized Therms'!P15</f>
        <v>16307789.425999999</v>
      </c>
      <c r="E15" s="128">
        <v>0</v>
      </c>
      <c r="F15" s="128">
        <v>0</v>
      </c>
      <c r="G15" s="121">
        <f>ROUND(E15*D15,2)</f>
        <v>0</v>
      </c>
      <c r="H15" s="121">
        <f>ROUND((F15-E15)*D15,2)</f>
        <v>0</v>
      </c>
      <c r="K15" s="121"/>
      <c r="L15" s="121"/>
      <c r="M15" s="121"/>
    </row>
    <row r="16" spans="1:13" ht="15" x14ac:dyDescent="0.25">
      <c r="B16" s="112" t="s">
        <v>79</v>
      </c>
      <c r="C16" s="113"/>
      <c r="D16" s="155"/>
      <c r="E16" s="128"/>
      <c r="F16" s="128"/>
      <c r="G16" s="126"/>
      <c r="H16" s="121"/>
      <c r="K16" s="121"/>
      <c r="L16" s="121"/>
      <c r="M16" s="121"/>
    </row>
    <row r="17" spans="1:13" x14ac:dyDescent="0.2">
      <c r="B17" s="112" t="s">
        <v>88</v>
      </c>
      <c r="C17" s="113"/>
      <c r="D17" s="153">
        <f>'Normalized Therms'!$P$15*'12ME Jun18 Bill Freq'!N43</f>
        <v>7796583.8329999996</v>
      </c>
      <c r="E17" s="128">
        <v>0</v>
      </c>
      <c r="F17" s="128">
        <v>0</v>
      </c>
      <c r="G17" s="121">
        <f>ROUND(E17*D17,2)</f>
        <v>0</v>
      </c>
      <c r="H17" s="121">
        <f t="shared" ref="H17:H19" si="0">ROUND((F17-E17)*D17,2)</f>
        <v>0</v>
      </c>
      <c r="K17" s="121"/>
      <c r="L17" s="121"/>
      <c r="M17" s="121"/>
    </row>
    <row r="18" spans="1:13" x14ac:dyDescent="0.2">
      <c r="B18" s="112" t="s">
        <v>89</v>
      </c>
      <c r="C18" s="113"/>
      <c r="D18" s="153">
        <f>'Normalized Therms'!$P$15*'12ME Jun18 Bill Freq'!N44</f>
        <v>4282488.4919999996</v>
      </c>
      <c r="E18" s="128">
        <v>0</v>
      </c>
      <c r="F18" s="128">
        <v>0</v>
      </c>
      <c r="G18" s="121">
        <f>ROUND(E18*D18,2)</f>
        <v>0</v>
      </c>
      <c r="H18" s="121">
        <f t="shared" si="0"/>
        <v>0</v>
      </c>
      <c r="K18" s="121"/>
      <c r="L18" s="121"/>
      <c r="M18" s="121"/>
    </row>
    <row r="19" spans="1:13" x14ac:dyDescent="0.2">
      <c r="B19" s="112" t="s">
        <v>90</v>
      </c>
      <c r="C19" s="113"/>
      <c r="D19" s="153">
        <f>'Normalized Therms'!$P$15*'12ME Jun18 Bill Freq'!N45</f>
        <v>4228717.1009999998</v>
      </c>
      <c r="E19" s="128">
        <v>0</v>
      </c>
      <c r="F19" s="128">
        <v>0</v>
      </c>
      <c r="G19" s="125">
        <f>ROUND(E19*D19,2)</f>
        <v>0</v>
      </c>
      <c r="H19" s="121">
        <f t="shared" si="0"/>
        <v>0</v>
      </c>
      <c r="K19" s="121"/>
      <c r="L19" s="121"/>
      <c r="M19" s="121"/>
    </row>
    <row r="20" spans="1:13" x14ac:dyDescent="0.2">
      <c r="B20" s="112" t="s">
        <v>6</v>
      </c>
      <c r="C20" s="113"/>
      <c r="D20" s="153"/>
      <c r="E20" s="128"/>
      <c r="F20" s="128"/>
      <c r="G20" s="121">
        <f>SUM(G13:G19)</f>
        <v>0</v>
      </c>
      <c r="H20" s="170">
        <f>SUM(H13:H19)</f>
        <v>0</v>
      </c>
      <c r="K20" s="121"/>
      <c r="L20" s="121"/>
      <c r="M20" s="121"/>
    </row>
    <row r="21" spans="1:13" x14ac:dyDescent="0.2">
      <c r="C21" s="113"/>
      <c r="D21" s="155"/>
      <c r="E21" s="128"/>
      <c r="F21" s="128"/>
      <c r="G21" s="121"/>
      <c r="H21" s="121"/>
      <c r="K21" s="121"/>
      <c r="L21" s="121"/>
      <c r="M21" s="121"/>
    </row>
    <row r="22" spans="1:13" ht="15" x14ac:dyDescent="0.25">
      <c r="A22" s="112" t="s">
        <v>91</v>
      </c>
      <c r="C22" s="113" t="s">
        <v>37</v>
      </c>
      <c r="D22" s="155"/>
      <c r="E22" s="128"/>
      <c r="F22" s="128"/>
      <c r="G22" s="126"/>
      <c r="H22" s="121"/>
      <c r="K22" s="121"/>
      <c r="L22" s="121"/>
      <c r="M22" s="121"/>
    </row>
    <row r="23" spans="1:13" x14ac:dyDescent="0.2">
      <c r="B23" s="112" t="s">
        <v>86</v>
      </c>
      <c r="C23" s="113"/>
      <c r="D23" s="153">
        <f>'12ME Jun18 Data'!N29</f>
        <v>1226.3663564440635</v>
      </c>
      <c r="E23" s="127">
        <v>0</v>
      </c>
      <c r="F23" s="127">
        <v>0</v>
      </c>
      <c r="G23" s="121">
        <f>ROUND(E23*D23,2)</f>
        <v>0</v>
      </c>
      <c r="H23" s="121">
        <f t="shared" ref="H23:H24" si="1">ROUND((F23-E23)*D23,2)</f>
        <v>0</v>
      </c>
      <c r="K23" s="121"/>
      <c r="L23" s="121"/>
      <c r="M23" s="121"/>
    </row>
    <row r="24" spans="1:13" x14ac:dyDescent="0.2">
      <c r="B24" s="112" t="s">
        <v>78</v>
      </c>
      <c r="C24" s="113"/>
      <c r="D24" s="153"/>
      <c r="E24" s="128">
        <v>0</v>
      </c>
      <c r="F24" s="128">
        <v>0</v>
      </c>
      <c r="G24" s="121">
        <f>ROUND(E24*D24,2)</f>
        <v>0</v>
      </c>
      <c r="H24" s="121">
        <f t="shared" si="1"/>
        <v>0</v>
      </c>
      <c r="K24" s="121"/>
      <c r="L24" s="121"/>
      <c r="M24" s="121"/>
    </row>
    <row r="25" spans="1:13" ht="15" x14ac:dyDescent="0.25">
      <c r="B25" s="112" t="s">
        <v>79</v>
      </c>
      <c r="C25" s="113"/>
      <c r="D25" s="155"/>
      <c r="E25" s="128"/>
      <c r="F25" s="128"/>
      <c r="G25" s="126"/>
      <c r="H25" s="121"/>
      <c r="K25" s="121"/>
      <c r="L25" s="121"/>
      <c r="M25" s="121"/>
    </row>
    <row r="26" spans="1:13" x14ac:dyDescent="0.2">
      <c r="B26" s="112" t="s">
        <v>88</v>
      </c>
      <c r="C26" s="113"/>
      <c r="D26" s="153">
        <f>'Normalized Therms'!$P$20*'12ME Jun18 Bill Freq'!N13</f>
        <v>28192306.539999999</v>
      </c>
      <c r="E26" s="128">
        <v>0</v>
      </c>
      <c r="F26" s="128">
        <v>0</v>
      </c>
      <c r="G26" s="121">
        <f>ROUND(E26*D26,2)</f>
        <v>0</v>
      </c>
      <c r="H26" s="121">
        <f t="shared" ref="H26:H28" si="2">ROUND((F26-E26)*D26,2)</f>
        <v>0</v>
      </c>
      <c r="K26" s="121"/>
      <c r="L26" s="121"/>
      <c r="M26" s="121"/>
    </row>
    <row r="27" spans="1:13" x14ac:dyDescent="0.2">
      <c r="B27" s="112" t="s">
        <v>89</v>
      </c>
      <c r="C27" s="113"/>
      <c r="D27" s="153">
        <f>'Normalized Therms'!$P$20*'12ME Jun18 Bill Freq'!N14</f>
        <v>19024750.539999999</v>
      </c>
      <c r="E27" s="128">
        <v>0</v>
      </c>
      <c r="F27" s="128">
        <v>0</v>
      </c>
      <c r="G27" s="121">
        <f>ROUND(E27*D27,2)</f>
        <v>0</v>
      </c>
      <c r="H27" s="121">
        <f t="shared" si="2"/>
        <v>0</v>
      </c>
      <c r="K27" s="121"/>
      <c r="L27" s="121"/>
      <c r="M27" s="121"/>
    </row>
    <row r="28" spans="1:13" x14ac:dyDescent="0.2">
      <c r="B28" s="112" t="s">
        <v>90</v>
      </c>
      <c r="C28" s="113"/>
      <c r="D28" s="153">
        <f>'Normalized Therms'!$P$20*'12ME Jun18 Bill Freq'!N15</f>
        <v>29365530.040000003</v>
      </c>
      <c r="E28" s="128">
        <v>0</v>
      </c>
      <c r="F28" s="128">
        <v>0</v>
      </c>
      <c r="G28" s="125">
        <f>ROUND(E28*D28,2)</f>
        <v>0</v>
      </c>
      <c r="H28" s="121">
        <f t="shared" si="2"/>
        <v>0</v>
      </c>
      <c r="K28" s="121"/>
      <c r="L28" s="121"/>
      <c r="M28" s="121"/>
    </row>
    <row r="29" spans="1:13" x14ac:dyDescent="0.2">
      <c r="B29" s="112" t="s">
        <v>6</v>
      </c>
      <c r="C29" s="113"/>
      <c r="D29" s="153"/>
      <c r="E29" s="123"/>
      <c r="F29" s="123"/>
      <c r="G29" s="121">
        <f>SUM(G23:G28)</f>
        <v>0</v>
      </c>
      <c r="H29" s="170">
        <f>SUM(H23:H28)</f>
        <v>0</v>
      </c>
      <c r="K29" s="121"/>
      <c r="L29" s="121"/>
      <c r="M29" s="121"/>
    </row>
    <row r="30" spans="1:13" x14ac:dyDescent="0.2">
      <c r="C30" s="113"/>
      <c r="D30" s="153"/>
      <c r="E30" s="123"/>
      <c r="F30" s="123"/>
      <c r="G30" s="121"/>
      <c r="H30" s="121"/>
      <c r="K30" s="121"/>
      <c r="L30" s="121"/>
      <c r="M30" s="121"/>
    </row>
    <row r="31" spans="1:13" x14ac:dyDescent="0.2">
      <c r="B31" s="112" t="s">
        <v>92</v>
      </c>
      <c r="C31" s="113" t="s">
        <v>93</v>
      </c>
      <c r="D31" s="153"/>
      <c r="E31" s="123"/>
      <c r="F31" s="123"/>
      <c r="G31" s="121">
        <f>G20+G29</f>
        <v>0</v>
      </c>
      <c r="H31" s="121">
        <f>ROUND((F31-E31)*D31,2)</f>
        <v>0</v>
      </c>
      <c r="K31" s="121"/>
      <c r="L31" s="121"/>
      <c r="M31" s="121"/>
    </row>
    <row r="32" spans="1:13" x14ac:dyDescent="0.2">
      <c r="C32" s="113"/>
      <c r="D32" s="153"/>
      <c r="E32" s="123"/>
      <c r="F32" s="123"/>
      <c r="G32" s="121"/>
      <c r="H32" s="121"/>
      <c r="K32" s="121"/>
      <c r="L32" s="121"/>
      <c r="M32" s="121"/>
    </row>
    <row r="33" spans="1:13" ht="15" x14ac:dyDescent="0.25">
      <c r="A33" s="112" t="s">
        <v>10</v>
      </c>
      <c r="C33" s="113">
        <v>87</v>
      </c>
      <c r="D33" s="155"/>
      <c r="E33" s="123"/>
      <c r="F33" s="123"/>
      <c r="G33" s="126"/>
      <c r="H33" s="121"/>
      <c r="K33" s="121"/>
      <c r="L33" s="121"/>
      <c r="M33" s="121"/>
    </row>
    <row r="34" spans="1:13" x14ac:dyDescent="0.2">
      <c r="B34" s="112" t="s">
        <v>86</v>
      </c>
      <c r="C34" s="113"/>
      <c r="D34" s="153">
        <f>'12ME Jun18 Data'!N32</f>
        <v>60.132496118726415</v>
      </c>
      <c r="E34" s="127">
        <v>0</v>
      </c>
      <c r="F34" s="127">
        <v>0</v>
      </c>
      <c r="G34" s="121">
        <f>ROUND(E34*D34,2)</f>
        <v>0</v>
      </c>
      <c r="H34" s="121">
        <f t="shared" ref="H34:H36" si="3">ROUND((F34-E34)*D34,2)</f>
        <v>0</v>
      </c>
      <c r="K34" s="121"/>
      <c r="L34" s="121"/>
      <c r="M34" s="121"/>
    </row>
    <row r="35" spans="1:13" x14ac:dyDescent="0.2">
      <c r="B35" s="112" t="s">
        <v>78</v>
      </c>
      <c r="C35" s="113"/>
      <c r="D35" s="153"/>
      <c r="E35" s="128">
        <v>0</v>
      </c>
      <c r="F35" s="128">
        <v>0</v>
      </c>
      <c r="G35" s="121">
        <f>ROUND(E35*D35,2)</f>
        <v>0</v>
      </c>
      <c r="H35" s="121">
        <f t="shared" si="3"/>
        <v>0</v>
      </c>
      <c r="K35" s="121"/>
      <c r="L35" s="121"/>
      <c r="M35" s="121"/>
    </row>
    <row r="36" spans="1:13" x14ac:dyDescent="0.2">
      <c r="B36" s="112" t="s">
        <v>87</v>
      </c>
      <c r="C36" s="113"/>
      <c r="D36" s="153">
        <f>'Normalized Therms'!P17</f>
        <v>23273158.627999999</v>
      </c>
      <c r="E36" s="128">
        <v>0</v>
      </c>
      <c r="F36" s="128">
        <v>0</v>
      </c>
      <c r="G36" s="121">
        <f>ROUND(E36*D36,2)</f>
        <v>0</v>
      </c>
      <c r="H36" s="121">
        <f t="shared" si="3"/>
        <v>0</v>
      </c>
      <c r="K36" s="121"/>
      <c r="L36" s="121"/>
      <c r="M36" s="121"/>
    </row>
    <row r="37" spans="1:13" ht="15" x14ac:dyDescent="0.25">
      <c r="B37" s="112" t="s">
        <v>79</v>
      </c>
      <c r="C37" s="113"/>
      <c r="D37" s="155"/>
      <c r="E37" s="128"/>
      <c r="F37" s="128"/>
      <c r="G37" s="126"/>
      <c r="H37" s="121"/>
      <c r="K37" s="121"/>
      <c r="L37" s="121"/>
      <c r="M37" s="121"/>
    </row>
    <row r="38" spans="1:13" x14ac:dyDescent="0.2">
      <c r="B38" s="112" t="s">
        <v>88</v>
      </c>
      <c r="C38" s="113"/>
      <c r="D38" s="153">
        <f>'Normalized Therms'!$P$17*'12ME Jun18 Bill Freq'!N56</f>
        <v>1503311.6719999998</v>
      </c>
      <c r="E38" s="128">
        <v>0</v>
      </c>
      <c r="F38" s="128">
        <v>0</v>
      </c>
      <c r="G38" s="121">
        <f t="shared" ref="G38:G43" si="4">ROUND(E38*D38,2)</f>
        <v>0</v>
      </c>
      <c r="H38" s="121">
        <f t="shared" ref="H38:H43" si="5">ROUND((F38-E38)*D38,2)</f>
        <v>0</v>
      </c>
      <c r="K38" s="121"/>
      <c r="L38" s="121"/>
      <c r="M38" s="121"/>
    </row>
    <row r="39" spans="1:13" x14ac:dyDescent="0.2">
      <c r="B39" s="112" t="s">
        <v>89</v>
      </c>
      <c r="C39" s="113"/>
      <c r="D39" s="153">
        <f>'Normalized Therms'!$P$17*'12ME Jun18 Bill Freq'!N57</f>
        <v>1455588.43</v>
      </c>
      <c r="E39" s="128">
        <v>0</v>
      </c>
      <c r="F39" s="128">
        <v>0</v>
      </c>
      <c r="G39" s="121">
        <f t="shared" si="4"/>
        <v>0</v>
      </c>
      <c r="H39" s="121">
        <f t="shared" si="5"/>
        <v>0</v>
      </c>
      <c r="K39" s="121"/>
      <c r="L39" s="121"/>
      <c r="M39" s="121"/>
    </row>
    <row r="40" spans="1:13" x14ac:dyDescent="0.2">
      <c r="B40" s="112" t="s">
        <v>99</v>
      </c>
      <c r="C40" s="113"/>
      <c r="D40" s="153">
        <f>'Normalized Therms'!$P$17*'12ME Jun18 Bill Freq'!N58</f>
        <v>2640466.9439999997</v>
      </c>
      <c r="E40" s="128">
        <v>0</v>
      </c>
      <c r="F40" s="128">
        <v>0</v>
      </c>
      <c r="G40" s="121">
        <f t="shared" si="4"/>
        <v>0</v>
      </c>
      <c r="H40" s="121">
        <f t="shared" si="5"/>
        <v>0</v>
      </c>
      <c r="K40" s="121"/>
      <c r="L40" s="121"/>
      <c r="M40" s="121"/>
    </row>
    <row r="41" spans="1:13" x14ac:dyDescent="0.2">
      <c r="B41" s="112" t="s">
        <v>100</v>
      </c>
      <c r="C41" s="113"/>
      <c r="D41" s="153">
        <f>'Normalized Therms'!$P$17*'12ME Jun18 Bill Freq'!N59</f>
        <v>3226287.8670000001</v>
      </c>
      <c r="E41" s="128">
        <v>0</v>
      </c>
      <c r="F41" s="128">
        <v>0</v>
      </c>
      <c r="G41" s="121">
        <f t="shared" si="4"/>
        <v>0</v>
      </c>
      <c r="H41" s="121">
        <f t="shared" si="5"/>
        <v>0</v>
      </c>
      <c r="K41" s="121"/>
      <c r="L41" s="121"/>
      <c r="M41" s="121"/>
    </row>
    <row r="42" spans="1:13" x14ac:dyDescent="0.2">
      <c r="B42" s="129" t="s">
        <v>101</v>
      </c>
      <c r="C42" s="113"/>
      <c r="D42" s="153">
        <f>'Normalized Therms'!$P$17*'12ME Jun18 Bill Freq'!N60</f>
        <v>3759593.1549999998</v>
      </c>
      <c r="E42" s="128">
        <v>0</v>
      </c>
      <c r="F42" s="128">
        <v>0</v>
      </c>
      <c r="G42" s="121">
        <f t="shared" si="4"/>
        <v>0</v>
      </c>
      <c r="H42" s="121">
        <f t="shared" si="5"/>
        <v>0</v>
      </c>
      <c r="K42" s="121"/>
      <c r="L42" s="121"/>
      <c r="M42" s="121"/>
    </row>
    <row r="43" spans="1:13" x14ac:dyDescent="0.2">
      <c r="B43" s="112" t="s">
        <v>102</v>
      </c>
      <c r="C43" s="113"/>
      <c r="D43" s="153">
        <f>'Normalized Therms'!$P$17*'12ME Jun18 Bill Freq'!N61</f>
        <v>10687910.560000001</v>
      </c>
      <c r="E43" s="128">
        <v>0</v>
      </c>
      <c r="F43" s="128">
        <v>0</v>
      </c>
      <c r="G43" s="125">
        <f t="shared" si="4"/>
        <v>0</v>
      </c>
      <c r="H43" s="121">
        <f t="shared" si="5"/>
        <v>0</v>
      </c>
      <c r="K43" s="121"/>
      <c r="L43" s="121"/>
      <c r="M43" s="121"/>
    </row>
    <row r="44" spans="1:13" x14ac:dyDescent="0.2">
      <c r="B44" s="112" t="s">
        <v>6</v>
      </c>
      <c r="C44" s="113"/>
      <c r="D44" s="153"/>
      <c r="E44" s="128"/>
      <c r="F44" s="128"/>
      <c r="G44" s="121">
        <f>SUM(G34:G43)</f>
        <v>0</v>
      </c>
      <c r="H44" s="170">
        <f>SUM(H34:H43)</f>
        <v>0</v>
      </c>
      <c r="K44" s="121"/>
      <c r="L44" s="121"/>
      <c r="M44" s="121"/>
    </row>
    <row r="45" spans="1:13" x14ac:dyDescent="0.2">
      <c r="C45" s="113"/>
      <c r="D45" s="153"/>
      <c r="E45" s="128"/>
      <c r="F45" s="128"/>
      <c r="G45" s="121"/>
      <c r="H45" s="121"/>
      <c r="K45" s="121"/>
      <c r="L45" s="121"/>
      <c r="M45" s="121"/>
    </row>
    <row r="46" spans="1:13" ht="15" x14ac:dyDescent="0.25">
      <c r="A46" s="112" t="s">
        <v>91</v>
      </c>
      <c r="C46" s="113" t="s">
        <v>41</v>
      </c>
      <c r="D46" s="155"/>
      <c r="E46" s="128"/>
      <c r="F46" s="128"/>
      <c r="G46" s="126"/>
      <c r="H46" s="121"/>
      <c r="K46" s="121"/>
      <c r="L46" s="121"/>
      <c r="M46" s="121"/>
    </row>
    <row r="47" spans="1:13" x14ac:dyDescent="0.2">
      <c r="B47" s="112" t="s">
        <v>86</v>
      </c>
      <c r="C47" s="113"/>
      <c r="D47" s="153">
        <f>'12ME Jun18 Data'!N33</f>
        <v>112.76670855311828</v>
      </c>
      <c r="E47" s="127">
        <v>0</v>
      </c>
      <c r="F47" s="127">
        <v>0</v>
      </c>
      <c r="G47" s="121">
        <f>ROUND(E47*D47,2)</f>
        <v>0</v>
      </c>
      <c r="H47" s="121">
        <f t="shared" ref="H47:H48" si="6">ROUND((F47-E47)*D47,2)</f>
        <v>0</v>
      </c>
      <c r="K47" s="121"/>
      <c r="L47" s="121"/>
      <c r="M47" s="121"/>
    </row>
    <row r="48" spans="1:13" x14ac:dyDescent="0.2">
      <c r="B48" s="112" t="s">
        <v>78</v>
      </c>
      <c r="C48" s="113"/>
      <c r="D48" s="153"/>
      <c r="E48" s="128">
        <v>0</v>
      </c>
      <c r="F48" s="128">
        <v>0</v>
      </c>
      <c r="G48" s="121">
        <f>ROUND(E48*D48,2)</f>
        <v>0</v>
      </c>
      <c r="H48" s="121">
        <f t="shared" si="6"/>
        <v>0</v>
      </c>
      <c r="K48" s="121"/>
      <c r="L48" s="121"/>
      <c r="M48" s="121"/>
    </row>
    <row r="49" spans="1:13" ht="15" x14ac:dyDescent="0.25">
      <c r="B49" s="112" t="s">
        <v>79</v>
      </c>
      <c r="C49" s="113"/>
      <c r="D49" s="155"/>
      <c r="E49" s="128"/>
      <c r="F49" s="128"/>
      <c r="G49" s="126"/>
      <c r="H49" s="121"/>
      <c r="K49" s="121"/>
      <c r="L49" s="121"/>
      <c r="M49" s="121"/>
    </row>
    <row r="50" spans="1:13" x14ac:dyDescent="0.2">
      <c r="B50" s="112" t="s">
        <v>88</v>
      </c>
      <c r="C50" s="113"/>
      <c r="D50" s="153">
        <f>'Normalized Therms'!$P$22*'12ME Jun18 Bill Freq'!N26</f>
        <v>3000000</v>
      </c>
      <c r="E50" s="128">
        <v>0</v>
      </c>
      <c r="F50" s="128">
        <v>0</v>
      </c>
      <c r="G50" s="121">
        <f t="shared" ref="G50:G55" si="7">ROUND(E50*D50,2)</f>
        <v>0</v>
      </c>
      <c r="H50" s="121">
        <f t="shared" ref="H50:H55" si="8">ROUND((F50-E50)*D50,2)</f>
        <v>0</v>
      </c>
      <c r="K50" s="121"/>
      <c r="L50" s="121"/>
      <c r="M50" s="121"/>
    </row>
    <row r="51" spans="1:13" x14ac:dyDescent="0.2">
      <c r="B51" s="112" t="s">
        <v>89</v>
      </c>
      <c r="C51" s="113"/>
      <c r="D51" s="153">
        <f>'Normalized Therms'!$P$22*'12ME Jun18 Bill Freq'!N27</f>
        <v>3000000</v>
      </c>
      <c r="E51" s="128">
        <v>0</v>
      </c>
      <c r="F51" s="128">
        <v>0</v>
      </c>
      <c r="G51" s="121">
        <f t="shared" si="7"/>
        <v>0</v>
      </c>
      <c r="H51" s="121">
        <f t="shared" si="8"/>
        <v>0</v>
      </c>
      <c r="K51" s="121"/>
      <c r="L51" s="121"/>
      <c r="M51" s="121"/>
    </row>
    <row r="52" spans="1:13" x14ac:dyDescent="0.2">
      <c r="B52" s="112" t="s">
        <v>99</v>
      </c>
      <c r="C52" s="113"/>
      <c r="D52" s="153">
        <f>'Normalized Therms'!$P$22*'12ME Jun18 Bill Freq'!N28</f>
        <v>6000000</v>
      </c>
      <c r="E52" s="128">
        <v>0</v>
      </c>
      <c r="F52" s="128">
        <v>0</v>
      </c>
      <c r="G52" s="121">
        <f t="shared" si="7"/>
        <v>0</v>
      </c>
      <c r="H52" s="121">
        <f t="shared" si="8"/>
        <v>0</v>
      </c>
      <c r="K52" s="121"/>
      <c r="L52" s="121"/>
      <c r="M52" s="121"/>
    </row>
    <row r="53" spans="1:13" x14ac:dyDescent="0.2">
      <c r="B53" s="112" t="s">
        <v>100</v>
      </c>
      <c r="C53" s="113"/>
      <c r="D53" s="153">
        <f>'Normalized Therms'!$P$22*'12ME Jun18 Bill Freq'!N29</f>
        <v>11777991.879999999</v>
      </c>
      <c r="E53" s="128">
        <v>0</v>
      </c>
      <c r="F53" s="128">
        <v>0</v>
      </c>
      <c r="G53" s="121">
        <f t="shared" si="7"/>
        <v>0</v>
      </c>
      <c r="H53" s="121">
        <f t="shared" si="8"/>
        <v>0</v>
      </c>
      <c r="K53" s="121"/>
      <c r="L53" s="121"/>
      <c r="M53" s="121"/>
    </row>
    <row r="54" spans="1:13" x14ac:dyDescent="0.2">
      <c r="B54" s="129" t="s">
        <v>101</v>
      </c>
      <c r="C54" s="113"/>
      <c r="D54" s="153">
        <f>'Normalized Therms'!$P$22*'12ME Jun18 Bill Freq'!N30</f>
        <v>26253593.519999996</v>
      </c>
      <c r="E54" s="128">
        <v>0</v>
      </c>
      <c r="F54" s="128">
        <v>0</v>
      </c>
      <c r="G54" s="121">
        <f t="shared" si="7"/>
        <v>0</v>
      </c>
      <c r="H54" s="121">
        <f t="shared" si="8"/>
        <v>0</v>
      </c>
      <c r="K54" s="121"/>
      <c r="L54" s="121"/>
      <c r="M54" s="121"/>
    </row>
    <row r="55" spans="1:13" x14ac:dyDescent="0.2">
      <c r="B55" s="112" t="s">
        <v>102</v>
      </c>
      <c r="C55" s="113"/>
      <c r="D55" s="153">
        <f>'Normalized Therms'!$P$22*'12ME Jun18 Bill Freq'!N31</f>
        <v>53852735.850000001</v>
      </c>
      <c r="E55" s="128">
        <v>0</v>
      </c>
      <c r="F55" s="128">
        <v>0</v>
      </c>
      <c r="G55" s="125">
        <f t="shared" si="7"/>
        <v>0</v>
      </c>
      <c r="H55" s="121">
        <f t="shared" si="8"/>
        <v>0</v>
      </c>
      <c r="K55" s="121"/>
      <c r="L55" s="121"/>
      <c r="M55" s="121"/>
    </row>
    <row r="56" spans="1:13" x14ac:dyDescent="0.2">
      <c r="B56" s="112" t="s">
        <v>6</v>
      </c>
      <c r="C56" s="113"/>
      <c r="D56" s="153"/>
      <c r="E56" s="123"/>
      <c r="F56" s="123"/>
      <c r="G56" s="121">
        <f>SUM(G47:G55)</f>
        <v>0</v>
      </c>
      <c r="H56" s="170">
        <f>SUM(H47:H55)</f>
        <v>0</v>
      </c>
      <c r="K56" s="121"/>
      <c r="L56" s="121"/>
      <c r="M56" s="121"/>
    </row>
    <row r="57" spans="1:13" x14ac:dyDescent="0.2">
      <c r="C57" s="113"/>
      <c r="D57" s="153"/>
      <c r="E57" s="123"/>
      <c r="F57" s="123"/>
      <c r="G57" s="121"/>
      <c r="H57" s="121"/>
      <c r="K57" s="121"/>
      <c r="L57" s="121"/>
      <c r="M57" s="121"/>
    </row>
    <row r="58" spans="1:13" x14ac:dyDescent="0.2">
      <c r="B58" s="112" t="s">
        <v>103</v>
      </c>
      <c r="C58" s="113" t="s">
        <v>104</v>
      </c>
      <c r="D58" s="153"/>
      <c r="E58" s="123"/>
      <c r="F58" s="123"/>
      <c r="G58" s="121">
        <f>G44+G56</f>
        <v>0</v>
      </c>
      <c r="H58" s="121">
        <f>ROUND((F58-E58)*D58,2)</f>
        <v>0</v>
      </c>
      <c r="K58" s="121"/>
      <c r="L58" s="121"/>
      <c r="M58" s="121"/>
    </row>
    <row r="59" spans="1:13" x14ac:dyDescent="0.2">
      <c r="C59" s="113"/>
      <c r="D59" s="153"/>
      <c r="E59" s="123"/>
      <c r="F59" s="123"/>
      <c r="G59" s="121"/>
      <c r="H59" s="121"/>
      <c r="K59" s="121"/>
      <c r="L59" s="121"/>
      <c r="M59" s="121"/>
    </row>
    <row r="60" spans="1:13" x14ac:dyDescent="0.2">
      <c r="A60" s="112" t="s">
        <v>120</v>
      </c>
      <c r="C60" s="113"/>
      <c r="D60" s="153"/>
      <c r="E60" s="123"/>
      <c r="F60" s="123"/>
      <c r="G60" s="121"/>
      <c r="H60" s="121"/>
      <c r="K60" s="121"/>
      <c r="L60" s="121"/>
      <c r="M60" s="121"/>
    </row>
    <row r="61" spans="1:13" x14ac:dyDescent="0.2">
      <c r="B61" s="112" t="s">
        <v>121</v>
      </c>
      <c r="C61" s="112" t="s">
        <v>122</v>
      </c>
      <c r="D61" s="153">
        <f>'12ME Jun18 Rentals'!O4</f>
        <v>12480.465045003857</v>
      </c>
      <c r="E61" s="127">
        <v>0</v>
      </c>
      <c r="F61" s="127">
        <v>0</v>
      </c>
      <c r="G61" s="121">
        <f t="shared" ref="G61:G66" si="9">ROUND(E61*D61,2)</f>
        <v>0</v>
      </c>
      <c r="H61" s="121">
        <f t="shared" ref="H61:H66" si="10">ROUND((F61-E61)*D61,2)</f>
        <v>0</v>
      </c>
      <c r="K61" s="121"/>
      <c r="L61" s="121"/>
      <c r="M61" s="121"/>
    </row>
    <row r="62" spans="1:13" x14ac:dyDescent="0.2">
      <c r="B62" s="112" t="s">
        <v>123</v>
      </c>
      <c r="C62" s="112" t="s">
        <v>124</v>
      </c>
      <c r="D62" s="153">
        <f>'12ME Jun18 Rentals'!O5</f>
        <v>193906.38286551557</v>
      </c>
      <c r="E62" s="127">
        <v>0</v>
      </c>
      <c r="F62" s="127">
        <v>0</v>
      </c>
      <c r="G62" s="121">
        <f t="shared" si="9"/>
        <v>0</v>
      </c>
      <c r="H62" s="121">
        <f t="shared" si="10"/>
        <v>0</v>
      </c>
      <c r="K62" s="121"/>
      <c r="L62" s="121"/>
      <c r="M62" s="121"/>
    </row>
    <row r="63" spans="1:13" x14ac:dyDescent="0.2">
      <c r="B63" s="112" t="s">
        <v>125</v>
      </c>
      <c r="C63" s="112" t="s">
        <v>126</v>
      </c>
      <c r="D63" s="153">
        <f>'12ME Jun18 Rentals'!O6</f>
        <v>36640.184380349841</v>
      </c>
      <c r="E63" s="127">
        <v>0</v>
      </c>
      <c r="F63" s="127">
        <v>0</v>
      </c>
      <c r="G63" s="121">
        <f t="shared" si="9"/>
        <v>0</v>
      </c>
      <c r="H63" s="121">
        <f t="shared" si="10"/>
        <v>0</v>
      </c>
      <c r="K63" s="121"/>
      <c r="L63" s="121"/>
      <c r="M63" s="121"/>
    </row>
    <row r="64" spans="1:13" x14ac:dyDescent="0.2">
      <c r="B64" s="112" t="s">
        <v>127</v>
      </c>
      <c r="C64" s="112" t="s">
        <v>128</v>
      </c>
      <c r="D64" s="153">
        <f>'12ME Jun18 Rentals'!O7</f>
        <v>8166.0570112435507</v>
      </c>
      <c r="E64" s="127">
        <v>0</v>
      </c>
      <c r="F64" s="127">
        <v>0</v>
      </c>
      <c r="G64" s="121">
        <f t="shared" si="9"/>
        <v>0</v>
      </c>
      <c r="H64" s="121">
        <f t="shared" si="10"/>
        <v>0</v>
      </c>
      <c r="K64" s="121"/>
      <c r="L64" s="121"/>
      <c r="M64" s="121"/>
    </row>
    <row r="65" spans="1:13" x14ac:dyDescent="0.2">
      <c r="B65" s="112" t="s">
        <v>129</v>
      </c>
      <c r="C65" s="112" t="s">
        <v>130</v>
      </c>
      <c r="D65" s="153">
        <f>'12ME Jun18 Rentals'!O8</f>
        <v>40969.207236776536</v>
      </c>
      <c r="E65" s="127">
        <v>0</v>
      </c>
      <c r="F65" s="127">
        <v>0</v>
      </c>
      <c r="G65" s="121">
        <f t="shared" si="9"/>
        <v>0</v>
      </c>
      <c r="H65" s="121">
        <f t="shared" si="10"/>
        <v>0</v>
      </c>
      <c r="K65" s="121"/>
      <c r="L65" s="121"/>
      <c r="M65" s="121"/>
    </row>
    <row r="66" spans="1:13" x14ac:dyDescent="0.2">
      <c r="B66" s="112" t="s">
        <v>131</v>
      </c>
      <c r="C66" s="112" t="s">
        <v>132</v>
      </c>
      <c r="D66" s="153">
        <f>'12ME Jun18 Rentals'!O9</f>
        <v>2378.5021946803395</v>
      </c>
      <c r="E66" s="127">
        <v>0</v>
      </c>
      <c r="F66" s="127">
        <v>0</v>
      </c>
      <c r="G66" s="125">
        <f t="shared" si="9"/>
        <v>0</v>
      </c>
      <c r="H66" s="121">
        <f t="shared" si="10"/>
        <v>0</v>
      </c>
      <c r="K66" s="121"/>
      <c r="L66" s="121"/>
      <c r="M66" s="121"/>
    </row>
    <row r="67" spans="1:13" x14ac:dyDescent="0.2">
      <c r="B67" s="112" t="s">
        <v>133</v>
      </c>
      <c r="C67" s="113"/>
      <c r="D67" s="153"/>
      <c r="E67" s="128"/>
      <c r="F67" s="128"/>
      <c r="G67" s="121">
        <f>SUM(G61:G66)</f>
        <v>0</v>
      </c>
      <c r="H67" s="170">
        <f>SUM(H61:H66)</f>
        <v>0</v>
      </c>
      <c r="K67" s="121"/>
      <c r="L67" s="121"/>
      <c r="M67" s="121"/>
    </row>
    <row r="68" spans="1:13" x14ac:dyDescent="0.2">
      <c r="C68" s="113"/>
      <c r="D68" s="153"/>
      <c r="E68" s="128"/>
      <c r="F68" s="128"/>
      <c r="G68" s="121"/>
      <c r="H68" s="121"/>
      <c r="K68" s="121"/>
      <c r="L68" s="121"/>
      <c r="M68" s="121"/>
    </row>
    <row r="69" spans="1:13" x14ac:dyDescent="0.2">
      <c r="A69" s="112" t="s">
        <v>134</v>
      </c>
      <c r="C69" s="113"/>
      <c r="D69" s="153"/>
      <c r="E69" s="128"/>
      <c r="F69" s="128"/>
      <c r="G69" s="121"/>
      <c r="H69" s="121"/>
      <c r="K69" s="121"/>
      <c r="L69" s="121"/>
      <c r="M69" s="121"/>
    </row>
    <row r="70" spans="1:13" x14ac:dyDescent="0.2">
      <c r="B70" s="112" t="s">
        <v>135</v>
      </c>
      <c r="C70" s="112" t="s">
        <v>136</v>
      </c>
      <c r="D70" s="153">
        <f>'12ME Jun18 Rentals'!O13</f>
        <v>1385.380082485219</v>
      </c>
      <c r="E70" s="127">
        <v>0</v>
      </c>
      <c r="F70" s="127">
        <v>0</v>
      </c>
      <c r="G70" s="121">
        <f t="shared" ref="G70:G76" si="11">ROUND(E70*D70,2)</f>
        <v>0</v>
      </c>
      <c r="H70" s="121">
        <f t="shared" ref="H70:H76" si="12">ROUND((F70-E70)*D70,2)</f>
        <v>0</v>
      </c>
      <c r="K70" s="121"/>
      <c r="L70" s="121"/>
      <c r="M70" s="121"/>
    </row>
    <row r="71" spans="1:13" x14ac:dyDescent="0.2">
      <c r="B71" s="112" t="s">
        <v>137</v>
      </c>
      <c r="C71" s="112" t="s">
        <v>138</v>
      </c>
      <c r="D71" s="153">
        <f>'12ME Jun18 Rentals'!O14</f>
        <v>1037.5582075779919</v>
      </c>
      <c r="E71" s="127">
        <v>0</v>
      </c>
      <c r="F71" s="127">
        <v>0</v>
      </c>
      <c r="G71" s="121">
        <f t="shared" si="11"/>
        <v>0</v>
      </c>
      <c r="H71" s="121">
        <f t="shared" si="12"/>
        <v>0</v>
      </c>
      <c r="K71" s="121"/>
      <c r="L71" s="121"/>
      <c r="M71" s="121"/>
    </row>
    <row r="72" spans="1:13" x14ac:dyDescent="0.2">
      <c r="B72" s="112" t="s">
        <v>139</v>
      </c>
      <c r="C72" s="112" t="s">
        <v>140</v>
      </c>
      <c r="D72" s="153">
        <f>'12ME Jun18 Rentals'!O15</f>
        <v>2771.9403299097144</v>
      </c>
      <c r="E72" s="127">
        <v>0</v>
      </c>
      <c r="F72" s="127">
        <v>0</v>
      </c>
      <c r="G72" s="121">
        <f t="shared" si="11"/>
        <v>0</v>
      </c>
      <c r="H72" s="121">
        <f t="shared" si="12"/>
        <v>0</v>
      </c>
      <c r="K72" s="121"/>
      <c r="L72" s="121"/>
      <c r="M72" s="121"/>
    </row>
    <row r="73" spans="1:13" x14ac:dyDescent="0.2">
      <c r="B73" s="112" t="s">
        <v>141</v>
      </c>
      <c r="C73" s="112" t="s">
        <v>142</v>
      </c>
      <c r="D73" s="153">
        <f>'12ME Jun18 Rentals'!O16</f>
        <v>156.42359935012365</v>
      </c>
      <c r="E73" s="127">
        <v>0</v>
      </c>
      <c r="F73" s="127">
        <v>0</v>
      </c>
      <c r="G73" s="121">
        <f t="shared" si="11"/>
        <v>0</v>
      </c>
      <c r="H73" s="121">
        <f t="shared" si="12"/>
        <v>0</v>
      </c>
      <c r="K73" s="121"/>
      <c r="L73" s="121"/>
      <c r="M73" s="121"/>
    </row>
    <row r="74" spans="1:13" x14ac:dyDescent="0.2">
      <c r="B74" s="112" t="s">
        <v>143</v>
      </c>
      <c r="C74" s="112" t="s">
        <v>144</v>
      </c>
      <c r="D74" s="153">
        <f>'12ME Jun18 Rentals'!O17</f>
        <v>6653.0909836922901</v>
      </c>
      <c r="E74" s="127">
        <v>0</v>
      </c>
      <c r="F74" s="127">
        <v>0</v>
      </c>
      <c r="G74" s="121">
        <f t="shared" si="11"/>
        <v>0</v>
      </c>
      <c r="H74" s="121">
        <f t="shared" si="12"/>
        <v>0</v>
      </c>
      <c r="K74" s="121"/>
      <c r="L74" s="121"/>
      <c r="M74" s="121"/>
    </row>
    <row r="75" spans="1:13" x14ac:dyDescent="0.2">
      <c r="B75" s="112" t="s">
        <v>145</v>
      </c>
      <c r="C75" s="112" t="s">
        <v>146</v>
      </c>
      <c r="D75" s="153">
        <f>'12ME Jun18 Rentals'!O18</f>
        <v>4493.0155629840601</v>
      </c>
      <c r="E75" s="127">
        <v>0</v>
      </c>
      <c r="F75" s="127">
        <v>0</v>
      </c>
      <c r="G75" s="121">
        <f t="shared" si="11"/>
        <v>0</v>
      </c>
      <c r="H75" s="121">
        <f t="shared" si="12"/>
        <v>0</v>
      </c>
      <c r="K75" s="121"/>
      <c r="L75" s="121"/>
      <c r="M75" s="121"/>
    </row>
    <row r="76" spans="1:13" x14ac:dyDescent="0.2">
      <c r="B76" s="112" t="s">
        <v>147</v>
      </c>
      <c r="C76" s="112" t="s">
        <v>148</v>
      </c>
      <c r="D76" s="153">
        <f>'12ME Jun18 Rentals'!O19</f>
        <v>12979.72487632374</v>
      </c>
      <c r="E76" s="127">
        <v>0</v>
      </c>
      <c r="F76" s="127">
        <v>0</v>
      </c>
      <c r="G76" s="125">
        <f t="shared" si="11"/>
        <v>0</v>
      </c>
      <c r="H76" s="121">
        <f t="shared" si="12"/>
        <v>0</v>
      </c>
      <c r="K76" s="121"/>
      <c r="L76" s="121"/>
      <c r="M76" s="121"/>
    </row>
    <row r="77" spans="1:13" x14ac:dyDescent="0.2">
      <c r="B77" s="112" t="s">
        <v>149</v>
      </c>
      <c r="C77" s="113"/>
      <c r="D77" s="153"/>
      <c r="E77" s="128"/>
      <c r="F77" s="128"/>
      <c r="G77" s="121">
        <f>SUM(G70:G76)</f>
        <v>0</v>
      </c>
      <c r="H77" s="170">
        <f>SUM(H70:H76)</f>
        <v>0</v>
      </c>
      <c r="K77" s="121"/>
      <c r="L77" s="121"/>
      <c r="M77" s="121"/>
    </row>
    <row r="78" spans="1:13" x14ac:dyDescent="0.2">
      <c r="C78" s="113"/>
      <c r="D78" s="153"/>
      <c r="E78" s="128"/>
      <c r="F78" s="128"/>
      <c r="G78" s="121"/>
      <c r="H78" s="121"/>
      <c r="K78" s="121"/>
      <c r="L78" s="121"/>
      <c r="M78" s="121"/>
    </row>
    <row r="79" spans="1:13" x14ac:dyDescent="0.2">
      <c r="A79" s="112" t="s">
        <v>150</v>
      </c>
      <c r="C79" s="113"/>
      <c r="D79" s="153"/>
      <c r="E79" s="128"/>
      <c r="F79" s="128"/>
      <c r="G79" s="121"/>
      <c r="H79" s="121"/>
      <c r="K79" s="121"/>
      <c r="L79" s="121"/>
      <c r="M79" s="121"/>
    </row>
    <row r="80" spans="1:13" x14ac:dyDescent="0.2">
      <c r="B80" s="112" t="s">
        <v>151</v>
      </c>
      <c r="C80" s="112" t="s">
        <v>152</v>
      </c>
      <c r="D80" s="153">
        <f>'12ME Jun18 Rentals'!O23</f>
        <v>11826.912573528694</v>
      </c>
      <c r="E80" s="127">
        <v>0</v>
      </c>
      <c r="F80" s="127">
        <v>0</v>
      </c>
      <c r="G80" s="121">
        <f>ROUND(E80*D80,2)</f>
        <v>0</v>
      </c>
      <c r="H80" s="121">
        <f t="shared" ref="H80:H83" si="13">ROUND((F80-E80)*D80,2)</f>
        <v>0</v>
      </c>
      <c r="K80" s="121"/>
      <c r="L80" s="121"/>
      <c r="M80" s="121"/>
    </row>
    <row r="81" spans="1:13" x14ac:dyDescent="0.2">
      <c r="B81" s="112" t="s">
        <v>153</v>
      </c>
      <c r="C81" s="112" t="s">
        <v>154</v>
      </c>
      <c r="D81" s="153">
        <f>'12ME Jun18 Rentals'!O24</f>
        <v>845.66294824016904</v>
      </c>
      <c r="E81" s="127">
        <v>0</v>
      </c>
      <c r="F81" s="127">
        <v>0</v>
      </c>
      <c r="G81" s="121">
        <f>ROUND(E81*D81,2)</f>
        <v>0</v>
      </c>
      <c r="H81" s="121">
        <f t="shared" si="13"/>
        <v>0</v>
      </c>
      <c r="K81" s="121"/>
      <c r="L81" s="121"/>
      <c r="M81" s="121"/>
    </row>
    <row r="82" spans="1:13" x14ac:dyDescent="0.2">
      <c r="B82" s="112" t="s">
        <v>155</v>
      </c>
      <c r="C82" s="112" t="s">
        <v>156</v>
      </c>
      <c r="D82" s="153">
        <f>'12ME Jun18 Rentals'!O25</f>
        <v>535.50948516824371</v>
      </c>
      <c r="E82" s="127">
        <v>0</v>
      </c>
      <c r="F82" s="127">
        <v>0</v>
      </c>
      <c r="G82" s="121">
        <f>ROUND(E82*D82,2)</f>
        <v>0</v>
      </c>
      <c r="H82" s="121">
        <f t="shared" si="13"/>
        <v>0</v>
      </c>
      <c r="K82" s="121"/>
      <c r="L82" s="121"/>
      <c r="M82" s="121"/>
    </row>
    <row r="83" spans="1:13" x14ac:dyDescent="0.2">
      <c r="B83" s="112" t="s">
        <v>157</v>
      </c>
      <c r="C83" s="112" t="s">
        <v>158</v>
      </c>
      <c r="D83" s="153">
        <f>'12ME Jun18 Rentals'!O26</f>
        <v>19512.390986324594</v>
      </c>
      <c r="E83" s="127">
        <v>0</v>
      </c>
      <c r="F83" s="127">
        <v>0</v>
      </c>
      <c r="G83" s="125">
        <f>ROUND(E83*D83,2)</f>
        <v>0</v>
      </c>
      <c r="H83" s="121">
        <f t="shared" si="13"/>
        <v>0</v>
      </c>
      <c r="K83" s="121"/>
      <c r="L83" s="121"/>
      <c r="M83" s="121"/>
    </row>
    <row r="84" spans="1:13" x14ac:dyDescent="0.2">
      <c r="B84" s="112" t="s">
        <v>149</v>
      </c>
      <c r="C84" s="113"/>
      <c r="D84" s="153"/>
      <c r="E84" s="130"/>
      <c r="F84" s="130"/>
      <c r="G84" s="121">
        <f>SUM(G80:G83)</f>
        <v>0</v>
      </c>
      <c r="H84" s="170">
        <f>SUM(H80:H83)</f>
        <v>0</v>
      </c>
      <c r="K84" s="121"/>
      <c r="L84" s="121"/>
      <c r="M84" s="121"/>
    </row>
    <row r="85" spans="1:13" x14ac:dyDescent="0.2">
      <c r="C85" s="113"/>
      <c r="D85" s="153"/>
      <c r="E85" s="130"/>
      <c r="F85" s="130"/>
      <c r="G85" s="121"/>
      <c r="H85" s="121"/>
      <c r="K85" s="121"/>
      <c r="L85" s="121"/>
      <c r="M85" s="121"/>
    </row>
    <row r="86" spans="1:13" x14ac:dyDescent="0.2">
      <c r="B86" s="112" t="s">
        <v>159</v>
      </c>
      <c r="C86" s="113" t="s">
        <v>160</v>
      </c>
      <c r="D86" s="153"/>
      <c r="E86" s="130"/>
      <c r="F86" s="130"/>
      <c r="G86" s="121">
        <f>SUM(G67,G77,G84)</f>
        <v>0</v>
      </c>
      <c r="H86" s="121">
        <f>ROUND((F86-E86)*D86,2)</f>
        <v>0</v>
      </c>
      <c r="K86" s="121"/>
      <c r="L86" s="121"/>
      <c r="M86" s="121"/>
    </row>
    <row r="87" spans="1:13" x14ac:dyDescent="0.2">
      <c r="C87" s="113"/>
      <c r="D87" s="153"/>
      <c r="E87" s="130"/>
      <c r="F87" s="130"/>
      <c r="G87" s="121"/>
      <c r="H87" s="121"/>
      <c r="K87" s="121"/>
      <c r="L87" s="121"/>
      <c r="M87" s="121"/>
    </row>
    <row r="88" spans="1:13" x14ac:dyDescent="0.2">
      <c r="B88" s="112" t="s">
        <v>6</v>
      </c>
      <c r="C88" s="113"/>
      <c r="D88" s="153"/>
      <c r="E88" s="130"/>
      <c r="F88" s="130"/>
      <c r="G88" s="121">
        <f>G10+G20+G29+G44+G56+G86</f>
        <v>0</v>
      </c>
      <c r="H88" s="121">
        <f>ROUND((F88-E88)*D88,2)</f>
        <v>0</v>
      </c>
      <c r="K88" s="121"/>
      <c r="L88" s="121"/>
      <c r="M88" s="121"/>
    </row>
    <row r="89" spans="1:13" x14ac:dyDescent="0.2">
      <c r="L89" s="121"/>
    </row>
    <row r="90" spans="1:13" x14ac:dyDescent="0.2">
      <c r="A90" s="132"/>
      <c r="B90" s="133"/>
      <c r="L90" s="121"/>
    </row>
    <row r="91" spans="1:13" ht="12.75" customHeight="1" x14ac:dyDescent="0.2">
      <c r="A91" s="131"/>
      <c r="B91" s="133"/>
      <c r="C91" s="129"/>
      <c r="D91" s="129"/>
      <c r="E91" s="129"/>
      <c r="F91" s="129"/>
      <c r="G91" s="129"/>
      <c r="H91" s="129"/>
      <c r="M91" s="121"/>
    </row>
    <row r="92" spans="1:13" x14ac:dyDescent="0.2">
      <c r="B92" s="132"/>
      <c r="M92" s="121"/>
    </row>
    <row r="93" spans="1:13" x14ac:dyDescent="0.2">
      <c r="M93" s="121"/>
    </row>
    <row r="94" spans="1:13" x14ac:dyDescent="0.2">
      <c r="M94" s="121"/>
    </row>
    <row r="95" spans="1:13" x14ac:dyDescent="0.2">
      <c r="M95" s="121"/>
    </row>
    <row r="96" spans="1:13" x14ac:dyDescent="0.2">
      <c r="M96" s="121"/>
    </row>
    <row r="97" spans="13:13" x14ac:dyDescent="0.2">
      <c r="M97" s="121"/>
    </row>
    <row r="98" spans="13:13" x14ac:dyDescent="0.2">
      <c r="M98" s="121"/>
    </row>
    <row r="99" spans="13:13" x14ac:dyDescent="0.2">
      <c r="M99" s="121"/>
    </row>
    <row r="100" spans="13:13" x14ac:dyDescent="0.2">
      <c r="M100" s="121"/>
    </row>
    <row r="101" spans="13:13" x14ac:dyDescent="0.2">
      <c r="M101" s="121"/>
    </row>
    <row r="102" spans="13:13" x14ac:dyDescent="0.2">
      <c r="M102" s="121"/>
    </row>
    <row r="103" spans="13:13" x14ac:dyDescent="0.2">
      <c r="M103" s="121"/>
    </row>
    <row r="104" spans="13:13" x14ac:dyDescent="0.2">
      <c r="M104" s="121"/>
    </row>
    <row r="105" spans="13:13" x14ac:dyDescent="0.2">
      <c r="M105" s="121"/>
    </row>
    <row r="106" spans="13:13" x14ac:dyDescent="0.2">
      <c r="M106" s="121"/>
    </row>
    <row r="107" spans="13:13" x14ac:dyDescent="0.2">
      <c r="M107" s="121"/>
    </row>
    <row r="108" spans="13:13" x14ac:dyDescent="0.2">
      <c r="M108" s="121"/>
    </row>
    <row r="109" spans="13:13" x14ac:dyDescent="0.2">
      <c r="M109" s="121"/>
    </row>
    <row r="110" spans="13:13" x14ac:dyDescent="0.2">
      <c r="M110" s="121"/>
    </row>
    <row r="111" spans="13:13" x14ac:dyDescent="0.2">
      <c r="M111" s="121"/>
    </row>
    <row r="112" spans="13:13" x14ac:dyDescent="0.2">
      <c r="M112" s="121"/>
    </row>
    <row r="113" spans="13:13" x14ac:dyDescent="0.2">
      <c r="M113" s="121"/>
    </row>
    <row r="114" spans="13:13" x14ac:dyDescent="0.2">
      <c r="M114" s="121"/>
    </row>
    <row r="115" spans="13:13" x14ac:dyDescent="0.2">
      <c r="M115" s="121"/>
    </row>
    <row r="116" spans="13:13" x14ac:dyDescent="0.2">
      <c r="M116" s="121"/>
    </row>
    <row r="117" spans="13:13" x14ac:dyDescent="0.2">
      <c r="M117" s="121"/>
    </row>
    <row r="118" spans="13:13" x14ac:dyDescent="0.2">
      <c r="M118" s="121"/>
    </row>
    <row r="119" spans="13:13" x14ac:dyDescent="0.2">
      <c r="M119" s="121"/>
    </row>
    <row r="120" spans="13:13" x14ac:dyDescent="0.2">
      <c r="M120" s="121"/>
    </row>
    <row r="121" spans="13:13" x14ac:dyDescent="0.2">
      <c r="M121" s="121"/>
    </row>
    <row r="122" spans="13:13" x14ac:dyDescent="0.2">
      <c r="M122" s="121"/>
    </row>
    <row r="123" spans="13:13" x14ac:dyDescent="0.2">
      <c r="M123" s="121"/>
    </row>
    <row r="124" spans="13:13" x14ac:dyDescent="0.2">
      <c r="M124" s="121"/>
    </row>
    <row r="125" spans="13:13" x14ac:dyDescent="0.2">
      <c r="M125" s="121"/>
    </row>
    <row r="126" spans="13:13" x14ac:dyDescent="0.2">
      <c r="M126" s="121"/>
    </row>
    <row r="127" spans="13:13" x14ac:dyDescent="0.2">
      <c r="M127" s="121"/>
    </row>
    <row r="128" spans="13:13" x14ac:dyDescent="0.2">
      <c r="M128" s="121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75" fitToHeight="2" orientation="landscape" blackAndWhite="1" r:id="rId1"/>
  <headerFooter>
    <oddFooter>&amp;L&amp;F
&amp;A&amp;C&amp;P&amp;R&amp;D</oddFooter>
  </headerFooter>
  <rowBreaks count="1" manualBreakCount="1">
    <brk id="3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4"/>
  <sheetViews>
    <sheetView zoomScaleNormal="100" workbookViewId="0">
      <selection activeCell="J17" sqref="J17"/>
    </sheetView>
  </sheetViews>
  <sheetFormatPr defaultColWidth="9.140625" defaultRowHeight="15" x14ac:dyDescent="0.25"/>
  <cols>
    <col min="1" max="1" width="3.28515625" style="201" customWidth="1"/>
    <col min="2" max="2" width="43.7109375" style="201" bestFit="1" customWidth="1"/>
    <col min="3" max="3" width="9.140625" style="201"/>
    <col min="4" max="4" width="16.5703125" style="201" bestFit="1" customWidth="1"/>
    <col min="5" max="5" width="13.7109375" style="201" bestFit="1" customWidth="1"/>
    <col min="6" max="6" width="13.7109375" style="201" customWidth="1"/>
    <col min="7" max="7" width="15" style="201" bestFit="1" customWidth="1"/>
    <col min="8" max="8" width="16" style="201" bestFit="1" customWidth="1"/>
    <col min="9" max="16384" width="9.140625" style="201"/>
  </cols>
  <sheetData>
    <row r="1" spans="1:8" x14ac:dyDescent="0.25">
      <c r="A1" s="787" t="s">
        <v>0</v>
      </c>
      <c r="B1" s="787"/>
      <c r="C1" s="787"/>
      <c r="D1" s="787"/>
      <c r="E1" s="787"/>
      <c r="F1" s="787"/>
      <c r="G1" s="787"/>
      <c r="H1" s="787"/>
    </row>
    <row r="2" spans="1:8" x14ac:dyDescent="0.25">
      <c r="A2" s="787" t="s">
        <v>466</v>
      </c>
      <c r="B2" s="787"/>
      <c r="C2" s="787"/>
      <c r="D2" s="787"/>
      <c r="E2" s="787"/>
      <c r="F2" s="787"/>
      <c r="G2" s="787"/>
      <c r="H2" s="787"/>
    </row>
    <row r="3" spans="1:8" x14ac:dyDescent="0.25">
      <c r="A3" s="787" t="s">
        <v>336</v>
      </c>
      <c r="B3" s="787"/>
      <c r="C3" s="787"/>
      <c r="D3" s="787"/>
      <c r="E3" s="787"/>
      <c r="F3" s="787"/>
      <c r="G3" s="787"/>
      <c r="H3" s="787"/>
    </row>
    <row r="4" spans="1:8" x14ac:dyDescent="0.25">
      <c r="A4" s="178"/>
      <c r="B4" s="178"/>
      <c r="C4" s="178"/>
      <c r="D4" s="178"/>
      <c r="E4" s="178"/>
      <c r="F4" s="178"/>
    </row>
    <row r="5" spans="1:8" x14ac:dyDescent="0.25">
      <c r="A5" s="196"/>
      <c r="B5" s="196"/>
      <c r="C5" s="196"/>
      <c r="D5" s="5" t="s">
        <v>15</v>
      </c>
      <c r="E5" s="195" t="s">
        <v>211</v>
      </c>
      <c r="F5" s="195" t="s">
        <v>1</v>
      </c>
      <c r="G5" s="5"/>
      <c r="H5" s="769" t="s">
        <v>467</v>
      </c>
    </row>
    <row r="6" spans="1:8" x14ac:dyDescent="0.25">
      <c r="B6" s="195"/>
      <c r="C6" s="195"/>
      <c r="D6" s="5" t="s">
        <v>3</v>
      </c>
      <c r="E6" s="195" t="s">
        <v>467</v>
      </c>
      <c r="F6" s="195" t="s">
        <v>467</v>
      </c>
      <c r="G6" s="5" t="s">
        <v>15</v>
      </c>
      <c r="H6" s="769" t="s">
        <v>468</v>
      </c>
    </row>
    <row r="7" spans="1:8" x14ac:dyDescent="0.25">
      <c r="A7" s="197"/>
      <c r="B7" s="198" t="s">
        <v>215</v>
      </c>
      <c r="C7" s="198" t="s">
        <v>236</v>
      </c>
      <c r="D7" s="209" t="str">
        <f>'Exh. JAP-8 Page 1'!D8</f>
        <v>Jul 17 - Jun 18</v>
      </c>
      <c r="E7" s="198" t="s">
        <v>22</v>
      </c>
      <c r="F7" s="198" t="s">
        <v>22</v>
      </c>
      <c r="G7" s="182" t="s">
        <v>2</v>
      </c>
      <c r="H7" s="182" t="s">
        <v>247</v>
      </c>
    </row>
    <row r="8" spans="1:8" x14ac:dyDescent="0.25">
      <c r="A8" s="183" t="s">
        <v>216</v>
      </c>
      <c r="C8" s="183"/>
      <c r="D8" s="183"/>
    </row>
    <row r="9" spans="1:8" x14ac:dyDescent="0.25">
      <c r="B9" s="199" t="s">
        <v>237</v>
      </c>
      <c r="C9" s="199" t="s">
        <v>238</v>
      </c>
      <c r="D9" s="224">
        <f>'12ME Jun18 Data'!N22</f>
        <v>9329676.0139058214</v>
      </c>
      <c r="E9" s="205">
        <v>0</v>
      </c>
      <c r="F9" s="771">
        <f>'[66]Exh. JAP-6 Pages 17-20'!D10</f>
        <v>-0.15000000000000036</v>
      </c>
      <c r="G9" s="203">
        <f>ROUND(E9*D9,2)</f>
        <v>0</v>
      </c>
      <c r="H9" s="203">
        <f>(F9-E9)*D9</f>
        <v>-1399451.4020858766</v>
      </c>
    </row>
    <row r="10" spans="1:8" x14ac:dyDescent="0.25">
      <c r="B10" s="202" t="s">
        <v>239</v>
      </c>
      <c r="C10" s="202" t="s">
        <v>240</v>
      </c>
      <c r="D10" s="224">
        <f>'Normalized Therms'!P10</f>
        <v>603105552.93699992</v>
      </c>
      <c r="E10" s="144">
        <v>0</v>
      </c>
      <c r="F10" s="768">
        <f>'[66]Exh. JAP-6 Pages 17-20'!D11</f>
        <v>-4.7900000000000165E-3</v>
      </c>
      <c r="G10" s="203">
        <f t="shared" ref="G10:G73" si="0">ROUND(E10*D10,2)</f>
        <v>0</v>
      </c>
      <c r="H10" s="203">
        <f t="shared" ref="H10:H73" si="1">(F10-E10)*D10</f>
        <v>-2888875.5985682397</v>
      </c>
    </row>
    <row r="11" spans="1:8" x14ac:dyDescent="0.25">
      <c r="B11" s="189"/>
      <c r="C11" s="189"/>
      <c r="D11" s="185"/>
      <c r="E11" s="227"/>
      <c r="F11" s="770"/>
      <c r="G11" s="203"/>
      <c r="H11" s="203"/>
    </row>
    <row r="12" spans="1:8" x14ac:dyDescent="0.25">
      <c r="A12" s="191" t="s">
        <v>217</v>
      </c>
      <c r="C12" s="191"/>
      <c r="D12" s="185"/>
      <c r="E12" s="227"/>
      <c r="F12" s="770"/>
      <c r="G12" s="203"/>
      <c r="H12" s="203"/>
    </row>
    <row r="13" spans="1:8" x14ac:dyDescent="0.25">
      <c r="A13" s="180"/>
      <c r="B13" s="199" t="s">
        <v>237</v>
      </c>
      <c r="C13" s="199" t="s">
        <v>238</v>
      </c>
      <c r="D13" s="224">
        <f>'12ME Jun18 Data'!N23</f>
        <v>7.5321521335807056</v>
      </c>
      <c r="E13" s="205">
        <v>0</v>
      </c>
      <c r="F13" s="771">
        <f>'[66]Exh. JAP-6 Pages 17-20'!D14</f>
        <v>-0.15000000000000036</v>
      </c>
      <c r="G13" s="203">
        <f t="shared" si="0"/>
        <v>0</v>
      </c>
      <c r="H13" s="203">
        <f t="shared" si="1"/>
        <v>-1.1298228200371085</v>
      </c>
    </row>
    <row r="14" spans="1:8" x14ac:dyDescent="0.25">
      <c r="A14" s="180"/>
      <c r="B14" s="202" t="s">
        <v>239</v>
      </c>
      <c r="C14" s="202" t="s">
        <v>240</v>
      </c>
      <c r="D14" s="224">
        <f>'Normalized Therms'!P12</f>
        <v>295.27300000000002</v>
      </c>
      <c r="E14" s="144">
        <v>0</v>
      </c>
      <c r="F14" s="768">
        <f>'[66]Exh. JAP-6 Pages 17-20'!D15</f>
        <v>-4.7900000000000165E-3</v>
      </c>
      <c r="G14" s="203">
        <f t="shared" si="0"/>
        <v>0</v>
      </c>
      <c r="H14" s="203">
        <f t="shared" si="1"/>
        <v>-1.4143576700000049</v>
      </c>
    </row>
    <row r="15" spans="1:8" x14ac:dyDescent="0.25">
      <c r="A15" s="180"/>
      <c r="B15" s="187"/>
      <c r="C15" s="187"/>
      <c r="D15" s="224"/>
      <c r="E15" s="227"/>
      <c r="F15" s="770"/>
      <c r="G15" s="203"/>
      <c r="H15" s="203"/>
    </row>
    <row r="16" spans="1:8" x14ac:dyDescent="0.25">
      <c r="A16" s="191" t="s">
        <v>218</v>
      </c>
      <c r="C16" s="183"/>
      <c r="D16" s="224"/>
      <c r="E16" s="227"/>
      <c r="F16" s="770"/>
      <c r="G16" s="203"/>
      <c r="H16" s="203"/>
    </row>
    <row r="17" spans="1:8" x14ac:dyDescent="0.25">
      <c r="B17" s="202" t="s">
        <v>239</v>
      </c>
      <c r="C17" s="200" t="s">
        <v>241</v>
      </c>
      <c r="D17" s="224">
        <f>'Normalized Therms'!P11/19</f>
        <v>504.84447368421053</v>
      </c>
      <c r="E17" s="205">
        <v>0</v>
      </c>
      <c r="F17" s="771">
        <f>'[66]Exh. JAP-6 Pages 17-20'!$D$18</f>
        <v>-0.12999999999999901</v>
      </c>
      <c r="G17" s="203">
        <f t="shared" si="0"/>
        <v>0</v>
      </c>
      <c r="H17" s="203">
        <f t="shared" si="1"/>
        <v>-65.629781578946861</v>
      </c>
    </row>
    <row r="18" spans="1:8" x14ac:dyDescent="0.25">
      <c r="B18" s="202"/>
      <c r="C18" s="202"/>
      <c r="D18" s="224"/>
      <c r="E18" s="227"/>
      <c r="F18" s="770"/>
      <c r="G18" s="203"/>
      <c r="H18" s="203"/>
    </row>
    <row r="19" spans="1:8" x14ac:dyDescent="0.25">
      <c r="A19" s="183" t="s">
        <v>219</v>
      </c>
      <c r="C19" s="189"/>
      <c r="D19" s="224"/>
      <c r="E19" s="227"/>
      <c r="F19" s="770"/>
      <c r="G19" s="203"/>
      <c r="H19" s="203"/>
    </row>
    <row r="20" spans="1:8" x14ac:dyDescent="0.25">
      <c r="B20" s="199" t="s">
        <v>237</v>
      </c>
      <c r="C20" s="199" t="s">
        <v>238</v>
      </c>
      <c r="D20" s="224">
        <f>'12ME Jun18 Data'!N24</f>
        <v>689698.95172727259</v>
      </c>
      <c r="E20" s="205">
        <v>0</v>
      </c>
      <c r="F20" s="771">
        <f>'[66]Exh. JAP-6 Pages 17-20'!D21</f>
        <v>-0.43999999999999773</v>
      </c>
      <c r="G20" s="203">
        <f t="shared" si="0"/>
        <v>0</v>
      </c>
      <c r="H20" s="203">
        <f t="shared" si="1"/>
        <v>-303467.5387599984</v>
      </c>
    </row>
    <row r="21" spans="1:8" x14ac:dyDescent="0.25">
      <c r="B21" s="202" t="s">
        <v>239</v>
      </c>
      <c r="C21" s="202" t="s">
        <v>240</v>
      </c>
      <c r="D21" s="224">
        <f>'Normalized Therms'!$P$13</f>
        <v>228604732.46999997</v>
      </c>
      <c r="E21" s="144">
        <v>0</v>
      </c>
      <c r="F21" s="768">
        <f>'[66]Exh. JAP-6 Pages 17-20'!D22</f>
        <v>-4.060000000000008E-3</v>
      </c>
      <c r="G21" s="203">
        <f t="shared" si="0"/>
        <v>0</v>
      </c>
      <c r="H21" s="203">
        <f t="shared" si="1"/>
        <v>-928135.21382820175</v>
      </c>
    </row>
    <row r="22" spans="1:8" x14ac:dyDescent="0.25">
      <c r="B22" s="202" t="s">
        <v>87</v>
      </c>
      <c r="C22" s="202" t="s">
        <v>240</v>
      </c>
      <c r="D22" s="224">
        <f>'Normalized Therms'!$P$13</f>
        <v>228604732.46999997</v>
      </c>
      <c r="E22" s="144">
        <v>0</v>
      </c>
      <c r="F22" s="768">
        <f>'[66]Exh. JAP-6 Pages 17-20'!D23</f>
        <v>-1.2000000000000031E-4</v>
      </c>
      <c r="G22" s="203">
        <f t="shared" si="0"/>
        <v>0</v>
      </c>
      <c r="H22" s="203">
        <f>(F22-E22)*D22</f>
        <v>-27432.567896400069</v>
      </c>
    </row>
    <row r="23" spans="1:8" x14ac:dyDescent="0.25">
      <c r="B23" s="202"/>
      <c r="C23" s="202"/>
      <c r="D23" s="224"/>
      <c r="E23" s="227"/>
      <c r="F23" s="770"/>
      <c r="G23" s="203"/>
      <c r="H23" s="203"/>
    </row>
    <row r="24" spans="1:8" x14ac:dyDescent="0.25">
      <c r="A24" s="191" t="s">
        <v>220</v>
      </c>
      <c r="C24" s="189"/>
      <c r="D24" s="224"/>
      <c r="E24" s="227"/>
      <c r="F24" s="770"/>
      <c r="G24" s="203"/>
      <c r="H24" s="203"/>
    </row>
    <row r="25" spans="1:8" x14ac:dyDescent="0.25">
      <c r="A25" s="202"/>
      <c r="B25" s="199" t="s">
        <v>237</v>
      </c>
      <c r="C25" s="199" t="s">
        <v>238</v>
      </c>
      <c r="D25" s="224">
        <f>'12ME Jun18 Data'!N25</f>
        <v>37.000031241542246</v>
      </c>
      <c r="E25" s="205">
        <v>0</v>
      </c>
      <c r="F25" s="771">
        <f>'[66]Exh. JAP-6 Pages 17-20'!D26</f>
        <v>-4.8700000000000045</v>
      </c>
      <c r="G25" s="203">
        <f t="shared" si="0"/>
        <v>0</v>
      </c>
      <c r="H25" s="203">
        <f t="shared" si="1"/>
        <v>-180.19015214631091</v>
      </c>
    </row>
    <row r="26" spans="1:8" x14ac:dyDescent="0.25">
      <c r="A26" s="202"/>
      <c r="B26" s="202" t="s">
        <v>239</v>
      </c>
      <c r="C26" s="202" t="s">
        <v>240</v>
      </c>
      <c r="D26" s="224">
        <f>'Normalized Therms'!P18</f>
        <v>43413.770000000004</v>
      </c>
      <c r="E26" s="144">
        <v>0</v>
      </c>
      <c r="F26" s="768">
        <f>'[66]Exh. JAP-6 Pages 17-20'!D27</f>
        <v>-4.049999999999998E-3</v>
      </c>
      <c r="G26" s="203">
        <f t="shared" si="0"/>
        <v>0</v>
      </c>
      <c r="H26" s="203">
        <f t="shared" si="1"/>
        <v>-175.82576849999992</v>
      </c>
    </row>
    <row r="27" spans="1:8" x14ac:dyDescent="0.25">
      <c r="A27" s="202"/>
      <c r="B27" s="202"/>
      <c r="C27" s="202"/>
      <c r="D27" s="224"/>
      <c r="E27" s="227"/>
      <c r="F27" s="770"/>
      <c r="G27" s="203"/>
      <c r="H27" s="203"/>
    </row>
    <row r="28" spans="1:8" x14ac:dyDescent="0.25">
      <c r="A28" s="191" t="s">
        <v>221</v>
      </c>
      <c r="C28" s="189"/>
      <c r="D28" s="224"/>
      <c r="E28" s="205"/>
      <c r="F28" s="770"/>
      <c r="G28" s="203"/>
      <c r="H28" s="203"/>
    </row>
    <row r="29" spans="1:8" x14ac:dyDescent="0.25">
      <c r="B29" s="202" t="s">
        <v>204</v>
      </c>
      <c r="C29" s="202"/>
      <c r="D29" s="224"/>
      <c r="E29" s="205">
        <v>0</v>
      </c>
      <c r="F29" s="768">
        <f>'[66]Exh. JAP-6 Pages 17-20'!$D$30</f>
        <v>0</v>
      </c>
      <c r="G29" s="203">
        <f t="shared" si="0"/>
        <v>0</v>
      </c>
      <c r="H29" s="203">
        <f t="shared" si="1"/>
        <v>0</v>
      </c>
    </row>
    <row r="30" spans="1:8" x14ac:dyDescent="0.25">
      <c r="B30" s="192"/>
      <c r="C30" s="202"/>
      <c r="D30" s="224"/>
      <c r="E30" s="227"/>
      <c r="F30" s="13"/>
      <c r="G30" s="203"/>
      <c r="H30" s="203"/>
    </row>
    <row r="31" spans="1:8" x14ac:dyDescent="0.25">
      <c r="A31" s="191" t="s">
        <v>222</v>
      </c>
      <c r="C31" s="189"/>
      <c r="D31" s="224"/>
      <c r="E31" s="227"/>
      <c r="F31" s="13"/>
      <c r="G31" s="203"/>
      <c r="H31" s="203"/>
    </row>
    <row r="32" spans="1:8" x14ac:dyDescent="0.25">
      <c r="B32" s="199" t="s">
        <v>237</v>
      </c>
      <c r="C32" s="199" t="s">
        <v>238</v>
      </c>
      <c r="D32" s="224">
        <f>'12ME Jun18 Data'!$N$26</f>
        <v>15757.12870224839</v>
      </c>
      <c r="E32" s="205">
        <v>0</v>
      </c>
      <c r="F32" s="771">
        <f>'[66]Exh. JAP-6 Pages 17-20'!D33</f>
        <v>-1.3600000000000136</v>
      </c>
      <c r="G32" s="203">
        <f t="shared" si="0"/>
        <v>0</v>
      </c>
      <c r="H32" s="203">
        <f t="shared" si="1"/>
        <v>-21429.695035058026</v>
      </c>
    </row>
    <row r="33" spans="1:8" x14ac:dyDescent="0.25">
      <c r="B33" s="192" t="s">
        <v>242</v>
      </c>
      <c r="C33" s="199" t="s">
        <v>238</v>
      </c>
      <c r="D33" s="224">
        <f>'12ME Jun18 Data'!$N$26</f>
        <v>15757.12870224839</v>
      </c>
      <c r="E33" s="205">
        <v>0</v>
      </c>
      <c r="F33" s="771">
        <f>'[66]Exh. JAP-6 Pages 17-20'!D34</f>
        <v>-1.4799999999999898</v>
      </c>
      <c r="G33" s="203">
        <f t="shared" si="0"/>
        <v>0</v>
      </c>
      <c r="H33" s="203">
        <f t="shared" si="1"/>
        <v>-23320.550479327456</v>
      </c>
    </row>
    <row r="34" spans="1:8" x14ac:dyDescent="0.25">
      <c r="B34" s="192" t="s">
        <v>78</v>
      </c>
      <c r="C34" s="202" t="s">
        <v>204</v>
      </c>
      <c r="D34" s="224">
        <f>'12ME Jun18 Data'!N8</f>
        <v>3902427.7730000005</v>
      </c>
      <c r="E34" s="205">
        <v>0</v>
      </c>
      <c r="F34" s="771">
        <f>'[66]Exh. JAP-6 Pages 17-20'!D35</f>
        <v>-2.0000000000000018E-2</v>
      </c>
      <c r="G34" s="203">
        <f t="shared" si="0"/>
        <v>0</v>
      </c>
      <c r="H34" s="203">
        <f t="shared" si="1"/>
        <v>-78048.555460000076</v>
      </c>
    </row>
    <row r="35" spans="1:8" x14ac:dyDescent="0.25">
      <c r="B35" s="192"/>
      <c r="C35" s="202"/>
      <c r="D35" s="224"/>
      <c r="E35" s="227"/>
      <c r="F35" s="768"/>
      <c r="G35" s="203"/>
      <c r="H35" s="203"/>
    </row>
    <row r="36" spans="1:8" x14ac:dyDescent="0.25">
      <c r="B36" s="192" t="s">
        <v>79</v>
      </c>
      <c r="C36" s="202"/>
      <c r="D36" s="224"/>
      <c r="E36" s="227"/>
      <c r="F36" s="768"/>
      <c r="G36" s="203"/>
      <c r="H36" s="203"/>
    </row>
    <row r="37" spans="1:8" x14ac:dyDescent="0.25">
      <c r="B37" s="192" t="s">
        <v>164</v>
      </c>
      <c r="C37" s="202" t="s">
        <v>240</v>
      </c>
      <c r="D37" s="224">
        <f>'Normalized Therms'!$P$14*'12ME Jun18 Bill Freq'!N36</f>
        <v>13168764.918000001</v>
      </c>
      <c r="E37" s="144">
        <v>0</v>
      </c>
      <c r="F37" s="768">
        <f>'[66]Exh. JAP-6 Pages 17-20'!D38</f>
        <v>-1.6500000000000126E-3</v>
      </c>
      <c r="G37" s="203">
        <f t="shared" si="0"/>
        <v>0</v>
      </c>
      <c r="H37" s="203" t="s">
        <v>451</v>
      </c>
    </row>
    <row r="38" spans="1:8" x14ac:dyDescent="0.25">
      <c r="B38" s="192" t="s">
        <v>165</v>
      </c>
      <c r="C38" s="202" t="s">
        <v>240</v>
      </c>
      <c r="D38" s="224">
        <f>'Normalized Therms'!$P$14*'12ME Jun18 Bill Freq'!N37</f>
        <v>29185983.706</v>
      </c>
      <c r="E38" s="144">
        <v>0</v>
      </c>
      <c r="F38" s="768">
        <f>'[66]Exh. JAP-6 Pages 17-20'!D39</f>
        <v>-1.6500000000000126E-3</v>
      </c>
      <c r="G38" s="203">
        <f t="shared" si="0"/>
        <v>0</v>
      </c>
      <c r="H38" s="203">
        <f t="shared" si="1"/>
        <v>-48156.873114900365</v>
      </c>
    </row>
    <row r="39" spans="1:8" x14ac:dyDescent="0.25">
      <c r="B39" s="192" t="s">
        <v>166</v>
      </c>
      <c r="C39" s="202" t="s">
        <v>240</v>
      </c>
      <c r="D39" s="224">
        <f>'Normalized Therms'!$P$14*'12ME Jun18 Bill Freq'!N38</f>
        <v>21612119.392999999</v>
      </c>
      <c r="E39" s="144">
        <v>0</v>
      </c>
      <c r="F39" s="768">
        <f>'[66]Exh. JAP-6 Pages 17-20'!D40</f>
        <v>-1.0599999999999915E-3</v>
      </c>
      <c r="G39" s="203">
        <f t="shared" si="0"/>
        <v>0</v>
      </c>
      <c r="H39" s="203">
        <f t="shared" si="1"/>
        <v>-22908.846556579814</v>
      </c>
    </row>
    <row r="40" spans="1:8" x14ac:dyDescent="0.25">
      <c r="B40" s="192"/>
      <c r="C40" s="202"/>
      <c r="D40" s="224"/>
      <c r="E40" s="144"/>
      <c r="F40" s="768"/>
      <c r="G40" s="203"/>
      <c r="H40" s="203"/>
    </row>
    <row r="41" spans="1:8" x14ac:dyDescent="0.25">
      <c r="B41" s="192" t="s">
        <v>87</v>
      </c>
      <c r="C41" s="202" t="s">
        <v>240</v>
      </c>
      <c r="D41" s="224">
        <f>'Normalized Therms'!$P$14</f>
        <v>63966868.016999997</v>
      </c>
      <c r="E41" s="144">
        <v>0</v>
      </c>
      <c r="F41" s="768">
        <f>'[66]Exh. JAP-6 Pages 17-20'!D42</f>
        <v>-8.000000000000021E-5</v>
      </c>
      <c r="G41" s="203">
        <f t="shared" ref="G41" si="2">ROUND(E41*D41,2)</f>
        <v>0</v>
      </c>
      <c r="H41" s="203">
        <f t="shared" ref="H41" si="3">(F41-E41)*D41</f>
        <v>-5117.3494413600129</v>
      </c>
    </row>
    <row r="42" spans="1:8" x14ac:dyDescent="0.25">
      <c r="B42" s="199"/>
      <c r="C42" s="189"/>
      <c r="D42" s="224"/>
      <c r="E42" s="227"/>
      <c r="F42" s="768"/>
      <c r="G42" s="203"/>
      <c r="H42" s="203"/>
    </row>
    <row r="43" spans="1:8" x14ac:dyDescent="0.25">
      <c r="A43" s="191" t="s">
        <v>224</v>
      </c>
      <c r="B43" s="180"/>
      <c r="C43" s="189"/>
      <c r="D43" s="224"/>
      <c r="E43" s="227"/>
      <c r="F43" s="768"/>
      <c r="G43" s="203"/>
      <c r="H43" s="203"/>
    </row>
    <row r="44" spans="1:8" x14ac:dyDescent="0.25">
      <c r="A44" s="192"/>
      <c r="B44" s="199" t="s">
        <v>237</v>
      </c>
      <c r="C44" s="199" t="s">
        <v>238</v>
      </c>
      <c r="D44" s="224">
        <f>'12ME Jun18 Data'!$N$27</f>
        <v>1217.0689113856104</v>
      </c>
      <c r="E44" s="205">
        <v>0</v>
      </c>
      <c r="F44" s="771">
        <f>'[66]Exh. JAP-6 Pages 17-20'!D45</f>
        <v>-5.2599999999999909</v>
      </c>
      <c r="G44" s="203">
        <f t="shared" si="0"/>
        <v>0</v>
      </c>
      <c r="H44" s="203">
        <f t="shared" si="1"/>
        <v>-6401.7824738882991</v>
      </c>
    </row>
    <row r="45" spans="1:8" x14ac:dyDescent="0.25">
      <c r="A45" s="192"/>
      <c r="B45" s="192" t="s">
        <v>242</v>
      </c>
      <c r="C45" s="199" t="s">
        <v>238</v>
      </c>
      <c r="D45" s="224">
        <f>'12ME Jun18 Data'!$N$27</f>
        <v>1217.0689113856104</v>
      </c>
      <c r="E45" s="205">
        <v>0</v>
      </c>
      <c r="F45" s="771">
        <f>'[66]Exh. JAP-6 Pages 17-20'!D46</f>
        <v>-1.4799999999999898</v>
      </c>
      <c r="G45" s="203">
        <f t="shared" si="0"/>
        <v>0</v>
      </c>
      <c r="H45" s="203">
        <f t="shared" si="1"/>
        <v>-1801.2619888506908</v>
      </c>
    </row>
    <row r="46" spans="1:8" x14ac:dyDescent="0.25">
      <c r="A46" s="192"/>
      <c r="B46" s="192" t="s">
        <v>78</v>
      </c>
      <c r="C46" s="202" t="s">
        <v>204</v>
      </c>
      <c r="D46" s="224">
        <f>'12ME Jun18 Data'!N9</f>
        <v>1169396.5019999999</v>
      </c>
      <c r="E46" s="205">
        <v>0</v>
      </c>
      <c r="F46" s="771">
        <f>'[66]Exh. JAP-6 Pages 17-20'!D47</f>
        <v>-2.0000000000000018E-2</v>
      </c>
      <c r="G46" s="203">
        <f t="shared" si="0"/>
        <v>0</v>
      </c>
      <c r="H46" s="203">
        <f t="shared" si="1"/>
        <v>-23387.930040000017</v>
      </c>
    </row>
    <row r="47" spans="1:8" x14ac:dyDescent="0.25">
      <c r="A47" s="192"/>
      <c r="B47" s="192"/>
      <c r="C47" s="202"/>
      <c r="D47" s="224"/>
      <c r="E47" s="227"/>
      <c r="F47" s="768"/>
      <c r="G47" s="203"/>
      <c r="H47" s="203"/>
    </row>
    <row r="48" spans="1:8" x14ac:dyDescent="0.25">
      <c r="A48" s="192"/>
      <c r="B48" s="192" t="s">
        <v>79</v>
      </c>
      <c r="C48" s="202"/>
      <c r="D48" s="224"/>
      <c r="E48" s="227"/>
      <c r="F48" s="768"/>
      <c r="G48" s="203"/>
      <c r="H48" s="203"/>
    </row>
    <row r="49" spans="1:8" x14ac:dyDescent="0.25">
      <c r="A49" s="192"/>
      <c r="B49" s="192" t="s">
        <v>164</v>
      </c>
      <c r="C49" s="202" t="s">
        <v>240</v>
      </c>
      <c r="D49" s="224">
        <f>'Normalized Therms'!$P$19*'12ME Jun18 Bill Freq'!N6</f>
        <v>1086774.6600000001</v>
      </c>
      <c r="E49" s="144">
        <v>0</v>
      </c>
      <c r="F49" s="768">
        <f>'[66]Exh. JAP-6 Pages 17-20'!D50</f>
        <v>-1.6500000000000126E-3</v>
      </c>
      <c r="G49" s="203">
        <f t="shared" si="0"/>
        <v>0</v>
      </c>
      <c r="H49" s="203" t="s">
        <v>451</v>
      </c>
    </row>
    <row r="50" spans="1:8" x14ac:dyDescent="0.25">
      <c r="A50" s="192"/>
      <c r="B50" s="192" t="s">
        <v>165</v>
      </c>
      <c r="C50" s="202" t="s">
        <v>240</v>
      </c>
      <c r="D50" s="224">
        <f>'Normalized Therms'!$P$19*'12ME Jun18 Bill Freq'!N7</f>
        <v>4133910.06</v>
      </c>
      <c r="E50" s="144">
        <v>0</v>
      </c>
      <c r="F50" s="768">
        <f>'[66]Exh. JAP-6 Pages 17-20'!D51</f>
        <v>-1.6500000000000126E-3</v>
      </c>
      <c r="G50" s="203">
        <f t="shared" si="0"/>
        <v>0</v>
      </c>
      <c r="H50" s="203">
        <f t="shared" si="1"/>
        <v>-6820.9515990000518</v>
      </c>
    </row>
    <row r="51" spans="1:8" x14ac:dyDescent="0.25">
      <c r="A51" s="192"/>
      <c r="B51" s="192" t="s">
        <v>166</v>
      </c>
      <c r="C51" s="202" t="s">
        <v>240</v>
      </c>
      <c r="D51" s="224">
        <f>'Normalized Therms'!$P$19*'12ME Jun18 Bill Freq'!N8</f>
        <v>14033564.799000001</v>
      </c>
      <c r="E51" s="144">
        <v>0</v>
      </c>
      <c r="F51" s="768">
        <f>'[66]Exh. JAP-6 Pages 17-20'!D52</f>
        <v>-1.1800000000000005E-3</v>
      </c>
      <c r="G51" s="203">
        <f t="shared" si="0"/>
        <v>0</v>
      </c>
      <c r="H51" s="203">
        <f t="shared" si="1"/>
        <v>-16559.606462820007</v>
      </c>
    </row>
    <row r="52" spans="1:8" x14ac:dyDescent="0.25">
      <c r="A52" s="192"/>
      <c r="B52" s="199"/>
      <c r="C52" s="189"/>
      <c r="D52" s="224"/>
      <c r="E52" s="227"/>
      <c r="F52" s="768"/>
      <c r="G52" s="203"/>
      <c r="H52" s="203"/>
    </row>
    <row r="53" spans="1:8" x14ac:dyDescent="0.25">
      <c r="A53" s="183" t="s">
        <v>225</v>
      </c>
      <c r="C53" s="189"/>
      <c r="D53" s="224"/>
      <c r="E53" s="227"/>
      <c r="F53" s="768"/>
      <c r="G53" s="203"/>
      <c r="H53" s="203"/>
    </row>
    <row r="54" spans="1:8" x14ac:dyDescent="0.25">
      <c r="B54" s="189" t="s">
        <v>237</v>
      </c>
      <c r="C54" s="189" t="s">
        <v>238</v>
      </c>
      <c r="D54" s="224">
        <f>'12ME Jun18 Data'!N28</f>
        <v>331.51750649225198</v>
      </c>
      <c r="E54" s="205">
        <v>0</v>
      </c>
      <c r="F54" s="771">
        <f>'[66]Exh. JAP-6 Pages 17-20'!D55</f>
        <v>-7.4400000000000546</v>
      </c>
      <c r="G54" s="203">
        <f t="shared" si="0"/>
        <v>0</v>
      </c>
      <c r="H54" s="203">
        <f t="shared" si="1"/>
        <v>-2466.4902483023729</v>
      </c>
    </row>
    <row r="55" spans="1:8" x14ac:dyDescent="0.25">
      <c r="B55" s="202" t="s">
        <v>78</v>
      </c>
      <c r="C55" s="202" t="s">
        <v>204</v>
      </c>
      <c r="D55" s="224">
        <f>'12ME Jun18 Data'!N10</f>
        <v>84395.974999999991</v>
      </c>
      <c r="E55" s="205">
        <v>0</v>
      </c>
      <c r="F55" s="771">
        <f>'[66]Exh. JAP-6 Pages 17-20'!D56</f>
        <v>-2.0000000000000018E-2</v>
      </c>
      <c r="G55" s="203">
        <f t="shared" si="0"/>
        <v>0</v>
      </c>
      <c r="H55" s="203">
        <f t="shared" si="1"/>
        <v>-1687.9195000000013</v>
      </c>
    </row>
    <row r="56" spans="1:8" x14ac:dyDescent="0.25">
      <c r="B56" s="202" t="s">
        <v>87</v>
      </c>
      <c r="C56" s="202" t="s">
        <v>240</v>
      </c>
      <c r="D56" s="224">
        <f>'Normalized Therms'!P15</f>
        <v>16307789.425999999</v>
      </c>
      <c r="E56" s="144">
        <v>0</v>
      </c>
      <c r="F56" s="768">
        <f>'[66]Exh. JAP-6 Pages 17-20'!$D$63</f>
        <v>-1.0000000000000026E-4</v>
      </c>
      <c r="G56" s="203">
        <f t="shared" si="0"/>
        <v>0</v>
      </c>
      <c r="H56" s="203">
        <f t="shared" si="1"/>
        <v>-1630.7789426000043</v>
      </c>
    </row>
    <row r="57" spans="1:8" x14ac:dyDescent="0.25">
      <c r="B57" s="202"/>
      <c r="C57" s="202"/>
      <c r="D57" s="224"/>
      <c r="E57" s="227"/>
      <c r="F57" s="768"/>
      <c r="G57" s="203"/>
      <c r="H57" s="203"/>
    </row>
    <row r="58" spans="1:8" x14ac:dyDescent="0.25">
      <c r="B58" s="202" t="s">
        <v>79</v>
      </c>
      <c r="C58" s="202"/>
      <c r="D58" s="224"/>
      <c r="E58" s="227"/>
      <c r="F58" s="768"/>
      <c r="G58" s="203"/>
      <c r="H58" s="203"/>
    </row>
    <row r="59" spans="1:8" x14ac:dyDescent="0.25">
      <c r="B59" s="202" t="s">
        <v>226</v>
      </c>
      <c r="C59" s="202" t="s">
        <v>240</v>
      </c>
      <c r="D59" s="224">
        <f>'Normalized Therms'!$P$15*'12ME Jun18 Bill Freq'!N43</f>
        <v>7796583.8329999996</v>
      </c>
      <c r="E59" s="144">
        <v>0</v>
      </c>
      <c r="F59" s="768">
        <f>'[66]Exh. JAP-6 Pages 17-20'!D59</f>
        <v>-1.350000000000004E-3</v>
      </c>
      <c r="G59" s="203">
        <f t="shared" si="0"/>
        <v>0</v>
      </c>
      <c r="H59" s="203">
        <f t="shared" si="1"/>
        <v>-10525.388174550031</v>
      </c>
    </row>
    <row r="60" spans="1:8" x14ac:dyDescent="0.25">
      <c r="B60" s="202" t="s">
        <v>227</v>
      </c>
      <c r="C60" s="202" t="s">
        <v>240</v>
      </c>
      <c r="D60" s="224">
        <f>'Normalized Therms'!$P$15*'12ME Jun18 Bill Freq'!N44</f>
        <v>4282488.4919999996</v>
      </c>
      <c r="E60" s="144">
        <v>0</v>
      </c>
      <c r="F60" s="768">
        <f>'[66]Exh. JAP-6 Pages 17-20'!D60</f>
        <v>-6.6999999999999699E-4</v>
      </c>
      <c r="G60" s="203">
        <f t="shared" si="0"/>
        <v>0</v>
      </c>
      <c r="H60" s="203">
        <f t="shared" si="1"/>
        <v>-2869.2672896399868</v>
      </c>
    </row>
    <row r="61" spans="1:8" x14ac:dyDescent="0.25">
      <c r="B61" s="202" t="s">
        <v>228</v>
      </c>
      <c r="C61" s="202" t="s">
        <v>240</v>
      </c>
      <c r="D61" s="224">
        <f>'Normalized Therms'!$P$15*'12ME Jun18 Bill Freq'!N45</f>
        <v>4228717.1009999998</v>
      </c>
      <c r="E61" s="144">
        <v>0</v>
      </c>
      <c r="F61" s="768">
        <f>'[66]Exh. JAP-6 Pages 17-20'!D61</f>
        <v>-6.4000000000000168E-4</v>
      </c>
      <c r="G61" s="203">
        <f t="shared" si="0"/>
        <v>0</v>
      </c>
      <c r="H61" s="203">
        <f t="shared" si="1"/>
        <v>-2706.3789446400069</v>
      </c>
    </row>
    <row r="62" spans="1:8" x14ac:dyDescent="0.25">
      <c r="B62" s="189"/>
      <c r="C62" s="189"/>
      <c r="D62" s="224"/>
      <c r="E62" s="227"/>
      <c r="F62" s="768"/>
      <c r="G62" s="203"/>
      <c r="H62" s="203"/>
    </row>
    <row r="63" spans="1:8" x14ac:dyDescent="0.25">
      <c r="A63" s="183" t="s">
        <v>229</v>
      </c>
      <c r="C63" s="189"/>
      <c r="D63" s="224"/>
      <c r="E63" s="227"/>
      <c r="F63" s="768"/>
      <c r="G63" s="203"/>
      <c r="H63" s="203"/>
    </row>
    <row r="64" spans="1:8" x14ac:dyDescent="0.25">
      <c r="B64" s="189" t="s">
        <v>237</v>
      </c>
      <c r="C64" s="189" t="s">
        <v>238</v>
      </c>
      <c r="D64" s="224">
        <f>'12ME Jun18 Data'!N29</f>
        <v>1226.3663564440635</v>
      </c>
      <c r="E64" s="205">
        <v>0</v>
      </c>
      <c r="F64" s="771">
        <f>'[66]Exh. JAP-6 Pages 17-20'!D66</f>
        <v>-11.790000000000077</v>
      </c>
      <c r="G64" s="203">
        <f t="shared" si="0"/>
        <v>0</v>
      </c>
      <c r="H64" s="203">
        <f t="shared" si="1"/>
        <v>-14458.859342475604</v>
      </c>
    </row>
    <row r="65" spans="1:8" x14ac:dyDescent="0.25">
      <c r="B65" s="202" t="s">
        <v>78</v>
      </c>
      <c r="C65" s="202" t="s">
        <v>204</v>
      </c>
      <c r="D65" s="224">
        <f>'12ME Jun18 Data'!N11</f>
        <v>686276.33400000003</v>
      </c>
      <c r="E65" s="205">
        <v>0</v>
      </c>
      <c r="F65" s="771">
        <f>'[66]Exh. JAP-6 Pages 17-20'!D67</f>
        <v>-2.0000000000000018E-2</v>
      </c>
      <c r="G65" s="203">
        <f t="shared" si="0"/>
        <v>0</v>
      </c>
      <c r="H65" s="203">
        <f t="shared" si="1"/>
        <v>-13725.526680000014</v>
      </c>
    </row>
    <row r="66" spans="1:8" x14ac:dyDescent="0.25">
      <c r="B66" s="202"/>
      <c r="C66" s="202"/>
      <c r="D66" s="224"/>
      <c r="E66" s="227"/>
      <c r="F66" s="768"/>
      <c r="G66" s="203"/>
      <c r="H66" s="203"/>
    </row>
    <row r="67" spans="1:8" x14ac:dyDescent="0.25">
      <c r="B67" s="202" t="s">
        <v>79</v>
      </c>
      <c r="C67" s="202"/>
      <c r="D67" s="224"/>
      <c r="E67" s="227"/>
      <c r="F67" s="768"/>
      <c r="G67" s="203"/>
      <c r="H67" s="203"/>
    </row>
    <row r="68" spans="1:8" x14ac:dyDescent="0.25">
      <c r="B68" s="202" t="s">
        <v>226</v>
      </c>
      <c r="C68" s="202" t="s">
        <v>240</v>
      </c>
      <c r="D68" s="224">
        <f>'Normalized Therms'!$P$20*'12ME Jun18 Bill Freq'!N13</f>
        <v>28192306.539999999</v>
      </c>
      <c r="E68" s="144">
        <v>0</v>
      </c>
      <c r="F68" s="768">
        <f>'[66]Exh. JAP-6 Pages 17-20'!D70</f>
        <v>-1.3299999999999979E-3</v>
      </c>
      <c r="G68" s="203">
        <f t="shared" si="0"/>
        <v>0</v>
      </c>
      <c r="H68" s="203">
        <f t="shared" si="1"/>
        <v>-37495.767698199939</v>
      </c>
    </row>
    <row r="69" spans="1:8" x14ac:dyDescent="0.25">
      <c r="B69" s="202" t="s">
        <v>227</v>
      </c>
      <c r="C69" s="202" t="s">
        <v>240</v>
      </c>
      <c r="D69" s="224">
        <f>'Normalized Therms'!$P$20*'12ME Jun18 Bill Freq'!N14</f>
        <v>19024750.539999999</v>
      </c>
      <c r="E69" s="144">
        <v>0</v>
      </c>
      <c r="F69" s="768">
        <f>'[66]Exh. JAP-6 Pages 17-20'!D71</f>
        <v>-6.6000000000000086E-4</v>
      </c>
      <c r="G69" s="203">
        <f t="shared" si="0"/>
        <v>0</v>
      </c>
      <c r="H69" s="203">
        <f t="shared" si="1"/>
        <v>-12556.335356400015</v>
      </c>
    </row>
    <row r="70" spans="1:8" x14ac:dyDescent="0.25">
      <c r="B70" s="202" t="s">
        <v>230</v>
      </c>
      <c r="C70" s="202" t="s">
        <v>240</v>
      </c>
      <c r="D70" s="224">
        <f>'Normalized Therms'!$P$20*'12ME Jun18 Bill Freq'!N15</f>
        <v>29365530.040000003</v>
      </c>
      <c r="E70" s="144">
        <v>0</v>
      </c>
      <c r="F70" s="768">
        <f>'[66]Exh. JAP-6 Pages 17-20'!D72</f>
        <v>-6.2999999999999862E-4</v>
      </c>
      <c r="G70" s="203">
        <f t="shared" si="0"/>
        <v>0</v>
      </c>
      <c r="H70" s="203">
        <f t="shared" si="1"/>
        <v>-18500.283925199961</v>
      </c>
    </row>
    <row r="71" spans="1:8" x14ac:dyDescent="0.25">
      <c r="B71" s="189"/>
      <c r="C71" s="189"/>
      <c r="D71" s="224"/>
      <c r="E71" s="227"/>
      <c r="F71" s="768"/>
      <c r="G71" s="203"/>
      <c r="H71" s="203"/>
    </row>
    <row r="72" spans="1:8" x14ac:dyDescent="0.25">
      <c r="A72" s="183" t="s">
        <v>231</v>
      </c>
      <c r="C72" s="189"/>
      <c r="D72" s="224"/>
      <c r="E72" s="227"/>
      <c r="F72" s="768"/>
      <c r="G72" s="203"/>
      <c r="H72" s="203"/>
    </row>
    <row r="73" spans="1:8" x14ac:dyDescent="0.25">
      <c r="B73" s="189" t="s">
        <v>237</v>
      </c>
      <c r="C73" s="189" t="s">
        <v>238</v>
      </c>
      <c r="D73" s="224">
        <f>'12ME Jun18 Data'!N30</f>
        <v>2677.7055539223543</v>
      </c>
      <c r="E73" s="205">
        <v>0</v>
      </c>
      <c r="F73" s="771">
        <f>'[66]Exh. JAP-6 Pages 17-20'!D75</f>
        <v>-1.9200000000000159</v>
      </c>
      <c r="G73" s="203">
        <f t="shared" si="0"/>
        <v>0</v>
      </c>
      <c r="H73" s="203">
        <f t="shared" si="1"/>
        <v>-5141.1946635309632</v>
      </c>
    </row>
    <row r="74" spans="1:8" x14ac:dyDescent="0.25">
      <c r="B74" s="202" t="s">
        <v>78</v>
      </c>
      <c r="C74" s="202" t="s">
        <v>204</v>
      </c>
      <c r="D74" s="224">
        <f>'12ME Jun18 Data'!N12</f>
        <v>82161.953000000009</v>
      </c>
      <c r="E74" s="205">
        <v>0</v>
      </c>
      <c r="F74" s="771">
        <f>'[66]Exh. JAP-6 Pages 17-20'!D76</f>
        <v>-2.0000000000000018E-2</v>
      </c>
      <c r="G74" s="203">
        <f t="shared" ref="G74:G137" si="4">ROUND(E74*D74,2)</f>
        <v>0</v>
      </c>
      <c r="H74" s="203">
        <f t="shared" ref="H74:H137" si="5">(F74-E74)*D74</f>
        <v>-1643.2390600000017</v>
      </c>
    </row>
    <row r="75" spans="1:8" x14ac:dyDescent="0.25">
      <c r="B75" s="202" t="s">
        <v>87</v>
      </c>
      <c r="C75" s="202" t="s">
        <v>240</v>
      </c>
      <c r="D75" s="224">
        <f>'Normalized Therms'!P16</f>
        <v>9107268.5420000013</v>
      </c>
      <c r="E75" s="144">
        <v>0</v>
      </c>
      <c r="F75" s="768">
        <f>'[66]Exh. JAP-6 Pages 17-20'!$D$82</f>
        <v>-1.2999999999999991E-4</v>
      </c>
      <c r="G75" s="203">
        <f t="shared" si="4"/>
        <v>0</v>
      </c>
      <c r="H75" s="203">
        <f t="shared" si="5"/>
        <v>-1183.9449104599994</v>
      </c>
    </row>
    <row r="76" spans="1:8" x14ac:dyDescent="0.25">
      <c r="B76" s="202"/>
      <c r="C76" s="202"/>
      <c r="D76" s="224"/>
      <c r="E76" s="227"/>
      <c r="F76" s="768"/>
      <c r="G76" s="203"/>
      <c r="H76" s="203"/>
    </row>
    <row r="77" spans="1:8" x14ac:dyDescent="0.25">
      <c r="B77" s="202" t="s">
        <v>79</v>
      </c>
      <c r="C77" s="202"/>
      <c r="D77" s="224"/>
      <c r="E77" s="227"/>
      <c r="F77" s="768"/>
      <c r="G77" s="203"/>
      <c r="H77" s="203"/>
    </row>
    <row r="78" spans="1:8" x14ac:dyDescent="0.25">
      <c r="B78" s="192" t="s">
        <v>94</v>
      </c>
      <c r="C78" s="192" t="s">
        <v>240</v>
      </c>
      <c r="D78" s="224">
        <f>'Normalized Therms'!$P$16*'12ME Jun18 Bill Freq'!N50</f>
        <v>2060386.0149999994</v>
      </c>
      <c r="E78" s="144">
        <v>0</v>
      </c>
      <c r="F78" s="768">
        <f>'[66]Exh. JAP-6 Pages 17-20'!D79</f>
        <v>-2.6599999999999957E-3</v>
      </c>
      <c r="G78" s="203">
        <f t="shared" si="4"/>
        <v>0</v>
      </c>
      <c r="H78" s="203">
        <f t="shared" si="5"/>
        <v>-5480.6267998999892</v>
      </c>
    </row>
    <row r="79" spans="1:8" x14ac:dyDescent="0.25">
      <c r="B79" s="192" t="s">
        <v>172</v>
      </c>
      <c r="C79" s="192" t="s">
        <v>240</v>
      </c>
      <c r="D79" s="224">
        <f>'Normalized Therms'!$P$16*'12ME Jun18 Bill Freq'!N51</f>
        <v>7046882.5270000007</v>
      </c>
      <c r="E79" s="144">
        <v>0</v>
      </c>
      <c r="F79" s="768">
        <f>'[66]Exh. JAP-6 Pages 17-20'!D80</f>
        <v>-1.8900000000000028E-3</v>
      </c>
      <c r="G79" s="203">
        <f t="shared" si="4"/>
        <v>0</v>
      </c>
      <c r="H79" s="203">
        <f t="shared" si="5"/>
        <v>-13318.607976030022</v>
      </c>
    </row>
    <row r="80" spans="1:8" x14ac:dyDescent="0.25">
      <c r="B80" s="189"/>
      <c r="C80" s="189"/>
      <c r="D80" s="224"/>
      <c r="E80" s="227"/>
      <c r="F80" s="768"/>
      <c r="G80" s="203"/>
      <c r="H80" s="203"/>
    </row>
    <row r="81" spans="1:8" x14ac:dyDescent="0.25">
      <c r="A81" s="183" t="s">
        <v>232</v>
      </c>
      <c r="C81" s="189"/>
      <c r="D81" s="224"/>
      <c r="E81" s="227"/>
      <c r="F81" s="768"/>
      <c r="G81" s="203"/>
      <c r="H81" s="203"/>
    </row>
    <row r="82" spans="1:8" x14ac:dyDescent="0.25">
      <c r="A82" s="202"/>
      <c r="B82" s="189" t="s">
        <v>237</v>
      </c>
      <c r="C82" s="189" t="s">
        <v>238</v>
      </c>
      <c r="D82" s="224">
        <f>'12ME Jun18 Data'!N31</f>
        <v>31.999971930109631</v>
      </c>
      <c r="E82" s="205">
        <v>0</v>
      </c>
      <c r="F82" s="771">
        <f>'[66]Exh. JAP-6 Pages 17-20'!D85</f>
        <v>-6.6999999999999886</v>
      </c>
      <c r="G82" s="203">
        <f t="shared" si="4"/>
        <v>0</v>
      </c>
      <c r="H82" s="203">
        <f t="shared" si="5"/>
        <v>-214.39981193173415</v>
      </c>
    </row>
    <row r="83" spans="1:8" x14ac:dyDescent="0.25">
      <c r="A83" s="202"/>
      <c r="B83" s="202" t="s">
        <v>78</v>
      </c>
      <c r="C83" s="202" t="s">
        <v>204</v>
      </c>
      <c r="D83" s="224">
        <f>'12ME Jun18 Data'!N13</f>
        <v>9750</v>
      </c>
      <c r="E83" s="205">
        <v>0</v>
      </c>
      <c r="F83" s="771">
        <f>'[66]Exh. JAP-6 Pages 17-20'!D86</f>
        <v>-2.0000000000000018E-2</v>
      </c>
      <c r="G83" s="203">
        <f t="shared" si="4"/>
        <v>0</v>
      </c>
      <c r="H83" s="203">
        <f t="shared" si="5"/>
        <v>-195.00000000000017</v>
      </c>
    </row>
    <row r="84" spans="1:8" x14ac:dyDescent="0.25">
      <c r="A84" s="202"/>
      <c r="B84" s="202" t="s">
        <v>243</v>
      </c>
      <c r="C84" s="202"/>
      <c r="D84" s="224"/>
      <c r="E84" s="227"/>
      <c r="F84" s="768"/>
      <c r="G84" s="203"/>
      <c r="H84" s="203"/>
    </row>
    <row r="85" spans="1:8" x14ac:dyDescent="0.25">
      <c r="A85" s="202"/>
      <c r="B85" s="202"/>
      <c r="C85" s="202"/>
      <c r="D85" s="224"/>
      <c r="E85" s="227"/>
      <c r="F85" s="768"/>
      <c r="G85" s="203"/>
      <c r="H85" s="203"/>
    </row>
    <row r="86" spans="1:8" x14ac:dyDescent="0.25">
      <c r="A86" s="202"/>
      <c r="B86" s="202" t="s">
        <v>79</v>
      </c>
      <c r="C86" s="202"/>
      <c r="D86" s="224"/>
      <c r="E86" s="227"/>
      <c r="F86" s="768"/>
      <c r="G86" s="203"/>
      <c r="H86" s="203"/>
    </row>
    <row r="87" spans="1:8" x14ac:dyDescent="0.25">
      <c r="A87" s="202"/>
      <c r="B87" s="192" t="s">
        <v>94</v>
      </c>
      <c r="C87" s="192" t="s">
        <v>240</v>
      </c>
      <c r="D87" s="224">
        <f>'Normalized Therms'!$P$21*'12ME Jun18 Bill Freq'!N20</f>
        <v>23930.91</v>
      </c>
      <c r="E87" s="144">
        <v>0</v>
      </c>
      <c r="F87" s="768">
        <f>'[66]Exh. JAP-6 Pages 17-20'!D89</f>
        <v>-2.9099999999999959E-3</v>
      </c>
      <c r="G87" s="203">
        <f t="shared" si="4"/>
        <v>0</v>
      </c>
      <c r="H87" s="203">
        <f t="shared" si="5"/>
        <v>-69.638948099999908</v>
      </c>
    </row>
    <row r="88" spans="1:8" x14ac:dyDescent="0.25">
      <c r="A88" s="202"/>
      <c r="B88" s="192" t="s">
        <v>172</v>
      </c>
      <c r="C88" s="192" t="s">
        <v>240</v>
      </c>
      <c r="D88" s="224">
        <f>'Normalized Therms'!$P$21*'12ME Jun18 Bill Freq'!N21</f>
        <v>330705.78999999998</v>
      </c>
      <c r="E88" s="144">
        <v>0</v>
      </c>
      <c r="F88" s="768">
        <f>'[66]Exh. JAP-6 Pages 17-20'!D90</f>
        <v>-2.0600000000000063E-3</v>
      </c>
      <c r="G88" s="203">
        <f t="shared" si="4"/>
        <v>0</v>
      </c>
      <c r="H88" s="203">
        <f t="shared" si="5"/>
        <v>-681.253927400002</v>
      </c>
    </row>
    <row r="89" spans="1:8" x14ac:dyDescent="0.25">
      <c r="A89" s="202"/>
      <c r="B89" s="189"/>
      <c r="C89" s="189"/>
      <c r="D89" s="224"/>
      <c r="E89" s="227"/>
      <c r="F89" s="768"/>
      <c r="G89" s="203"/>
      <c r="H89" s="203"/>
    </row>
    <row r="90" spans="1:8" x14ac:dyDescent="0.25">
      <c r="A90" s="183" t="s">
        <v>233</v>
      </c>
      <c r="C90" s="189"/>
      <c r="D90" s="224"/>
      <c r="E90" s="227"/>
      <c r="F90" s="768"/>
      <c r="G90" s="203"/>
      <c r="H90" s="203"/>
    </row>
    <row r="91" spans="1:8" x14ac:dyDescent="0.25">
      <c r="B91" s="189" t="s">
        <v>237</v>
      </c>
      <c r="C91" s="189" t="s">
        <v>238</v>
      </c>
      <c r="D91" s="224">
        <f>'12ME Jun18 Data'!N32</f>
        <v>60.132496118726415</v>
      </c>
      <c r="E91" s="205">
        <v>0</v>
      </c>
      <c r="F91" s="771">
        <f>'[66]Exh. JAP-6 Pages 17-20'!D93</f>
        <v>-7.9800000000000182</v>
      </c>
      <c r="G91" s="203">
        <f t="shared" si="4"/>
        <v>0</v>
      </c>
      <c r="H91" s="203">
        <f t="shared" si="5"/>
        <v>-479.85731902743788</v>
      </c>
    </row>
    <row r="92" spans="1:8" x14ac:dyDescent="0.25">
      <c r="B92" s="202" t="s">
        <v>78</v>
      </c>
      <c r="C92" s="202" t="s">
        <v>204</v>
      </c>
      <c r="D92" s="224">
        <f>'12ME Jun18 Data'!N14</f>
        <v>0</v>
      </c>
      <c r="E92" s="205">
        <v>0</v>
      </c>
      <c r="F92" s="771">
        <f>'[66]Exh. JAP-6 Pages 17-20'!D94</f>
        <v>-1.9999999999999796E-2</v>
      </c>
      <c r="G92" s="203">
        <f t="shared" si="4"/>
        <v>0</v>
      </c>
      <c r="H92" s="203">
        <f t="shared" si="5"/>
        <v>0</v>
      </c>
    </row>
    <row r="93" spans="1:8" x14ac:dyDescent="0.25">
      <c r="B93" s="202" t="s">
        <v>87</v>
      </c>
      <c r="C93" s="202"/>
      <c r="D93" s="224">
        <f>'Normalized Therms'!P17</f>
        <v>23273158.627999999</v>
      </c>
      <c r="E93" s="144">
        <v>0</v>
      </c>
      <c r="F93" s="768">
        <f>'[66]Exh. JAP-6 Pages 17-20'!$D$104</f>
        <v>-8.9999999999999802E-5</v>
      </c>
      <c r="G93" s="203">
        <f t="shared" si="4"/>
        <v>0</v>
      </c>
      <c r="H93" s="203">
        <f t="shared" si="5"/>
        <v>-2094.5842765199955</v>
      </c>
    </row>
    <row r="94" spans="1:8" x14ac:dyDescent="0.25">
      <c r="B94" s="202"/>
      <c r="C94" s="202"/>
      <c r="D94" s="224"/>
      <c r="E94" s="227"/>
      <c r="F94" s="768"/>
      <c r="G94" s="203"/>
      <c r="H94" s="203"/>
    </row>
    <row r="95" spans="1:8" x14ac:dyDescent="0.25">
      <c r="B95" s="202" t="s">
        <v>79</v>
      </c>
      <c r="C95" s="202"/>
      <c r="D95" s="224"/>
      <c r="E95" s="227"/>
      <c r="F95" s="768"/>
      <c r="G95" s="203"/>
      <c r="H95" s="203"/>
    </row>
    <row r="96" spans="1:8" x14ac:dyDescent="0.25">
      <c r="B96" s="202" t="s">
        <v>226</v>
      </c>
      <c r="C96" s="202" t="s">
        <v>240</v>
      </c>
      <c r="D96" s="224">
        <f>'Normalized Therms'!$P$17*'12ME Jun18 Bill Freq'!N56</f>
        <v>1503311.6719999998</v>
      </c>
      <c r="E96" s="144">
        <v>0</v>
      </c>
      <c r="F96" s="768">
        <f>'[66]Exh. JAP-6 Pages 17-20'!D97</f>
        <v>-1.9899999999999918E-3</v>
      </c>
      <c r="G96" s="203">
        <f t="shared" si="4"/>
        <v>0</v>
      </c>
      <c r="H96" s="203">
        <f t="shared" si="5"/>
        <v>-2991.5902272799872</v>
      </c>
    </row>
    <row r="97" spans="1:8" x14ac:dyDescent="0.25">
      <c r="B97" s="202" t="s">
        <v>227</v>
      </c>
      <c r="C97" s="202" t="s">
        <v>240</v>
      </c>
      <c r="D97" s="224">
        <f>'Normalized Therms'!$P$17*'12ME Jun18 Bill Freq'!N57</f>
        <v>1455588.43</v>
      </c>
      <c r="E97" s="144">
        <v>0</v>
      </c>
      <c r="F97" s="768">
        <f>'[66]Exh. JAP-6 Pages 17-20'!D98</f>
        <v>-1.1999999999999927E-3</v>
      </c>
      <c r="G97" s="203">
        <f t="shared" si="4"/>
        <v>0</v>
      </c>
      <c r="H97" s="203">
        <f t="shared" si="5"/>
        <v>-1746.7061159999894</v>
      </c>
    </row>
    <row r="98" spans="1:8" x14ac:dyDescent="0.25">
      <c r="B98" s="202" t="s">
        <v>230</v>
      </c>
      <c r="C98" s="202" t="s">
        <v>240</v>
      </c>
      <c r="D98" s="224">
        <f>'Normalized Therms'!$P$17*'12ME Jun18 Bill Freq'!N58</f>
        <v>2640466.9439999997</v>
      </c>
      <c r="E98" s="144">
        <v>0</v>
      </c>
      <c r="F98" s="768">
        <f>'[66]Exh. JAP-6 Pages 17-20'!D99</f>
        <v>-7.6999999999999985E-4</v>
      </c>
      <c r="G98" s="203">
        <f t="shared" si="4"/>
        <v>0</v>
      </c>
      <c r="H98" s="203">
        <f t="shared" si="5"/>
        <v>-2033.1595468799994</v>
      </c>
    </row>
    <row r="99" spans="1:8" x14ac:dyDescent="0.25">
      <c r="B99" s="202" t="s">
        <v>100</v>
      </c>
      <c r="C99" s="202" t="s">
        <v>240</v>
      </c>
      <c r="D99" s="224">
        <f>'Normalized Therms'!$P$17*'12ME Jun18 Bill Freq'!N59</f>
        <v>3226287.8670000001</v>
      </c>
      <c r="E99" s="144">
        <v>0</v>
      </c>
      <c r="F99" s="768">
        <f>'[66]Exh. JAP-6 Pages 17-20'!D100</f>
        <v>-4.8999999999999738E-4</v>
      </c>
      <c r="G99" s="203">
        <f t="shared" si="4"/>
        <v>0</v>
      </c>
      <c r="H99" s="203">
        <f t="shared" si="5"/>
        <v>-1580.8810548299916</v>
      </c>
    </row>
    <row r="100" spans="1:8" x14ac:dyDescent="0.25">
      <c r="B100" s="202" t="s">
        <v>101</v>
      </c>
      <c r="C100" s="202" t="s">
        <v>240</v>
      </c>
      <c r="D100" s="224">
        <f>'Normalized Therms'!$P$17*'12ME Jun18 Bill Freq'!N60</f>
        <v>3759593.1549999998</v>
      </c>
      <c r="E100" s="144">
        <v>0</v>
      </c>
      <c r="F100" s="768">
        <f>'[66]Exh. JAP-6 Pages 17-20'!D101</f>
        <v>-3.4999999999999962E-4</v>
      </c>
      <c r="G100" s="203">
        <f t="shared" si="4"/>
        <v>0</v>
      </c>
      <c r="H100" s="203">
        <f t="shared" si="5"/>
        <v>-1315.8576042499985</v>
      </c>
    </row>
    <row r="101" spans="1:8" x14ac:dyDescent="0.25">
      <c r="B101" s="202" t="s">
        <v>174</v>
      </c>
      <c r="C101" s="202" t="s">
        <v>240</v>
      </c>
      <c r="D101" s="224">
        <f>'Normalized Therms'!$P$17*'12ME Jun18 Bill Freq'!N61</f>
        <v>10687910.560000001</v>
      </c>
      <c r="E101" s="144">
        <v>0</v>
      </c>
      <c r="F101" s="768">
        <f>'[66]Exh. JAP-6 Pages 17-20'!D102</f>
        <v>-2.6999999999999941E-4</v>
      </c>
      <c r="G101" s="203">
        <f t="shared" si="4"/>
        <v>0</v>
      </c>
      <c r="H101" s="203">
        <f t="shared" si="5"/>
        <v>-2885.7358511999937</v>
      </c>
    </row>
    <row r="102" spans="1:8" x14ac:dyDescent="0.25">
      <c r="B102" s="189"/>
      <c r="C102" s="189"/>
      <c r="D102" s="224"/>
      <c r="E102" s="227"/>
      <c r="F102" s="768"/>
      <c r="G102" s="203"/>
      <c r="H102" s="203"/>
    </row>
    <row r="103" spans="1:8" x14ac:dyDescent="0.25">
      <c r="A103" s="183" t="s">
        <v>234</v>
      </c>
      <c r="C103" s="189"/>
      <c r="D103" s="224"/>
      <c r="E103" s="227"/>
      <c r="F103" s="768"/>
      <c r="G103" s="203"/>
      <c r="H103" s="203"/>
    </row>
    <row r="104" spans="1:8" x14ac:dyDescent="0.25">
      <c r="A104" s="202"/>
      <c r="B104" s="189" t="s">
        <v>237</v>
      </c>
      <c r="C104" s="189" t="s">
        <v>238</v>
      </c>
      <c r="D104" s="224">
        <f>'12ME Jun18 Data'!N33</f>
        <v>112.76670855311828</v>
      </c>
      <c r="E104" s="205">
        <v>0</v>
      </c>
      <c r="F104" s="771">
        <f>'[66]Exh. JAP-6 Pages 17-20'!D107</f>
        <v>-12.150000000000091</v>
      </c>
      <c r="G104" s="203">
        <f t="shared" si="4"/>
        <v>0</v>
      </c>
      <c r="H104" s="203">
        <f t="shared" si="5"/>
        <v>-1370.1155089203974</v>
      </c>
    </row>
    <row r="105" spans="1:8" x14ac:dyDescent="0.25">
      <c r="A105" s="202"/>
      <c r="B105" s="202" t="s">
        <v>78</v>
      </c>
      <c r="C105" s="202" t="s">
        <v>204</v>
      </c>
      <c r="D105" s="224">
        <f>'12ME Jun18 Data'!N15</f>
        <v>287412</v>
      </c>
      <c r="E105" s="205">
        <v>0</v>
      </c>
      <c r="F105" s="771">
        <f>'[66]Exh. JAP-6 Pages 17-20'!D108</f>
        <v>-1.9999999999999796E-2</v>
      </c>
      <c r="G105" s="203">
        <f t="shared" si="4"/>
        <v>0</v>
      </c>
      <c r="H105" s="203">
        <f t="shared" si="5"/>
        <v>-5748.2399999999416</v>
      </c>
    </row>
    <row r="106" spans="1:8" x14ac:dyDescent="0.25">
      <c r="A106" s="202"/>
      <c r="B106" s="202" t="s">
        <v>243</v>
      </c>
      <c r="C106" s="202"/>
      <c r="D106" s="224"/>
      <c r="E106" s="227"/>
      <c r="F106" s="768"/>
      <c r="G106" s="203"/>
      <c r="H106" s="203"/>
    </row>
    <row r="107" spans="1:8" x14ac:dyDescent="0.25">
      <c r="A107" s="202"/>
      <c r="B107" s="192"/>
      <c r="C107" s="202"/>
      <c r="D107" s="224"/>
      <c r="E107" s="227"/>
      <c r="F107" s="768"/>
      <c r="G107" s="203"/>
      <c r="H107" s="203"/>
    </row>
    <row r="108" spans="1:8" x14ac:dyDescent="0.25">
      <c r="A108" s="202"/>
      <c r="B108" s="202" t="s">
        <v>79</v>
      </c>
      <c r="C108" s="202"/>
      <c r="D108" s="224"/>
      <c r="E108" s="227"/>
      <c r="F108" s="768"/>
      <c r="G108" s="203"/>
      <c r="H108" s="203"/>
    </row>
    <row r="109" spans="1:8" x14ac:dyDescent="0.25">
      <c r="A109" s="202"/>
      <c r="B109" s="202" t="s">
        <v>226</v>
      </c>
      <c r="C109" s="202" t="s">
        <v>240</v>
      </c>
      <c r="D109" s="224">
        <f>'Normalized Therms'!$P$22*'12ME Jun18 Bill Freq'!N26</f>
        <v>3000000</v>
      </c>
      <c r="E109" s="144">
        <v>0</v>
      </c>
      <c r="F109" s="768">
        <f>'[66]Exh. JAP-6 Pages 17-20'!D111</f>
        <v>-1.8900000000000028E-3</v>
      </c>
      <c r="G109" s="203">
        <f t="shared" si="4"/>
        <v>0</v>
      </c>
      <c r="H109" s="203">
        <f t="shared" si="5"/>
        <v>-5670.0000000000082</v>
      </c>
    </row>
    <row r="110" spans="1:8" x14ac:dyDescent="0.25">
      <c r="A110" s="202"/>
      <c r="B110" s="202" t="s">
        <v>227</v>
      </c>
      <c r="C110" s="202" t="s">
        <v>240</v>
      </c>
      <c r="D110" s="224">
        <f>'Normalized Therms'!$P$22*'12ME Jun18 Bill Freq'!N27</f>
        <v>3000000</v>
      </c>
      <c r="E110" s="144">
        <v>0</v>
      </c>
      <c r="F110" s="768">
        <f>'[66]Exh. JAP-6 Pages 17-20'!D112</f>
        <v>-1.1400000000000021E-3</v>
      </c>
      <c r="G110" s="203">
        <f t="shared" si="4"/>
        <v>0</v>
      </c>
      <c r="H110" s="203">
        <f t="shared" si="5"/>
        <v>-3420.0000000000064</v>
      </c>
    </row>
    <row r="111" spans="1:8" x14ac:dyDescent="0.25">
      <c r="A111" s="202"/>
      <c r="B111" s="202" t="s">
        <v>230</v>
      </c>
      <c r="C111" s="202" t="s">
        <v>240</v>
      </c>
      <c r="D111" s="224">
        <f>'Normalized Therms'!$P$22*'12ME Jun18 Bill Freq'!N28</f>
        <v>6000000</v>
      </c>
      <c r="E111" s="144">
        <v>0</v>
      </c>
      <c r="F111" s="768">
        <f>'[66]Exh. JAP-6 Pages 17-20'!D113</f>
        <v>-7.3000000000000148E-4</v>
      </c>
      <c r="G111" s="203">
        <f t="shared" si="4"/>
        <v>0</v>
      </c>
      <c r="H111" s="203">
        <f t="shared" si="5"/>
        <v>-4380.0000000000091</v>
      </c>
    </row>
    <row r="112" spans="1:8" x14ac:dyDescent="0.25">
      <c r="A112" s="202"/>
      <c r="B112" s="202" t="s">
        <v>100</v>
      </c>
      <c r="C112" s="202" t="s">
        <v>240</v>
      </c>
      <c r="D112" s="224">
        <f>'Normalized Therms'!$P$22*'12ME Jun18 Bill Freq'!N29</f>
        <v>11777991.879999999</v>
      </c>
      <c r="E112" s="144">
        <v>0</v>
      </c>
      <c r="F112" s="768">
        <f>'[66]Exh. JAP-6 Pages 17-20'!D114</f>
        <v>-4.699999999999982E-4</v>
      </c>
      <c r="G112" s="203">
        <f t="shared" si="4"/>
        <v>0</v>
      </c>
      <c r="H112" s="203">
        <f t="shared" si="5"/>
        <v>-5535.6561835999782</v>
      </c>
    </row>
    <row r="113" spans="1:8" x14ac:dyDescent="0.25">
      <c r="A113" s="202"/>
      <c r="B113" s="202" t="s">
        <v>101</v>
      </c>
      <c r="C113" s="202" t="s">
        <v>240</v>
      </c>
      <c r="D113" s="224">
        <f>'Normalized Therms'!$P$22*'12ME Jun18 Bill Freq'!N30</f>
        <v>26253593.519999996</v>
      </c>
      <c r="E113" s="144">
        <v>0</v>
      </c>
      <c r="F113" s="768">
        <f>'[66]Exh. JAP-6 Pages 17-20'!D115</f>
        <v>-3.4000000000000002E-4</v>
      </c>
      <c r="G113" s="203">
        <f t="shared" si="4"/>
        <v>0</v>
      </c>
      <c r="H113" s="203">
        <f t="shared" si="5"/>
        <v>-8926.2217967999986</v>
      </c>
    </row>
    <row r="114" spans="1:8" x14ac:dyDescent="0.25">
      <c r="A114" s="202"/>
      <c r="B114" s="202" t="s">
        <v>174</v>
      </c>
      <c r="C114" s="202" t="s">
        <v>240</v>
      </c>
      <c r="D114" s="224">
        <f>'Normalized Therms'!$P$22*'12ME Jun18 Bill Freq'!N31</f>
        <v>53852735.850000001</v>
      </c>
      <c r="E114" s="144">
        <v>0</v>
      </c>
      <c r="F114" s="768">
        <f>'[66]Exh. JAP-6 Pages 17-20'!D116</f>
        <v>-2.5999999999999981E-4</v>
      </c>
      <c r="G114" s="203">
        <f t="shared" si="4"/>
        <v>0</v>
      </c>
      <c r="H114" s="203">
        <f t="shared" si="5"/>
        <v>-14001.71132099999</v>
      </c>
    </row>
    <row r="115" spans="1:8" x14ac:dyDescent="0.25">
      <c r="A115" s="202"/>
      <c r="B115" s="202"/>
      <c r="C115" s="189"/>
      <c r="D115" s="224"/>
      <c r="E115" s="227"/>
      <c r="F115" s="768"/>
      <c r="G115" s="203"/>
      <c r="H115" s="203"/>
    </row>
    <row r="116" spans="1:8" x14ac:dyDescent="0.25">
      <c r="A116" s="183" t="s">
        <v>120</v>
      </c>
      <c r="B116" s="202"/>
      <c r="C116" s="202"/>
      <c r="D116" s="224"/>
      <c r="E116" s="227"/>
      <c r="F116" s="768"/>
      <c r="G116" s="203"/>
      <c r="H116" s="203"/>
    </row>
    <row r="117" spans="1:8" x14ac:dyDescent="0.25">
      <c r="B117" s="180" t="s">
        <v>121</v>
      </c>
      <c r="C117" s="180" t="s">
        <v>122</v>
      </c>
      <c r="D117" s="224">
        <f>'12ME Jun18 Rentals'!O4</f>
        <v>12480.465045003857</v>
      </c>
      <c r="E117" s="205">
        <v>0</v>
      </c>
      <c r="F117" s="771">
        <f>'[66]Exh. JAP-6 Pages 17-20'!D119</f>
        <v>-0.10000000000000053</v>
      </c>
      <c r="G117" s="203">
        <f t="shared" si="4"/>
        <v>0</v>
      </c>
      <c r="H117" s="203">
        <f t="shared" si="5"/>
        <v>-1248.0465045003923</v>
      </c>
    </row>
    <row r="118" spans="1:8" x14ac:dyDescent="0.25">
      <c r="B118" s="180" t="s">
        <v>123</v>
      </c>
      <c r="C118" s="180" t="s">
        <v>124</v>
      </c>
      <c r="D118" s="224">
        <f>'12ME Jun18 Rentals'!O5</f>
        <v>193906.38286551557</v>
      </c>
      <c r="E118" s="205">
        <v>0</v>
      </c>
      <c r="F118" s="771">
        <f>'[66]Exh. JAP-6 Pages 17-20'!D120</f>
        <v>-0.16999999999999993</v>
      </c>
      <c r="G118" s="203">
        <f t="shared" si="4"/>
        <v>0</v>
      </c>
      <c r="H118" s="203">
        <f t="shared" si="5"/>
        <v>-32964.085087137631</v>
      </c>
    </row>
    <row r="119" spans="1:8" x14ac:dyDescent="0.25">
      <c r="B119" s="180" t="s">
        <v>125</v>
      </c>
      <c r="C119" s="180" t="s">
        <v>126</v>
      </c>
      <c r="D119" s="224">
        <f>'12ME Jun18 Rentals'!O6</f>
        <v>36640.184380349841</v>
      </c>
      <c r="E119" s="205">
        <v>0</v>
      </c>
      <c r="F119" s="771">
        <f>'[66]Exh. JAP-6 Pages 17-20'!D121</f>
        <v>-0.22999999999999687</v>
      </c>
      <c r="G119" s="203">
        <f t="shared" si="4"/>
        <v>0</v>
      </c>
      <c r="H119" s="203">
        <f t="shared" si="5"/>
        <v>-8427.2424074803494</v>
      </c>
    </row>
    <row r="120" spans="1:8" x14ac:dyDescent="0.25">
      <c r="B120" s="180" t="s">
        <v>127</v>
      </c>
      <c r="C120" s="180" t="s">
        <v>128</v>
      </c>
      <c r="D120" s="224">
        <f>'12ME Jun18 Rentals'!O7</f>
        <v>8166.0570112435507</v>
      </c>
      <c r="E120" s="205">
        <v>0</v>
      </c>
      <c r="F120" s="771">
        <f>'[66]Exh. JAP-6 Pages 17-20'!D122</f>
        <v>-0.23000000000000043</v>
      </c>
      <c r="G120" s="203">
        <f t="shared" si="4"/>
        <v>0</v>
      </c>
      <c r="H120" s="203">
        <f t="shared" si="5"/>
        <v>-1878.1931125860201</v>
      </c>
    </row>
    <row r="121" spans="1:8" x14ac:dyDescent="0.25">
      <c r="B121" s="180" t="s">
        <v>129</v>
      </c>
      <c r="C121" s="180" t="s">
        <v>130</v>
      </c>
      <c r="D121" s="224">
        <f>'12ME Jun18 Rentals'!O8</f>
        <v>40969.207236776536</v>
      </c>
      <c r="E121" s="205">
        <v>0</v>
      </c>
      <c r="F121" s="771">
        <f>'[66]Exh. JAP-6 Pages 17-20'!D123</f>
        <v>-8.0000000000000071E-2</v>
      </c>
      <c r="G121" s="203">
        <f t="shared" si="4"/>
        <v>0</v>
      </c>
      <c r="H121" s="203">
        <f t="shared" si="5"/>
        <v>-3277.5365789421257</v>
      </c>
    </row>
    <row r="122" spans="1:8" x14ac:dyDescent="0.25">
      <c r="B122" s="180" t="s">
        <v>131</v>
      </c>
      <c r="C122" s="180" t="s">
        <v>132</v>
      </c>
      <c r="D122" s="224">
        <f>'12ME Jun18 Rentals'!O9</f>
        <v>2378.5021946803395</v>
      </c>
      <c r="E122" s="205">
        <v>0</v>
      </c>
      <c r="F122" s="771">
        <f>'[66]Exh. JAP-6 Pages 17-20'!D124</f>
        <v>-0.14000000000000057</v>
      </c>
      <c r="G122" s="203">
        <f t="shared" si="4"/>
        <v>0</v>
      </c>
      <c r="H122" s="203">
        <f t="shared" si="5"/>
        <v>-332.99030725524887</v>
      </c>
    </row>
    <row r="123" spans="1:8" x14ac:dyDescent="0.25">
      <c r="B123" s="180"/>
      <c r="C123" s="202"/>
      <c r="D123" s="224"/>
      <c r="E123" s="227"/>
      <c r="F123" s="768"/>
      <c r="G123" s="203"/>
      <c r="H123" s="203"/>
    </row>
    <row r="124" spans="1:8" x14ac:dyDescent="0.25">
      <c r="A124" s="183" t="s">
        <v>134</v>
      </c>
      <c r="B124" s="180"/>
      <c r="C124" s="202"/>
      <c r="D124" s="224"/>
      <c r="E124" s="227"/>
      <c r="F124" s="768"/>
      <c r="G124" s="203"/>
      <c r="H124" s="203"/>
    </row>
    <row r="125" spans="1:8" x14ac:dyDescent="0.25">
      <c r="B125" s="180" t="s">
        <v>135</v>
      </c>
      <c r="C125" s="180" t="s">
        <v>136</v>
      </c>
      <c r="D125" s="224">
        <f>'12ME Jun18 Rentals'!O13</f>
        <v>1385.380082485219</v>
      </c>
      <c r="E125" s="205">
        <v>0</v>
      </c>
      <c r="F125" s="771">
        <f>'[66]Exh. JAP-6 Pages 17-20'!D127</f>
        <v>-0.20000000000000107</v>
      </c>
      <c r="G125" s="203">
        <f t="shared" si="4"/>
        <v>0</v>
      </c>
      <c r="H125" s="203">
        <f t="shared" si="5"/>
        <v>-277.07601649704526</v>
      </c>
    </row>
    <row r="126" spans="1:8" x14ac:dyDescent="0.25">
      <c r="B126" s="180" t="s">
        <v>137</v>
      </c>
      <c r="C126" s="180" t="s">
        <v>138</v>
      </c>
      <c r="D126" s="224">
        <f>'12ME Jun18 Rentals'!O14</f>
        <v>1037.5582075779919</v>
      </c>
      <c r="E126" s="205">
        <v>0</v>
      </c>
      <c r="F126" s="771">
        <f>'[66]Exh. JAP-6 Pages 17-20'!D128</f>
        <v>-0.27000000000000313</v>
      </c>
      <c r="G126" s="203">
        <f t="shared" si="4"/>
        <v>0</v>
      </c>
      <c r="H126" s="203">
        <f t="shared" si="5"/>
        <v>-280.14071604606107</v>
      </c>
    </row>
    <row r="127" spans="1:8" x14ac:dyDescent="0.25">
      <c r="B127" s="180" t="s">
        <v>139</v>
      </c>
      <c r="C127" s="180" t="s">
        <v>140</v>
      </c>
      <c r="D127" s="224">
        <f>'12ME Jun18 Rentals'!O15</f>
        <v>2771.9403299097144</v>
      </c>
      <c r="E127" s="205">
        <v>0</v>
      </c>
      <c r="F127" s="771">
        <f>'[66]Exh. JAP-6 Pages 17-20'!D129</f>
        <v>-0.27000000000000313</v>
      </c>
      <c r="G127" s="203">
        <f t="shared" si="4"/>
        <v>0</v>
      </c>
      <c r="H127" s="203">
        <f t="shared" si="5"/>
        <v>-748.42388907563156</v>
      </c>
    </row>
    <row r="128" spans="1:8" x14ac:dyDescent="0.25">
      <c r="B128" s="180" t="s">
        <v>141</v>
      </c>
      <c r="C128" s="180" t="s">
        <v>142</v>
      </c>
      <c r="D128" s="224">
        <f>'12ME Jun18 Rentals'!O16</f>
        <v>156.42359935012365</v>
      </c>
      <c r="E128" s="205">
        <v>0</v>
      </c>
      <c r="F128" s="771">
        <f>'[66]Exh. JAP-6 Pages 17-20'!D130</f>
        <v>-0.41999999999999815</v>
      </c>
      <c r="G128" s="203">
        <f t="shared" si="4"/>
        <v>0</v>
      </c>
      <c r="H128" s="203">
        <f t="shared" si="5"/>
        <v>-65.697911727051647</v>
      </c>
    </row>
    <row r="129" spans="1:8" x14ac:dyDescent="0.25">
      <c r="B129" s="180" t="s">
        <v>143</v>
      </c>
      <c r="C129" s="180" t="s">
        <v>144</v>
      </c>
      <c r="D129" s="224">
        <f>'12ME Jun18 Rentals'!O17</f>
        <v>6653.0909836922901</v>
      </c>
      <c r="E129" s="205">
        <v>0</v>
      </c>
      <c r="F129" s="771">
        <f>'[66]Exh. JAP-6 Pages 17-20'!D131</f>
        <v>-0.54999999999999716</v>
      </c>
      <c r="G129" s="203">
        <f t="shared" si="4"/>
        <v>0</v>
      </c>
      <c r="H129" s="203">
        <f t="shared" si="5"/>
        <v>-3659.2000410307405</v>
      </c>
    </row>
    <row r="130" spans="1:8" x14ac:dyDescent="0.25">
      <c r="B130" s="180" t="s">
        <v>145</v>
      </c>
      <c r="C130" s="180" t="s">
        <v>146</v>
      </c>
      <c r="D130" s="224">
        <f>'12ME Jun18 Rentals'!O18</f>
        <v>4493.0155629840601</v>
      </c>
      <c r="E130" s="205">
        <v>0</v>
      </c>
      <c r="F130" s="771">
        <f>'[66]Exh. JAP-6 Pages 17-20'!D132</f>
        <v>-0.74000000000000199</v>
      </c>
      <c r="G130" s="203">
        <f t="shared" si="4"/>
        <v>0</v>
      </c>
      <c r="H130" s="203">
        <f t="shared" si="5"/>
        <v>-3324.8315166082134</v>
      </c>
    </row>
    <row r="131" spans="1:8" x14ac:dyDescent="0.25">
      <c r="B131" s="180" t="s">
        <v>147</v>
      </c>
      <c r="C131" s="180" t="s">
        <v>148</v>
      </c>
      <c r="D131" s="224">
        <f>'12ME Jun18 Rentals'!O19</f>
        <v>12979.72487632374</v>
      </c>
      <c r="E131" s="205">
        <v>0</v>
      </c>
      <c r="F131" s="771">
        <f>'[66]Exh. JAP-6 Pages 17-20'!D133</f>
        <v>-0.86000000000000654</v>
      </c>
      <c r="G131" s="203">
        <f t="shared" si="4"/>
        <v>0</v>
      </c>
      <c r="H131" s="203">
        <f t="shared" si="5"/>
        <v>-11162.563393638502</v>
      </c>
    </row>
    <row r="132" spans="1:8" x14ac:dyDescent="0.25">
      <c r="A132" s="189"/>
      <c r="B132" s="202"/>
      <c r="C132" s="202"/>
      <c r="D132" s="224"/>
      <c r="E132" s="227"/>
      <c r="F132" s="768"/>
      <c r="G132" s="203"/>
      <c r="H132" s="203"/>
    </row>
    <row r="133" spans="1:8" x14ac:dyDescent="0.25">
      <c r="A133" s="183" t="s">
        <v>150</v>
      </c>
      <c r="B133" s="202"/>
      <c r="C133" s="202"/>
      <c r="D133" s="224"/>
      <c r="E133" s="227"/>
      <c r="F133" s="768"/>
      <c r="G133" s="203"/>
      <c r="H133" s="203"/>
    </row>
    <row r="134" spans="1:8" x14ac:dyDescent="0.25">
      <c r="B134" s="180" t="s">
        <v>151</v>
      </c>
      <c r="C134" s="180" t="s">
        <v>152</v>
      </c>
      <c r="D134" s="224">
        <f>'12ME Jun18 Rentals'!O23</f>
        <v>11826.912573528694</v>
      </c>
      <c r="E134" s="205">
        <v>0</v>
      </c>
      <c r="F134" s="771">
        <f>'[66]Exh. JAP-6 Pages 17-20'!D136</f>
        <v>-0.14000000000000057</v>
      </c>
      <c r="G134" s="203">
        <f t="shared" si="4"/>
        <v>0</v>
      </c>
      <c r="H134" s="203">
        <f t="shared" si="5"/>
        <v>-1655.7677602940239</v>
      </c>
    </row>
    <row r="135" spans="1:8" x14ac:dyDescent="0.25">
      <c r="B135" s="180" t="s">
        <v>153</v>
      </c>
      <c r="C135" s="180" t="s">
        <v>154</v>
      </c>
      <c r="D135" s="224">
        <f>'12ME Jun18 Rentals'!O24</f>
        <v>845.66294824016904</v>
      </c>
      <c r="E135" s="205">
        <v>0</v>
      </c>
      <c r="F135" s="771">
        <f>'[66]Exh. JAP-6 Pages 17-20'!D137</f>
        <v>-0.38000000000000256</v>
      </c>
      <c r="G135" s="203">
        <f t="shared" si="4"/>
        <v>0</v>
      </c>
      <c r="H135" s="203">
        <f t="shared" si="5"/>
        <v>-321.3519203312664</v>
      </c>
    </row>
    <row r="136" spans="1:8" x14ac:dyDescent="0.25">
      <c r="B136" s="180" t="s">
        <v>155</v>
      </c>
      <c r="C136" s="180" t="s">
        <v>156</v>
      </c>
      <c r="D136" s="224">
        <f>'12ME Jun18 Rentals'!O25</f>
        <v>535.50948516824371</v>
      </c>
      <c r="E136" s="205">
        <v>0</v>
      </c>
      <c r="F136" s="771">
        <f>'[66]Exh. JAP-6 Pages 17-20'!D138</f>
        <v>-0.50999999999999801</v>
      </c>
      <c r="G136" s="203">
        <f t="shared" si="4"/>
        <v>0</v>
      </c>
      <c r="H136" s="203">
        <f t="shared" si="5"/>
        <v>-273.10983743580323</v>
      </c>
    </row>
    <row r="137" spans="1:8" x14ac:dyDescent="0.25">
      <c r="B137" s="180" t="s">
        <v>157</v>
      </c>
      <c r="C137" s="180" t="s">
        <v>158</v>
      </c>
      <c r="D137" s="224">
        <f>'12ME Jun18 Rentals'!O26</f>
        <v>19512.390986324594</v>
      </c>
      <c r="E137" s="205">
        <v>0</v>
      </c>
      <c r="F137" s="771">
        <f>'[66]Exh. JAP-6 Pages 17-20'!D139</f>
        <v>-0.20999999999999908</v>
      </c>
      <c r="G137" s="203">
        <f t="shared" si="4"/>
        <v>0</v>
      </c>
      <c r="H137" s="203">
        <f t="shared" si="5"/>
        <v>-4097.6021071281466</v>
      </c>
    </row>
    <row r="138" spans="1:8" x14ac:dyDescent="0.25">
      <c r="B138" s="202"/>
      <c r="C138" s="202"/>
      <c r="D138" s="225"/>
      <c r="F138" s="13"/>
    </row>
    <row r="139" spans="1:8" x14ac:dyDescent="0.25">
      <c r="A139" s="162" t="s">
        <v>13</v>
      </c>
      <c r="B139" s="192"/>
      <c r="C139" s="192" t="s">
        <v>240</v>
      </c>
      <c r="D139" s="226">
        <f>'Normalized Therms'!P23</f>
        <v>37275691.68</v>
      </c>
      <c r="E139" s="205"/>
      <c r="G139" s="763">
        <v>0</v>
      </c>
      <c r="H139" s="766">
        <f>'[66]Exh. JAP-6 Page 11'!$L$24</f>
        <v>-11662.625379653648</v>
      </c>
    </row>
    <row r="141" spans="1:8" x14ac:dyDescent="0.25">
      <c r="B141" s="228" t="s">
        <v>244</v>
      </c>
      <c r="C141" s="202"/>
      <c r="D141" s="202"/>
    </row>
    <row r="142" spans="1:8" x14ac:dyDescent="0.25">
      <c r="B142" s="201" t="s">
        <v>246</v>
      </c>
      <c r="C142" s="201" t="s">
        <v>245</v>
      </c>
      <c r="D142" s="204">
        <f>SUM(D10,D14,D21,D26,D37:D39,D49:D51,D56,D68:D70,D75,D87:D88,D93,D109:D114,D139)-('Normalized Therms'!P24-'Normalized Therms'!P11)</f>
        <v>0</v>
      </c>
    </row>
    <row r="143" spans="1:8" x14ac:dyDescent="0.25">
      <c r="B143" s="201" t="s">
        <v>204</v>
      </c>
      <c r="D143" s="204">
        <f>SUM(D34,D46,D55,D65,D74,D83,D92,D105)-SUM('12ME Jun18 Data'!N8:N15)</f>
        <v>0</v>
      </c>
    </row>
    <row r="144" spans="1:8" x14ac:dyDescent="0.25">
      <c r="B144" s="201" t="s">
        <v>237</v>
      </c>
      <c r="D144" s="204">
        <f>SUM(D9,D13,D20,D25,D32,D44,D54,D64,D73,D82,D91,D104)-SUM('12ME Jun18 Data'!N22:N33)</f>
        <v>0</v>
      </c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0" fitToHeight="4" orientation="landscape" blackAndWhite="1" horizontalDpi="300" verticalDpi="300" r:id="rId1"/>
  <headerFooter>
    <oddFooter>&amp;L&amp;F 
&amp;A&amp;C&amp;P&amp;R&amp;D</oddFooter>
  </headerFooter>
  <rowBreaks count="4" manualBreakCount="4">
    <brk id="30" max="7" man="1"/>
    <brk id="62" max="7" man="1"/>
    <brk id="89" max="7" man="1"/>
    <brk id="123" max="7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E29" sqref="E29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4" width="16.85546875" bestFit="1" customWidth="1"/>
    <col min="5" max="5" width="16.85546875" customWidth="1"/>
    <col min="6" max="6" width="20.42578125" customWidth="1"/>
    <col min="7" max="7" width="15.140625" customWidth="1"/>
    <col min="8" max="8" width="7.85546875" bestFit="1" customWidth="1"/>
  </cols>
  <sheetData>
    <row r="1" spans="1:9" s="82" customFormat="1" ht="15" customHeight="1" x14ac:dyDescent="0.2">
      <c r="A1" s="783" t="s">
        <v>0</v>
      </c>
      <c r="B1" s="783"/>
      <c r="C1" s="783"/>
      <c r="D1" s="783"/>
      <c r="E1" s="783"/>
      <c r="F1" s="783"/>
      <c r="G1" s="783"/>
      <c r="H1" s="783"/>
      <c r="I1" s="81"/>
    </row>
    <row r="2" spans="1:9" s="82" customFormat="1" ht="15" customHeight="1" x14ac:dyDescent="0.2">
      <c r="A2" s="783" t="s">
        <v>425</v>
      </c>
      <c r="B2" s="783"/>
      <c r="C2" s="783"/>
      <c r="D2" s="783"/>
      <c r="E2" s="783"/>
      <c r="F2" s="783"/>
      <c r="G2" s="783"/>
      <c r="H2" s="783"/>
      <c r="I2" s="81"/>
    </row>
    <row r="3" spans="1:9" s="82" customFormat="1" ht="15" customHeight="1" x14ac:dyDescent="0.2">
      <c r="A3" s="783" t="s">
        <v>458</v>
      </c>
      <c r="B3" s="783"/>
      <c r="C3" s="783"/>
      <c r="D3" s="783"/>
      <c r="E3" s="783"/>
      <c r="F3" s="783"/>
      <c r="G3" s="783"/>
      <c r="H3" s="783"/>
      <c r="I3" s="81"/>
    </row>
    <row r="4" spans="1:9" x14ac:dyDescent="0.25">
      <c r="D4" s="4"/>
      <c r="E4" s="4"/>
    </row>
    <row r="5" spans="1:9" x14ac:dyDescent="0.25">
      <c r="A5" s="5"/>
      <c r="B5" s="5"/>
      <c r="C5" s="5" t="s">
        <v>15</v>
      </c>
      <c r="D5" s="5" t="s">
        <v>211</v>
      </c>
      <c r="E5" s="5" t="s">
        <v>1</v>
      </c>
      <c r="F5" s="5"/>
      <c r="G5" s="5" t="s">
        <v>110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110</v>
      </c>
      <c r="E6" s="5" t="s">
        <v>110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09" t="str">
        <f>'Exh. JAP-8 Page 1'!D8</f>
        <v>Jul 17 - Jun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94">
        <f>SUM('Normalized Therms'!P10,'Normalized Therms'!P12)</f>
        <v>603105848.20999992</v>
      </c>
      <c r="D8" s="10">
        <v>1.1209999999999999E-2</v>
      </c>
      <c r="E8" s="10">
        <v>1.1209999999999999E-2</v>
      </c>
      <c r="F8" s="171">
        <f>C8*D8</f>
        <v>6760816.558434099</v>
      </c>
      <c r="G8" s="12">
        <f>(E8-D8)*C8</f>
        <v>0</v>
      </c>
      <c r="H8" s="2">
        <f>G8/F8</f>
        <v>0</v>
      </c>
    </row>
    <row r="9" spans="1:9" x14ac:dyDescent="0.25">
      <c r="A9" t="s">
        <v>31</v>
      </c>
      <c r="B9" s="8">
        <v>16</v>
      </c>
      <c r="C9" s="194">
        <f>'Normalized Therms'!P11</f>
        <v>9592.0450000000001</v>
      </c>
      <c r="D9" s="10">
        <v>1.1209999999999999E-2</v>
      </c>
      <c r="E9" s="10">
        <v>1.1209999999999999E-2</v>
      </c>
      <c r="F9" s="171">
        <f t="shared" ref="F9:F20" si="0">C9*D9</f>
        <v>107.52682444999999</v>
      </c>
      <c r="G9" s="12">
        <f t="shared" ref="G9:G20" si="1">(E9-D9)*C9</f>
        <v>0</v>
      </c>
      <c r="H9" s="2">
        <f t="shared" ref="H9:H21" si="2">G9/F9</f>
        <v>0</v>
      </c>
    </row>
    <row r="10" spans="1:9" x14ac:dyDescent="0.25">
      <c r="A10" t="s">
        <v>8</v>
      </c>
      <c r="B10" s="8">
        <v>31</v>
      </c>
      <c r="C10" s="194">
        <f>'Normalized Therms'!P13</f>
        <v>228604732.46999997</v>
      </c>
      <c r="D10" s="10">
        <v>1.0880000000000001E-2</v>
      </c>
      <c r="E10" s="10">
        <v>1.0880000000000001E-2</v>
      </c>
      <c r="F10" s="171">
        <f t="shared" si="0"/>
        <v>2487219.4892735998</v>
      </c>
      <c r="G10" s="12">
        <f t="shared" si="1"/>
        <v>0</v>
      </c>
      <c r="H10" s="2">
        <f t="shared" si="2"/>
        <v>0</v>
      </c>
    </row>
    <row r="11" spans="1:9" x14ac:dyDescent="0.25">
      <c r="A11" t="s">
        <v>9</v>
      </c>
      <c r="B11" s="8">
        <v>41</v>
      </c>
      <c r="C11" s="194">
        <f>'Normalized Therms'!P14</f>
        <v>63966868.016999997</v>
      </c>
      <c r="D11" s="10">
        <v>6.2199999999999998E-3</v>
      </c>
      <c r="E11" s="10">
        <v>6.2199999999999998E-3</v>
      </c>
      <c r="F11" s="171">
        <f t="shared" si="0"/>
        <v>397873.91906573996</v>
      </c>
      <c r="G11" s="12">
        <f t="shared" si="1"/>
        <v>0</v>
      </c>
      <c r="H11" s="2">
        <f t="shared" si="2"/>
        <v>0</v>
      </c>
    </row>
    <row r="12" spans="1:9" x14ac:dyDescent="0.25">
      <c r="A12" t="s">
        <v>10</v>
      </c>
      <c r="B12" s="8">
        <v>85</v>
      </c>
      <c r="C12" s="194">
        <f>'Normalized Therms'!P15</f>
        <v>16307789.425999999</v>
      </c>
      <c r="D12" s="10">
        <v>3.31E-3</v>
      </c>
      <c r="E12" s="10">
        <v>3.31E-3</v>
      </c>
      <c r="F12" s="171">
        <f t="shared" si="0"/>
        <v>53978.783000059993</v>
      </c>
      <c r="G12" s="12">
        <f t="shared" si="1"/>
        <v>0</v>
      </c>
      <c r="H12" s="2">
        <f t="shared" si="2"/>
        <v>0</v>
      </c>
    </row>
    <row r="13" spans="1:9" x14ac:dyDescent="0.25">
      <c r="A13" t="s">
        <v>11</v>
      </c>
      <c r="B13" s="8">
        <v>86</v>
      </c>
      <c r="C13" s="194">
        <f>'Normalized Therms'!P16</f>
        <v>9107268.5420000013</v>
      </c>
      <c r="D13" s="10">
        <v>4.15E-3</v>
      </c>
      <c r="E13" s="10">
        <v>4.15E-3</v>
      </c>
      <c r="F13" s="171">
        <f t="shared" si="0"/>
        <v>37795.164449300006</v>
      </c>
      <c r="G13" s="12">
        <f t="shared" si="1"/>
        <v>0</v>
      </c>
      <c r="H13" s="2">
        <f t="shared" si="2"/>
        <v>0</v>
      </c>
    </row>
    <row r="14" spans="1:9" x14ac:dyDescent="0.25">
      <c r="A14" t="s">
        <v>12</v>
      </c>
      <c r="B14" s="8">
        <v>87</v>
      </c>
      <c r="C14" s="194">
        <f>'Normalized Therms'!P17</f>
        <v>23273158.627999999</v>
      </c>
      <c r="D14" s="10">
        <v>2.0200000000000001E-3</v>
      </c>
      <c r="E14" s="10">
        <v>2.0200000000000001E-3</v>
      </c>
      <c r="F14" s="171">
        <f t="shared" si="0"/>
        <v>47011.78042856</v>
      </c>
      <c r="G14" s="12">
        <f t="shared" si="1"/>
        <v>0</v>
      </c>
      <c r="H14" s="2">
        <f t="shared" si="2"/>
        <v>0</v>
      </c>
    </row>
    <row r="15" spans="1:9" x14ac:dyDescent="0.25">
      <c r="A15" t="s">
        <v>32</v>
      </c>
      <c r="B15" s="8" t="s">
        <v>33</v>
      </c>
      <c r="C15" s="194">
        <f>'Normalized Therms'!P18</f>
        <v>43413.770000000004</v>
      </c>
      <c r="D15" s="10">
        <v>1.0880000000000001E-2</v>
      </c>
      <c r="E15" s="10">
        <v>1.0880000000000001E-2</v>
      </c>
      <c r="F15" s="171">
        <f t="shared" si="0"/>
        <v>472.34181760000007</v>
      </c>
      <c r="G15" s="12">
        <f t="shared" si="1"/>
        <v>0</v>
      </c>
      <c r="H15" s="2">
        <f t="shared" si="2"/>
        <v>0</v>
      </c>
    </row>
    <row r="16" spans="1:9" x14ac:dyDescent="0.25">
      <c r="A16" t="s">
        <v>34</v>
      </c>
      <c r="B16" t="s">
        <v>35</v>
      </c>
      <c r="C16" s="194">
        <f>'Normalized Therms'!P19</f>
        <v>19254249.518999998</v>
      </c>
      <c r="D16" s="10">
        <v>6.2199999999999998E-3</v>
      </c>
      <c r="E16" s="10">
        <v>6.2199999999999998E-3</v>
      </c>
      <c r="F16" s="171">
        <f t="shared" si="0"/>
        <v>119761.43200817998</v>
      </c>
      <c r="G16" s="12">
        <f t="shared" si="1"/>
        <v>0</v>
      </c>
      <c r="H16" s="2">
        <f t="shared" si="2"/>
        <v>0</v>
      </c>
    </row>
    <row r="17" spans="1:11" x14ac:dyDescent="0.25">
      <c r="A17" t="s">
        <v>36</v>
      </c>
      <c r="B17" t="s">
        <v>37</v>
      </c>
      <c r="C17" s="194">
        <f>'Normalized Therms'!P20</f>
        <v>76582587.120000005</v>
      </c>
      <c r="D17" s="10">
        <v>3.31E-3</v>
      </c>
      <c r="E17" s="10">
        <v>3.31E-3</v>
      </c>
      <c r="F17" s="171">
        <f t="shared" si="0"/>
        <v>253488.36336720001</v>
      </c>
      <c r="G17" s="12">
        <f t="shared" si="1"/>
        <v>0</v>
      </c>
      <c r="H17" s="2">
        <f t="shared" si="2"/>
        <v>0</v>
      </c>
    </row>
    <row r="18" spans="1:11" x14ac:dyDescent="0.25">
      <c r="A18" t="s">
        <v>38</v>
      </c>
      <c r="B18" t="s">
        <v>39</v>
      </c>
      <c r="C18" s="194">
        <f>'Normalized Therms'!P21</f>
        <v>354636.7</v>
      </c>
      <c r="D18" s="10">
        <v>4.15E-3</v>
      </c>
      <c r="E18" s="10">
        <v>4.15E-3</v>
      </c>
      <c r="F18" s="171">
        <f t="shared" si="0"/>
        <v>1471.742305</v>
      </c>
      <c r="G18" s="12">
        <f t="shared" si="1"/>
        <v>0</v>
      </c>
      <c r="H18" s="2">
        <f t="shared" si="2"/>
        <v>0</v>
      </c>
    </row>
    <row r="19" spans="1:11" x14ac:dyDescent="0.25">
      <c r="A19" t="s">
        <v>40</v>
      </c>
      <c r="B19" t="s">
        <v>41</v>
      </c>
      <c r="C19" s="194">
        <f>'Normalized Therms'!P22</f>
        <v>103884321.25000001</v>
      </c>
      <c r="D19" s="10">
        <v>2.0200000000000001E-3</v>
      </c>
      <c r="E19" s="10">
        <v>2.0200000000000001E-3</v>
      </c>
      <c r="F19" s="171">
        <f t="shared" si="0"/>
        <v>209846.32892500004</v>
      </c>
      <c r="G19" s="12">
        <f>(E19-D19)*C19</f>
        <v>0</v>
      </c>
      <c r="H19" s="2">
        <f t="shared" si="2"/>
        <v>0</v>
      </c>
    </row>
    <row r="20" spans="1:11" x14ac:dyDescent="0.25">
      <c r="A20" t="s">
        <v>13</v>
      </c>
      <c r="C20" s="194">
        <f>'Normalized Therms'!P23</f>
        <v>37275691.68</v>
      </c>
      <c r="D20" s="14">
        <v>2.47E-3</v>
      </c>
      <c r="E20" s="14">
        <v>2.47E-3</v>
      </c>
      <c r="F20" s="171">
        <f t="shared" si="0"/>
        <v>92070.958449600002</v>
      </c>
      <c r="G20" s="12">
        <f t="shared" si="1"/>
        <v>0</v>
      </c>
      <c r="H20" s="2">
        <f t="shared" si="2"/>
        <v>0</v>
      </c>
    </row>
    <row r="21" spans="1:11" x14ac:dyDescent="0.25">
      <c r="A21" t="s">
        <v>6</v>
      </c>
      <c r="C21" s="15">
        <f>SUM(C8:C20)</f>
        <v>1181770157.3770001</v>
      </c>
      <c r="D21" s="9"/>
      <c r="E21" s="9"/>
      <c r="F21" s="172">
        <f t="shared" ref="F21:G21" si="3">SUM(F8:F20)</f>
        <v>10461914.388348391</v>
      </c>
      <c r="G21" s="16">
        <f t="shared" si="3"/>
        <v>0</v>
      </c>
      <c r="H21" s="3">
        <f t="shared" si="2"/>
        <v>0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423</v>
      </c>
      <c r="B23" s="17"/>
      <c r="C23" s="177">
        <f>'12ME Jun18 Rentals'!O28</f>
        <v>356738.40836915449</v>
      </c>
      <c r="D23" s="26">
        <v>0</v>
      </c>
      <c r="E23" s="26">
        <v>0</v>
      </c>
      <c r="F23" s="171">
        <f>D23*C23</f>
        <v>0</v>
      </c>
      <c r="G23" s="12">
        <f t="shared" ref="G23" si="4">(E23-D23)*C23</f>
        <v>0</v>
      </c>
      <c r="H23" s="2"/>
      <c r="I23" s="27"/>
      <c r="J23" s="25"/>
      <c r="K23" s="28"/>
    </row>
    <row r="24" spans="1:11" s="24" customFormat="1" x14ac:dyDescent="0.25">
      <c r="A24" s="29" t="s">
        <v>6</v>
      </c>
      <c r="B24" s="29"/>
      <c r="C24" s="31"/>
      <c r="D24" s="31"/>
      <c r="E24" s="31"/>
      <c r="F24" s="30">
        <f t="shared" ref="F24:G24" si="5">F21+F23</f>
        <v>10461914.388348391</v>
      </c>
      <c r="G24" s="30">
        <f t="shared" si="5"/>
        <v>0</v>
      </c>
      <c r="H24" s="3">
        <f>G24/F24</f>
        <v>0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7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F38" sqref="F38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2"/>
  <sheetViews>
    <sheetView zoomScale="80" zoomScaleNormal="80" workbookViewId="0">
      <selection activeCell="N51" sqref="N51"/>
    </sheetView>
  </sheetViews>
  <sheetFormatPr defaultColWidth="9.140625" defaultRowHeight="15" x14ac:dyDescent="0.25"/>
  <cols>
    <col min="1" max="1" width="1.5703125" style="68" customWidth="1"/>
    <col min="2" max="2" width="11.7109375" style="68" customWidth="1"/>
    <col min="3" max="3" width="4" style="68" bestFit="1" customWidth="1"/>
    <col min="4" max="4" width="12.28515625" style="68" bestFit="1" customWidth="1"/>
    <col min="5" max="15" width="14.42578125" style="68" bestFit="1" customWidth="1"/>
    <col min="16" max="16" width="14.28515625" style="68" bestFit="1" customWidth="1"/>
    <col min="17" max="16384" width="9.140625" style="68"/>
  </cols>
  <sheetData>
    <row r="1" spans="2:18" x14ac:dyDescent="0.25">
      <c r="B1" s="788" t="s">
        <v>0</v>
      </c>
      <c r="C1" s="788"/>
      <c r="D1" s="788"/>
      <c r="E1" s="788"/>
      <c r="F1" s="788"/>
      <c r="G1" s="788"/>
      <c r="H1" s="788"/>
      <c r="I1" s="788"/>
      <c r="J1" s="788"/>
      <c r="K1" s="788"/>
      <c r="L1" s="788"/>
      <c r="M1" s="788"/>
      <c r="N1" s="788"/>
      <c r="O1" s="788"/>
      <c r="P1" s="788"/>
    </row>
    <row r="2" spans="2:18" x14ac:dyDescent="0.25">
      <c r="B2" s="789" t="s">
        <v>440</v>
      </c>
      <c r="C2" s="789"/>
      <c r="D2" s="789"/>
      <c r="E2" s="789"/>
      <c r="F2" s="789"/>
      <c r="G2" s="789"/>
      <c r="H2" s="789"/>
      <c r="I2" s="789"/>
      <c r="J2" s="789"/>
      <c r="K2" s="789"/>
      <c r="L2" s="789"/>
      <c r="M2" s="789"/>
      <c r="N2" s="789"/>
      <c r="O2" s="789"/>
      <c r="P2" s="789"/>
    </row>
    <row r="3" spans="2:18" x14ac:dyDescent="0.25">
      <c r="B3" s="789" t="s">
        <v>459</v>
      </c>
      <c r="C3" s="789"/>
      <c r="D3" s="789"/>
      <c r="E3" s="789"/>
      <c r="F3" s="789"/>
      <c r="G3" s="789"/>
      <c r="H3" s="789"/>
      <c r="I3" s="789"/>
      <c r="J3" s="789"/>
      <c r="K3" s="789"/>
      <c r="L3" s="789"/>
      <c r="M3" s="789"/>
      <c r="N3" s="789"/>
      <c r="O3" s="789"/>
      <c r="P3" s="789"/>
    </row>
    <row r="4" spans="2:18" x14ac:dyDescent="0.25"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</row>
    <row r="5" spans="2:18" x14ac:dyDescent="0.25"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</row>
    <row r="6" spans="2:18" x14ac:dyDescent="0.25">
      <c r="B6" s="68" t="s">
        <v>439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</row>
    <row r="8" spans="2:18" x14ac:dyDescent="0.25">
      <c r="B8" s="71" t="s">
        <v>21</v>
      </c>
      <c r="D8" s="77">
        <v>42917</v>
      </c>
      <c r="E8" s="77">
        <f>EDATE(D8,1)</f>
        <v>42948</v>
      </c>
      <c r="F8" s="77">
        <f t="shared" ref="F8:O8" si="0">EDATE(E8,1)</f>
        <v>42979</v>
      </c>
      <c r="G8" s="77">
        <f t="shared" si="0"/>
        <v>43009</v>
      </c>
      <c r="H8" s="77">
        <f t="shared" si="0"/>
        <v>43040</v>
      </c>
      <c r="I8" s="77">
        <f t="shared" si="0"/>
        <v>43070</v>
      </c>
      <c r="J8" s="77">
        <f t="shared" si="0"/>
        <v>43101</v>
      </c>
      <c r="K8" s="77">
        <f t="shared" si="0"/>
        <v>43132</v>
      </c>
      <c r="L8" s="77">
        <f t="shared" si="0"/>
        <v>43160</v>
      </c>
      <c r="M8" s="77">
        <f t="shared" si="0"/>
        <v>43191</v>
      </c>
      <c r="N8" s="77">
        <f t="shared" si="0"/>
        <v>43221</v>
      </c>
      <c r="O8" s="77">
        <f t="shared" si="0"/>
        <v>43252</v>
      </c>
      <c r="P8" s="72" t="s">
        <v>6</v>
      </c>
    </row>
    <row r="9" spans="2:18" x14ac:dyDescent="0.25">
      <c r="B9" s="73"/>
    </row>
    <row r="10" spans="2:18" x14ac:dyDescent="0.25">
      <c r="B10" s="73">
        <v>23</v>
      </c>
      <c r="D10" s="222">
        <f>'12ME Jun18 Weather Adj'!D170</f>
        <v>13443846.632999999</v>
      </c>
      <c r="E10" s="222">
        <f>'12ME Jun18 Weather Adj'!E170</f>
        <v>12736009.979</v>
      </c>
      <c r="F10" s="222">
        <f>'12ME Jun18 Weather Adj'!F170</f>
        <v>21647719.936999999</v>
      </c>
      <c r="G10" s="222">
        <f>'12ME Jun18 Weather Adj'!G170</f>
        <v>46155974.25</v>
      </c>
      <c r="H10" s="222">
        <f>'12ME Jun18 Weather Adj'!H170</f>
        <v>73741897.160999998</v>
      </c>
      <c r="I10" s="222">
        <f>'12ME Jun18 Weather Adj'!I170</f>
        <v>88509622.627000004</v>
      </c>
      <c r="J10" s="222">
        <f>'12ME Jun18 Weather Adj'!J170</f>
        <v>97226692.343999997</v>
      </c>
      <c r="K10" s="222">
        <f>'12ME Jun18 Weather Adj'!K170</f>
        <v>73367926.152999997</v>
      </c>
      <c r="L10" s="222">
        <f>'12ME Jun18 Weather Adj'!L170</f>
        <v>75843560.385000005</v>
      </c>
      <c r="M10" s="222">
        <f>'12ME Jun18 Weather Adj'!M170</f>
        <v>50269722.055</v>
      </c>
      <c r="N10" s="222">
        <f>'12ME Jun18 Weather Adj'!N170</f>
        <v>30887232.546</v>
      </c>
      <c r="O10" s="222">
        <f>'12ME Jun18 Weather Adj'!O170</f>
        <v>19275348.866999999</v>
      </c>
      <c r="P10" s="70">
        <f>SUM(D10:O10)</f>
        <v>603105552.93699992</v>
      </c>
      <c r="R10" s="212"/>
    </row>
    <row r="11" spans="2:18" x14ac:dyDescent="0.25">
      <c r="B11" s="210">
        <v>16</v>
      </c>
      <c r="D11" s="222">
        <f>'12ME Jun18 Weather Adj'!D185</f>
        <v>826.07600000000002</v>
      </c>
      <c r="E11" s="222">
        <f>'12ME Jun18 Weather Adj'!E185</f>
        <v>820.92700000000002</v>
      </c>
      <c r="F11" s="222">
        <f>'12ME Jun18 Weather Adj'!F185</f>
        <v>774.51800000000003</v>
      </c>
      <c r="G11" s="222">
        <f>'12ME Jun18 Weather Adj'!G185</f>
        <v>824.08199999999999</v>
      </c>
      <c r="H11" s="222">
        <f>'12ME Jun18 Weather Adj'!H185</f>
        <v>783.54899999999998</v>
      </c>
      <c r="I11" s="222">
        <f>'12ME Jun18 Weather Adj'!I185</f>
        <v>800.10699999999997</v>
      </c>
      <c r="J11" s="222">
        <f>'12ME Jun18 Weather Adj'!J185</f>
        <v>797.62900000000002</v>
      </c>
      <c r="K11" s="222">
        <f>'12ME Jun18 Weather Adj'!K185</f>
        <v>723.62300000000005</v>
      </c>
      <c r="L11" s="222">
        <f>'12ME Jun18 Weather Adj'!L185</f>
        <v>835.85599999999999</v>
      </c>
      <c r="M11" s="222">
        <f>'12ME Jun18 Weather Adj'!M185</f>
        <v>821.65099999999995</v>
      </c>
      <c r="N11" s="222">
        <f>'12ME Jun18 Weather Adj'!N185</f>
        <v>818.67499999999995</v>
      </c>
      <c r="O11" s="222">
        <f>'12ME Jun18 Weather Adj'!O185</f>
        <v>765.35199999999998</v>
      </c>
      <c r="P11" s="70">
        <f>SUM(D11:O11)</f>
        <v>9592.0450000000001</v>
      </c>
      <c r="R11" s="212"/>
    </row>
    <row r="12" spans="2:18" x14ac:dyDescent="0.25">
      <c r="B12" s="73">
        <v>53</v>
      </c>
      <c r="D12" s="222">
        <f>'12ME Jun18 Weather Adj'!D186</f>
        <v>9.0079999999999991</v>
      </c>
      <c r="E12" s="222">
        <f>'12ME Jun18 Weather Adj'!E186</f>
        <v>9.2899999999999991</v>
      </c>
      <c r="F12" s="222">
        <f>'12ME Jun18 Weather Adj'!F186</f>
        <v>23.614000000000001</v>
      </c>
      <c r="G12" s="222">
        <f>'12ME Jun18 Weather Adj'!G186</f>
        <v>52.81</v>
      </c>
      <c r="H12" s="222">
        <f>'12ME Jun18 Weather Adj'!H186</f>
        <v>67.945999999999998</v>
      </c>
      <c r="I12" s="222">
        <f>'12ME Jun18 Weather Adj'!I186</f>
        <v>68.12700000000001</v>
      </c>
      <c r="J12" s="222">
        <f>'12ME Jun18 Weather Adj'!J186</f>
        <v>56.914999999999999</v>
      </c>
      <c r="K12" s="222">
        <f>'12ME Jun18 Weather Adj'!K186</f>
        <v>7.5629999999999997</v>
      </c>
      <c r="L12" s="222">
        <f>'12ME Jun18 Weather Adj'!L186</f>
        <v>0</v>
      </c>
      <c r="M12" s="222">
        <f>'12ME Jun18 Weather Adj'!M186</f>
        <v>0</v>
      </c>
      <c r="N12" s="222">
        <f>'12ME Jun18 Weather Adj'!N186</f>
        <v>0</v>
      </c>
      <c r="O12" s="222">
        <f>'12ME Jun18 Weather Adj'!O186</f>
        <v>0</v>
      </c>
      <c r="P12" s="70">
        <f t="shared" ref="P12:P27" si="1">SUM(D12:O12)</f>
        <v>295.27300000000002</v>
      </c>
      <c r="R12" s="212"/>
    </row>
    <row r="13" spans="2:18" x14ac:dyDescent="0.25">
      <c r="B13" s="73">
        <v>31</v>
      </c>
      <c r="D13" s="222">
        <f>'12ME Jun18 Weather Adj'!D219</f>
        <v>8023212.7980000004</v>
      </c>
      <c r="E13" s="222">
        <f>'12ME Jun18 Weather Adj'!E219</f>
        <v>7868703.7030000007</v>
      </c>
      <c r="F13" s="222">
        <f>'12ME Jun18 Weather Adj'!F219</f>
        <v>9578312.2190000005</v>
      </c>
      <c r="G13" s="222">
        <f>'12ME Jun18 Weather Adj'!G219</f>
        <v>16934863.227000002</v>
      </c>
      <c r="H13" s="222">
        <f>'12ME Jun18 Weather Adj'!H219</f>
        <v>25547691.226999998</v>
      </c>
      <c r="I13" s="222">
        <f>'12ME Jun18 Weather Adj'!I219</f>
        <v>31378118.582000002</v>
      </c>
      <c r="J13" s="222">
        <f>'12ME Jun18 Weather Adj'!J219</f>
        <v>33821766.534999996</v>
      </c>
      <c r="K13" s="222">
        <f>'12ME Jun18 Weather Adj'!K219</f>
        <v>26737363.708000001</v>
      </c>
      <c r="L13" s="222">
        <f>'12ME Jun18 Weather Adj'!L219</f>
        <v>27360801.246000003</v>
      </c>
      <c r="M13" s="222">
        <f>'12ME Jun18 Weather Adj'!M219</f>
        <v>19203020.005000003</v>
      </c>
      <c r="N13" s="222">
        <f>'12ME Jun18 Weather Adj'!N219</f>
        <v>12802351.787</v>
      </c>
      <c r="O13" s="222">
        <f>'12ME Jun18 Weather Adj'!O219</f>
        <v>9348527.4330000002</v>
      </c>
      <c r="P13" s="70">
        <f t="shared" si="1"/>
        <v>228604732.46999997</v>
      </c>
      <c r="R13" s="212"/>
    </row>
    <row r="14" spans="2:18" x14ac:dyDescent="0.25">
      <c r="B14" s="73">
        <v>41</v>
      </c>
      <c r="D14" s="222">
        <f>'12ME Jun18 Weather Adj'!D220</f>
        <v>3152377.75</v>
      </c>
      <c r="E14" s="222">
        <f>'12ME Jun18 Weather Adj'!E220</f>
        <v>3028375.96</v>
      </c>
      <c r="F14" s="222">
        <f>'12ME Jun18 Weather Adj'!F220</f>
        <v>3590363.7609999999</v>
      </c>
      <c r="G14" s="222">
        <f>'12ME Jun18 Weather Adj'!G220</f>
        <v>5337793.7060000002</v>
      </c>
      <c r="H14" s="222">
        <f>'12ME Jun18 Weather Adj'!H220</f>
        <v>6705542.3960000006</v>
      </c>
      <c r="I14" s="222">
        <f>'12ME Jun18 Weather Adj'!I220</f>
        <v>7771080.1879999992</v>
      </c>
      <c r="J14" s="222">
        <f>'12ME Jun18 Weather Adj'!J220</f>
        <v>8199254.8569999998</v>
      </c>
      <c r="K14" s="222">
        <f>'12ME Jun18 Weather Adj'!K220</f>
        <v>6874280.1060000006</v>
      </c>
      <c r="L14" s="222">
        <f>'12ME Jun18 Weather Adj'!L220</f>
        <v>7182884.3100000005</v>
      </c>
      <c r="M14" s="222">
        <f>'12ME Jun18 Weather Adj'!M220</f>
        <v>5745988.2310000006</v>
      </c>
      <c r="N14" s="222">
        <f>'12ME Jun18 Weather Adj'!N220</f>
        <v>4481751.682</v>
      </c>
      <c r="O14" s="222">
        <f>'12ME Jun18 Weather Adj'!O220</f>
        <v>1897175.0699999998</v>
      </c>
      <c r="P14" s="70">
        <f t="shared" si="1"/>
        <v>63966868.016999997</v>
      </c>
      <c r="R14" s="212"/>
    </row>
    <row r="15" spans="2:18" x14ac:dyDescent="0.25">
      <c r="B15" s="73">
        <v>85</v>
      </c>
      <c r="D15" s="222">
        <f>'12ME Jun18 Weather Adj'!D222</f>
        <v>836289.44500000007</v>
      </c>
      <c r="E15" s="222">
        <f>'12ME Jun18 Weather Adj'!E222</f>
        <v>772468.12399999984</v>
      </c>
      <c r="F15" s="222">
        <f>'12ME Jun18 Weather Adj'!F222</f>
        <v>909674.81900000002</v>
      </c>
      <c r="G15" s="222">
        <f>'12ME Jun18 Weather Adj'!G222</f>
        <v>1382235.878</v>
      </c>
      <c r="H15" s="222">
        <f>'12ME Jun18 Weather Adj'!H222</f>
        <v>1705057.9990000001</v>
      </c>
      <c r="I15" s="222">
        <f>'12ME Jun18 Weather Adj'!I222</f>
        <v>2029384.3720000002</v>
      </c>
      <c r="J15" s="222">
        <f>'12ME Jun18 Weather Adj'!J222</f>
        <v>1933608.2690000001</v>
      </c>
      <c r="K15" s="222">
        <f>'12ME Jun18 Weather Adj'!K222</f>
        <v>1680524.0340000002</v>
      </c>
      <c r="L15" s="222">
        <f>'12ME Jun18 Weather Adj'!L222</f>
        <v>1789387.747</v>
      </c>
      <c r="M15" s="222">
        <f>'12ME Jun18 Weather Adj'!M222</f>
        <v>1400451.9129999999</v>
      </c>
      <c r="N15" s="222">
        <f>'12ME Jun18 Weather Adj'!N222</f>
        <v>1046948.3860000001</v>
      </c>
      <c r="O15" s="222">
        <f>'12ME Jun18 Weather Adj'!O222</f>
        <v>821758.44000000006</v>
      </c>
      <c r="P15" s="70">
        <f t="shared" si="1"/>
        <v>16307789.425999999</v>
      </c>
      <c r="R15" s="212"/>
    </row>
    <row r="16" spans="2:18" x14ac:dyDescent="0.25">
      <c r="B16" s="73">
        <v>86</v>
      </c>
      <c r="D16" s="222">
        <f>'12ME Jun18 Weather Adj'!D223</f>
        <v>215797.27499999999</v>
      </c>
      <c r="E16" s="222">
        <f>'12ME Jun18 Weather Adj'!E223</f>
        <v>200043.261</v>
      </c>
      <c r="F16" s="222">
        <f>'12ME Jun18 Weather Adj'!F223</f>
        <v>379761.01699999999</v>
      </c>
      <c r="G16" s="222">
        <f>'12ME Jun18 Weather Adj'!G223</f>
        <v>816241.58800000011</v>
      </c>
      <c r="H16" s="222">
        <f>'12ME Jun18 Weather Adj'!H223</f>
        <v>1048827.237</v>
      </c>
      <c r="I16" s="222">
        <f>'12ME Jun18 Weather Adj'!I223</f>
        <v>1301022.3529999999</v>
      </c>
      <c r="J16" s="222">
        <f>'12ME Jun18 Weather Adj'!J223</f>
        <v>1276427.676</v>
      </c>
      <c r="K16" s="222">
        <f>'12ME Jun18 Weather Adj'!K223</f>
        <v>1068462.2690000001</v>
      </c>
      <c r="L16" s="222">
        <f>'12ME Jun18 Weather Adj'!L223</f>
        <v>1127623.6189999999</v>
      </c>
      <c r="M16" s="222">
        <f>'12ME Jun18 Weather Adj'!M223</f>
        <v>868268.65500000014</v>
      </c>
      <c r="N16" s="222">
        <f>'12ME Jun18 Weather Adj'!N223</f>
        <v>488370.93900000007</v>
      </c>
      <c r="O16" s="222">
        <f>'12ME Jun18 Weather Adj'!O223</f>
        <v>316422.65299999999</v>
      </c>
      <c r="P16" s="70">
        <f t="shared" si="1"/>
        <v>9107268.5420000013</v>
      </c>
      <c r="R16" s="212"/>
    </row>
    <row r="17" spans="2:18" x14ac:dyDescent="0.25">
      <c r="B17" s="73">
        <v>87</v>
      </c>
      <c r="D17" s="222">
        <f>'12ME Jun18 Weather Adj'!D224</f>
        <v>1205163.1340000001</v>
      </c>
      <c r="E17" s="222">
        <f>'12ME Jun18 Weather Adj'!E224</f>
        <v>1191232.98</v>
      </c>
      <c r="F17" s="222">
        <f>'12ME Jun18 Weather Adj'!F224</f>
        <v>1297454.0249999999</v>
      </c>
      <c r="G17" s="222">
        <f>'12ME Jun18 Weather Adj'!G224</f>
        <v>1956862.8969999999</v>
      </c>
      <c r="H17" s="222">
        <f>'12ME Jun18 Weather Adj'!H224</f>
        <v>2346051.3509999998</v>
      </c>
      <c r="I17" s="222">
        <f>'12ME Jun18 Weather Adj'!I224</f>
        <v>2817477.4819999998</v>
      </c>
      <c r="J17" s="222">
        <f>'12ME Jun18 Weather Adj'!J224</f>
        <v>2582095.4070000001</v>
      </c>
      <c r="K17" s="222">
        <f>'12ME Jun18 Weather Adj'!K224</f>
        <v>2453869.7620000001</v>
      </c>
      <c r="L17" s="222">
        <f>'12ME Jun18 Weather Adj'!L224</f>
        <v>2432020.3769999999</v>
      </c>
      <c r="M17" s="222">
        <f>'12ME Jun18 Weather Adj'!M224</f>
        <v>2074669.916</v>
      </c>
      <c r="N17" s="222">
        <f>'12ME Jun18 Weather Adj'!N224</f>
        <v>1485710.202</v>
      </c>
      <c r="O17" s="222">
        <f>'12ME Jun18 Weather Adj'!O224</f>
        <v>1430551.095</v>
      </c>
      <c r="P17" s="70">
        <f t="shared" si="1"/>
        <v>23273158.627999999</v>
      </c>
      <c r="R17" s="212"/>
    </row>
    <row r="18" spans="2:18" x14ac:dyDescent="0.25">
      <c r="B18" s="73" t="s">
        <v>33</v>
      </c>
      <c r="D18" s="222">
        <f>'12ME Jun18 Weather Adj'!D225</f>
        <v>910.31000000000006</v>
      </c>
      <c r="E18" s="222">
        <f>'12ME Jun18 Weather Adj'!E225</f>
        <v>879.71</v>
      </c>
      <c r="F18" s="222">
        <f>'12ME Jun18 Weather Adj'!F225</f>
        <v>1247.21</v>
      </c>
      <c r="G18" s="222">
        <f>'12ME Jun18 Weather Adj'!G225</f>
        <v>3838.74</v>
      </c>
      <c r="H18" s="222">
        <f>'12ME Jun18 Weather Adj'!H225</f>
        <v>5767.1</v>
      </c>
      <c r="I18" s="222">
        <f>'12ME Jun18 Weather Adj'!I225</f>
        <v>8025.07</v>
      </c>
      <c r="J18" s="222">
        <f>'12ME Jun18 Weather Adj'!J225</f>
        <v>5002.67</v>
      </c>
      <c r="K18" s="222">
        <f>'12ME Jun18 Weather Adj'!K225</f>
        <v>6550.45</v>
      </c>
      <c r="L18" s="222">
        <f>'12ME Jun18 Weather Adj'!L225</f>
        <v>5064.18</v>
      </c>
      <c r="M18" s="222">
        <f>'12ME Jun18 Weather Adj'!M225</f>
        <v>3517.5600000000004</v>
      </c>
      <c r="N18" s="222">
        <f>'12ME Jun18 Weather Adj'!N225</f>
        <v>1618.33</v>
      </c>
      <c r="O18" s="222">
        <f>'12ME Jun18 Weather Adj'!O225</f>
        <v>992.44</v>
      </c>
      <c r="P18" s="70">
        <f t="shared" si="1"/>
        <v>43413.770000000004</v>
      </c>
      <c r="R18" s="212"/>
    </row>
    <row r="19" spans="2:18" x14ac:dyDescent="0.25">
      <c r="B19" s="73" t="s">
        <v>35</v>
      </c>
      <c r="D19" s="222">
        <f>'12ME Jun18 Weather Adj'!D226</f>
        <v>1409196.13</v>
      </c>
      <c r="E19" s="222">
        <f>'12ME Jun18 Weather Adj'!E226</f>
        <v>1455982.78</v>
      </c>
      <c r="F19" s="222">
        <f>'12ME Jun18 Weather Adj'!F226</f>
        <v>1376139.56</v>
      </c>
      <c r="G19" s="222">
        <f>'12ME Jun18 Weather Adj'!G226</f>
        <v>1587400.12</v>
      </c>
      <c r="H19" s="222">
        <f>'12ME Jun18 Weather Adj'!H226</f>
        <v>1682324.709</v>
      </c>
      <c r="I19" s="222">
        <f>'12ME Jun18 Weather Adj'!I226</f>
        <v>1740155.9700000002</v>
      </c>
      <c r="J19" s="222">
        <f>'12ME Jun18 Weather Adj'!J226</f>
        <v>1896974.1</v>
      </c>
      <c r="K19" s="222">
        <f>'12ME Jun18 Weather Adj'!K226</f>
        <v>1747749.17</v>
      </c>
      <c r="L19" s="222">
        <f>'12ME Jun18 Weather Adj'!L226</f>
        <v>1903759.5399999998</v>
      </c>
      <c r="M19" s="222">
        <f>'12ME Jun18 Weather Adj'!M226</f>
        <v>1695900.24</v>
      </c>
      <c r="N19" s="222">
        <f>'12ME Jun18 Weather Adj'!N226</f>
        <v>1488537.73</v>
      </c>
      <c r="O19" s="222">
        <f>'12ME Jun18 Weather Adj'!O226</f>
        <v>1270129.47</v>
      </c>
      <c r="P19" s="70">
        <f t="shared" si="1"/>
        <v>19254249.518999998</v>
      </c>
      <c r="R19" s="212"/>
    </row>
    <row r="20" spans="2:18" x14ac:dyDescent="0.25">
      <c r="B20" s="73" t="s">
        <v>37</v>
      </c>
      <c r="D20" s="222">
        <f>'12ME Jun18 Weather Adj'!D227</f>
        <v>5851763.6900000004</v>
      </c>
      <c r="E20" s="222">
        <f>'12ME Jun18 Weather Adj'!E227</f>
        <v>6367850.5700000003</v>
      </c>
      <c r="F20" s="222">
        <f>'12ME Jun18 Weather Adj'!F227</f>
        <v>6194771.8100000005</v>
      </c>
      <c r="G20" s="222">
        <f>'12ME Jun18 Weather Adj'!G227</f>
        <v>6948461.2199999997</v>
      </c>
      <c r="H20" s="222">
        <f>'12ME Jun18 Weather Adj'!H227</f>
        <v>6457225.9400000004</v>
      </c>
      <c r="I20" s="222">
        <f>'12ME Jun18 Weather Adj'!I227</f>
        <v>6748532.6200000001</v>
      </c>
      <c r="J20" s="222">
        <f>'12ME Jun18 Weather Adj'!J227</f>
        <v>6677618.04</v>
      </c>
      <c r="K20" s="222">
        <f>'12ME Jun18 Weather Adj'!K227</f>
        <v>6081561.6100000003</v>
      </c>
      <c r="L20" s="222">
        <f>'12ME Jun18 Weather Adj'!L227</f>
        <v>6977294.3499999996</v>
      </c>
      <c r="M20" s="222">
        <f>'12ME Jun18 Weather Adj'!M227</f>
        <v>6172882.9199999999</v>
      </c>
      <c r="N20" s="222">
        <f>'12ME Jun18 Weather Adj'!N227</f>
        <v>6120130.4900000002</v>
      </c>
      <c r="O20" s="222">
        <f>'12ME Jun18 Weather Adj'!O227</f>
        <v>5984493.8599999994</v>
      </c>
      <c r="P20" s="70">
        <f t="shared" si="1"/>
        <v>76582587.120000005</v>
      </c>
      <c r="R20" s="212"/>
    </row>
    <row r="21" spans="2:18" x14ac:dyDescent="0.25">
      <c r="B21" s="73" t="s">
        <v>39</v>
      </c>
      <c r="D21" s="222">
        <f>'12ME Jun18 Weather Adj'!D228</f>
        <v>24835.61</v>
      </c>
      <c r="E21" s="222">
        <f>'12ME Jun18 Weather Adj'!E228</f>
        <v>18950.099999999999</v>
      </c>
      <c r="F21" s="222">
        <f>'12ME Jun18 Weather Adj'!F228</f>
        <v>14249</v>
      </c>
      <c r="G21" s="222">
        <f>'12ME Jun18 Weather Adj'!G228</f>
        <v>31358.14</v>
      </c>
      <c r="H21" s="222">
        <f>'12ME Jun18 Weather Adj'!H228</f>
        <v>28587.62</v>
      </c>
      <c r="I21" s="222">
        <f>'12ME Jun18 Weather Adj'!I228</f>
        <v>29791.48</v>
      </c>
      <c r="J21" s="222">
        <f>'12ME Jun18 Weather Adj'!J228</f>
        <v>49343.94</v>
      </c>
      <c r="K21" s="222">
        <f>'12ME Jun18 Weather Adj'!K228</f>
        <v>52603.87</v>
      </c>
      <c r="L21" s="222">
        <f>'12ME Jun18 Weather Adj'!L228</f>
        <v>40825.67</v>
      </c>
      <c r="M21" s="222">
        <f>'12ME Jun18 Weather Adj'!M228</f>
        <v>24785.5</v>
      </c>
      <c r="N21" s="222">
        <f>'12ME Jun18 Weather Adj'!N228</f>
        <v>18363.18</v>
      </c>
      <c r="O21" s="222">
        <f>'12ME Jun18 Weather Adj'!O228</f>
        <v>20942.59</v>
      </c>
      <c r="P21" s="70">
        <f t="shared" si="1"/>
        <v>354636.7</v>
      </c>
      <c r="R21" s="212"/>
    </row>
    <row r="22" spans="2:18" x14ac:dyDescent="0.25">
      <c r="B22" s="73" t="s">
        <v>41</v>
      </c>
      <c r="D22" s="222">
        <f>'12ME Jun18 Weather Adj'!D229</f>
        <v>8682427.3399999999</v>
      </c>
      <c r="E22" s="222">
        <f>'12ME Jun18 Weather Adj'!E229</f>
        <v>8811197.0700000003</v>
      </c>
      <c r="F22" s="222">
        <f>'12ME Jun18 Weather Adj'!F229</f>
        <v>8469145.3300000001</v>
      </c>
      <c r="G22" s="222">
        <f>'12ME Jun18 Weather Adj'!G229</f>
        <v>8937000.4199999999</v>
      </c>
      <c r="H22" s="222">
        <f>'12ME Jun18 Weather Adj'!H229</f>
        <v>8111567.540000001</v>
      </c>
      <c r="I22" s="222">
        <f>'12ME Jun18 Weather Adj'!I229</f>
        <v>9843875.9900000002</v>
      </c>
      <c r="J22" s="222">
        <f>'12ME Jun18 Weather Adj'!J229</f>
        <v>8436598.5199999996</v>
      </c>
      <c r="K22" s="222">
        <f>'12ME Jun18 Weather Adj'!K229</f>
        <v>8777355.3900000006</v>
      </c>
      <c r="L22" s="222">
        <f>'12ME Jun18 Weather Adj'!L229</f>
        <v>9545363.1600000001</v>
      </c>
      <c r="M22" s="222">
        <f>'12ME Jun18 Weather Adj'!M229</f>
        <v>8252639.4799999995</v>
      </c>
      <c r="N22" s="222">
        <f>'12ME Jun18 Weather Adj'!N229</f>
        <v>8341789.8599999994</v>
      </c>
      <c r="O22" s="222">
        <f>'12ME Jun18 Weather Adj'!O229</f>
        <v>7675361.1500000004</v>
      </c>
      <c r="P22" s="70">
        <f t="shared" si="1"/>
        <v>103884321.25000001</v>
      </c>
      <c r="R22" s="212"/>
    </row>
    <row r="23" spans="2:18" x14ac:dyDescent="0.25">
      <c r="B23" s="73" t="s">
        <v>262</v>
      </c>
      <c r="D23" s="222">
        <f>'12ME Jun18 Weather Adj'!D230</f>
        <v>1921334.9100000001</v>
      </c>
      <c r="E23" s="222">
        <f>'12ME Jun18 Weather Adj'!E230</f>
        <v>1869187.75</v>
      </c>
      <c r="F23" s="222">
        <f>'12ME Jun18 Weather Adj'!F230</f>
        <v>2068982.99</v>
      </c>
      <c r="G23" s="222">
        <f>'12ME Jun18 Weather Adj'!G230</f>
        <v>3006871.56</v>
      </c>
      <c r="H23" s="222">
        <f>'12ME Jun18 Weather Adj'!H230</f>
        <v>3833917.62</v>
      </c>
      <c r="I23" s="222">
        <f>'12ME Jun18 Weather Adj'!I230</f>
        <v>4352917.41</v>
      </c>
      <c r="J23" s="222">
        <f>'12ME Jun18 Weather Adj'!J230</f>
        <v>4443467.74</v>
      </c>
      <c r="K23" s="222">
        <f>'12ME Jun18 Weather Adj'!K230</f>
        <v>3867486.2699999996</v>
      </c>
      <c r="L23" s="222">
        <f>'12ME Jun18 Weather Adj'!L230</f>
        <v>3813818.93</v>
      </c>
      <c r="M23" s="222">
        <f>'12ME Jun18 Weather Adj'!M230</f>
        <v>3266173.4099999997</v>
      </c>
      <c r="N23" s="222">
        <f>'12ME Jun18 Weather Adj'!N230</f>
        <v>2607580.04</v>
      </c>
      <c r="O23" s="222">
        <f>'12ME Jun18 Weather Adj'!O230</f>
        <v>2223953.0499999998</v>
      </c>
      <c r="P23" s="70">
        <f t="shared" si="1"/>
        <v>37275691.68</v>
      </c>
      <c r="R23" s="212"/>
    </row>
    <row r="24" spans="2:18" x14ac:dyDescent="0.25">
      <c r="B24" s="73" t="s">
        <v>6</v>
      </c>
      <c r="D24" s="74">
        <f>SUM(D10:D23)</f>
        <v>44767990.108999997</v>
      </c>
      <c r="E24" s="74">
        <f t="shared" ref="E24:P24" si="2">SUM(E10:E23)</f>
        <v>44321712.204000011</v>
      </c>
      <c r="F24" s="74">
        <f t="shared" si="2"/>
        <v>55528619.809999995</v>
      </c>
      <c r="G24" s="74">
        <f t="shared" si="2"/>
        <v>93099778.638000011</v>
      </c>
      <c r="H24" s="74">
        <f t="shared" si="2"/>
        <v>131215309.395</v>
      </c>
      <c r="I24" s="74">
        <f t="shared" si="2"/>
        <v>156530872.37799999</v>
      </c>
      <c r="J24" s="74">
        <f t="shared" si="2"/>
        <v>166549704.64199999</v>
      </c>
      <c r="K24" s="74">
        <f t="shared" si="2"/>
        <v>132716463.97799999</v>
      </c>
      <c r="L24" s="74">
        <f t="shared" si="2"/>
        <v>138023239.37000003</v>
      </c>
      <c r="M24" s="74">
        <f t="shared" si="2"/>
        <v>98978841.535999998</v>
      </c>
      <c r="N24" s="74">
        <f t="shared" si="2"/>
        <v>69771203.847000003</v>
      </c>
      <c r="O24" s="74">
        <f t="shared" si="2"/>
        <v>50266421.470000006</v>
      </c>
      <c r="P24" s="74">
        <f t="shared" si="2"/>
        <v>1181770157.3770001</v>
      </c>
    </row>
    <row r="25" spans="2:18" x14ac:dyDescent="0.25">
      <c r="B25" s="73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</row>
    <row r="26" spans="2:18" x14ac:dyDescent="0.25">
      <c r="B26" s="73" t="s">
        <v>105</v>
      </c>
      <c r="D26" s="70">
        <f>SUM(D10:D14)</f>
        <v>24620272.265000001</v>
      </c>
      <c r="E26" s="70">
        <f t="shared" ref="E26:O26" si="3">SUM(E10:E14)</f>
        <v>23633919.859000001</v>
      </c>
      <c r="F26" s="70">
        <f t="shared" si="3"/>
        <v>34817194.048999995</v>
      </c>
      <c r="G26" s="70">
        <f t="shared" si="3"/>
        <v>68429508.075000003</v>
      </c>
      <c r="H26" s="70">
        <f t="shared" si="3"/>
        <v>105995982.27899998</v>
      </c>
      <c r="I26" s="70">
        <f t="shared" si="3"/>
        <v>127659689.631</v>
      </c>
      <c r="J26" s="70">
        <f t="shared" si="3"/>
        <v>139248568.28</v>
      </c>
      <c r="K26" s="70">
        <f t="shared" si="3"/>
        <v>106980301.153</v>
      </c>
      <c r="L26" s="70">
        <f t="shared" si="3"/>
        <v>110388081.79700002</v>
      </c>
      <c r="M26" s="70">
        <f t="shared" si="3"/>
        <v>75219551.942000002</v>
      </c>
      <c r="N26" s="70">
        <f t="shared" si="3"/>
        <v>48172154.689999998</v>
      </c>
      <c r="O26" s="70">
        <f t="shared" si="3"/>
        <v>30521816.722000003</v>
      </c>
      <c r="P26" s="70">
        <f t="shared" si="1"/>
        <v>895687040.74199998</v>
      </c>
    </row>
    <row r="27" spans="2:18" x14ac:dyDescent="0.25">
      <c r="B27" s="73" t="s">
        <v>106</v>
      </c>
      <c r="D27" s="70">
        <f>SUM(D15:D17)</f>
        <v>2257249.8540000003</v>
      </c>
      <c r="E27" s="70">
        <f t="shared" ref="E27:O27" si="4">SUM(E15:E17)</f>
        <v>2163744.3649999998</v>
      </c>
      <c r="F27" s="70">
        <f t="shared" si="4"/>
        <v>2586889.861</v>
      </c>
      <c r="G27" s="70">
        <f t="shared" si="4"/>
        <v>4155340.3629999999</v>
      </c>
      <c r="H27" s="70">
        <f t="shared" si="4"/>
        <v>5099936.5869999994</v>
      </c>
      <c r="I27" s="70">
        <f t="shared" si="4"/>
        <v>6147884.2070000004</v>
      </c>
      <c r="J27" s="70">
        <f t="shared" si="4"/>
        <v>5792131.352</v>
      </c>
      <c r="K27" s="70">
        <f t="shared" si="4"/>
        <v>5202856.0650000004</v>
      </c>
      <c r="L27" s="70">
        <f t="shared" si="4"/>
        <v>5349031.7429999998</v>
      </c>
      <c r="M27" s="70">
        <f t="shared" si="4"/>
        <v>4343390.4840000002</v>
      </c>
      <c r="N27" s="70">
        <f t="shared" si="4"/>
        <v>3021029.5270000002</v>
      </c>
      <c r="O27" s="70">
        <f t="shared" si="4"/>
        <v>2568732.1880000001</v>
      </c>
      <c r="P27" s="70">
        <f t="shared" si="1"/>
        <v>48688216.596000001</v>
      </c>
    </row>
    <row r="28" spans="2:18" x14ac:dyDescent="0.25">
      <c r="B28" s="73" t="s">
        <v>107</v>
      </c>
      <c r="D28" s="74">
        <f>SUM(D26:D27)</f>
        <v>26877522.119000003</v>
      </c>
      <c r="E28" s="74">
        <f t="shared" ref="E28:P28" si="5">SUM(E26:E27)</f>
        <v>25797664.223999999</v>
      </c>
      <c r="F28" s="74">
        <f t="shared" si="5"/>
        <v>37404083.909999996</v>
      </c>
      <c r="G28" s="74">
        <f t="shared" si="5"/>
        <v>72584848.438000008</v>
      </c>
      <c r="H28" s="74">
        <f t="shared" si="5"/>
        <v>111095918.86599998</v>
      </c>
      <c r="I28" s="74">
        <f t="shared" si="5"/>
        <v>133807573.838</v>
      </c>
      <c r="J28" s="74">
        <f t="shared" si="5"/>
        <v>145040699.632</v>
      </c>
      <c r="K28" s="74">
        <f t="shared" si="5"/>
        <v>112183157.21799999</v>
      </c>
      <c r="L28" s="74">
        <f t="shared" si="5"/>
        <v>115737113.54000002</v>
      </c>
      <c r="M28" s="74">
        <f t="shared" si="5"/>
        <v>79562942.425999999</v>
      </c>
      <c r="N28" s="74">
        <f t="shared" si="5"/>
        <v>51193184.217</v>
      </c>
      <c r="O28" s="74">
        <f t="shared" si="5"/>
        <v>33090548.910000004</v>
      </c>
      <c r="P28" s="74">
        <f t="shared" si="5"/>
        <v>944375257.33799994</v>
      </c>
    </row>
    <row r="29" spans="2:18" x14ac:dyDescent="0.25">
      <c r="B29" s="73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</row>
    <row r="30" spans="2:18" x14ac:dyDescent="0.25">
      <c r="B30" s="73" t="s">
        <v>108</v>
      </c>
      <c r="D30" s="70">
        <f>SUM(D18:D23)</f>
        <v>17890467.990000002</v>
      </c>
      <c r="E30" s="70">
        <f t="shared" ref="E30:O30" si="6">SUM(E18:E23)</f>
        <v>18524047.98</v>
      </c>
      <c r="F30" s="70">
        <f t="shared" si="6"/>
        <v>18124535.899999999</v>
      </c>
      <c r="G30" s="70">
        <f t="shared" si="6"/>
        <v>20514930.199999999</v>
      </c>
      <c r="H30" s="70">
        <f t="shared" si="6"/>
        <v>20119390.529000003</v>
      </c>
      <c r="I30" s="70">
        <f t="shared" si="6"/>
        <v>22723298.540000003</v>
      </c>
      <c r="J30" s="70">
        <f t="shared" si="6"/>
        <v>21509005.009999998</v>
      </c>
      <c r="K30" s="70">
        <f t="shared" si="6"/>
        <v>20533306.760000002</v>
      </c>
      <c r="L30" s="70">
        <f t="shared" si="6"/>
        <v>22286125.829999998</v>
      </c>
      <c r="M30" s="70">
        <f t="shared" si="6"/>
        <v>19415899.109999999</v>
      </c>
      <c r="N30" s="70">
        <f t="shared" si="6"/>
        <v>18578019.629999999</v>
      </c>
      <c r="O30" s="70">
        <f t="shared" si="6"/>
        <v>17175872.559999999</v>
      </c>
      <c r="P30" s="70">
        <f>SUM(D30:O30)</f>
        <v>237394900.03899997</v>
      </c>
    </row>
    <row r="31" spans="2:18" x14ac:dyDescent="0.25">
      <c r="B31" s="73" t="s">
        <v>6</v>
      </c>
      <c r="D31" s="74">
        <f>D28+D30</f>
        <v>44767990.109000005</v>
      </c>
      <c r="E31" s="74">
        <f t="shared" ref="E31:P31" si="7">E28+E30</f>
        <v>44321712.203999996</v>
      </c>
      <c r="F31" s="74">
        <f t="shared" si="7"/>
        <v>55528619.809999995</v>
      </c>
      <c r="G31" s="74">
        <f t="shared" si="7"/>
        <v>93099778.638000011</v>
      </c>
      <c r="H31" s="74">
        <f t="shared" si="7"/>
        <v>131215309.39499998</v>
      </c>
      <c r="I31" s="74">
        <f t="shared" si="7"/>
        <v>156530872.37799999</v>
      </c>
      <c r="J31" s="74">
        <f t="shared" si="7"/>
        <v>166549704.64199999</v>
      </c>
      <c r="K31" s="74">
        <f t="shared" si="7"/>
        <v>132716463.978</v>
      </c>
      <c r="L31" s="74">
        <f t="shared" si="7"/>
        <v>138023239.37</v>
      </c>
      <c r="M31" s="74">
        <f t="shared" si="7"/>
        <v>98978841.535999998</v>
      </c>
      <c r="N31" s="74">
        <f t="shared" si="7"/>
        <v>69771203.847000003</v>
      </c>
      <c r="O31" s="74">
        <f t="shared" si="7"/>
        <v>50266421.469999999</v>
      </c>
      <c r="P31" s="74">
        <f t="shared" si="7"/>
        <v>1181770157.3769999</v>
      </c>
    </row>
    <row r="32" spans="2:18" x14ac:dyDescent="0.25">
      <c r="B32" s="75" t="s">
        <v>109</v>
      </c>
      <c r="D32" s="76">
        <f>D24-D31</f>
        <v>0</v>
      </c>
      <c r="E32" s="76">
        <f t="shared" ref="E32:P32" si="8">E24-E31</f>
        <v>0</v>
      </c>
      <c r="F32" s="76">
        <f t="shared" si="8"/>
        <v>0</v>
      </c>
      <c r="G32" s="76">
        <f t="shared" si="8"/>
        <v>0</v>
      </c>
      <c r="H32" s="76">
        <f t="shared" si="8"/>
        <v>0</v>
      </c>
      <c r="I32" s="76">
        <f t="shared" si="8"/>
        <v>0</v>
      </c>
      <c r="J32" s="76">
        <f t="shared" si="8"/>
        <v>0</v>
      </c>
      <c r="K32" s="76">
        <f t="shared" si="8"/>
        <v>0</v>
      </c>
      <c r="L32" s="76">
        <f t="shared" si="8"/>
        <v>0</v>
      </c>
      <c r="M32" s="76">
        <f t="shared" si="8"/>
        <v>0</v>
      </c>
      <c r="N32" s="76">
        <f t="shared" si="8"/>
        <v>0</v>
      </c>
      <c r="O32" s="76">
        <f t="shared" si="8"/>
        <v>0</v>
      </c>
      <c r="P32" s="76">
        <f t="shared" si="8"/>
        <v>0</v>
      </c>
    </row>
    <row r="33" spans="2:16" x14ac:dyDescent="0.25">
      <c r="C33" s="70"/>
    </row>
    <row r="34" spans="2:16" x14ac:dyDescent="0.25"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</row>
    <row r="35" spans="2:16" x14ac:dyDescent="0.25">
      <c r="B35" s="247" t="s">
        <v>257</v>
      </c>
      <c r="C35" s="70"/>
      <c r="D35" s="70">
        <f t="shared" ref="D35:P35" si="9">SUM(D10:D12)</f>
        <v>13444681.716999998</v>
      </c>
      <c r="E35" s="70">
        <f t="shared" si="9"/>
        <v>12736840.195999999</v>
      </c>
      <c r="F35" s="70">
        <f t="shared" si="9"/>
        <v>21648518.068999998</v>
      </c>
      <c r="G35" s="70">
        <f t="shared" si="9"/>
        <v>46156851.142000005</v>
      </c>
      <c r="H35" s="70">
        <f t="shared" si="9"/>
        <v>73742748.655999988</v>
      </c>
      <c r="I35" s="70">
        <f t="shared" si="9"/>
        <v>88510490.861000001</v>
      </c>
      <c r="J35" s="70">
        <f t="shared" si="9"/>
        <v>97227546.887999997</v>
      </c>
      <c r="K35" s="70">
        <f t="shared" si="9"/>
        <v>73368657.338999987</v>
      </c>
      <c r="L35" s="70">
        <f t="shared" si="9"/>
        <v>75844396.241000012</v>
      </c>
      <c r="M35" s="70">
        <f t="shared" si="9"/>
        <v>50270543.706</v>
      </c>
      <c r="N35" s="70">
        <f t="shared" si="9"/>
        <v>30888051.221000001</v>
      </c>
      <c r="O35" s="70">
        <f t="shared" si="9"/>
        <v>19276114.219000001</v>
      </c>
      <c r="P35" s="70">
        <f t="shared" si="9"/>
        <v>603115440.25499988</v>
      </c>
    </row>
    <row r="36" spans="2:16" x14ac:dyDescent="0.25">
      <c r="B36" s="73" t="s">
        <v>252</v>
      </c>
      <c r="C36" s="70"/>
      <c r="D36" s="70">
        <f t="shared" ref="D36:P36" si="10">SUM(D13,D18)</f>
        <v>8024123.108</v>
      </c>
      <c r="E36" s="70">
        <f t="shared" si="10"/>
        <v>7869583.4130000006</v>
      </c>
      <c r="F36" s="70">
        <f t="shared" si="10"/>
        <v>9579559.4290000014</v>
      </c>
      <c r="G36" s="70">
        <f t="shared" si="10"/>
        <v>16938701.967</v>
      </c>
      <c r="H36" s="70">
        <f t="shared" si="10"/>
        <v>25553458.327</v>
      </c>
      <c r="I36" s="70">
        <f t="shared" si="10"/>
        <v>31386143.652000003</v>
      </c>
      <c r="J36" s="70">
        <f t="shared" si="10"/>
        <v>33826769.204999998</v>
      </c>
      <c r="K36" s="70">
        <f t="shared" si="10"/>
        <v>26743914.158</v>
      </c>
      <c r="L36" s="70">
        <f t="shared" si="10"/>
        <v>27365865.426000003</v>
      </c>
      <c r="M36" s="70">
        <f t="shared" si="10"/>
        <v>19206537.565000001</v>
      </c>
      <c r="N36" s="70">
        <f t="shared" si="10"/>
        <v>12803970.117000001</v>
      </c>
      <c r="O36" s="70">
        <f t="shared" si="10"/>
        <v>9349519.8729999997</v>
      </c>
      <c r="P36" s="70">
        <f t="shared" si="10"/>
        <v>228648146.23999998</v>
      </c>
    </row>
    <row r="37" spans="2:16" x14ac:dyDescent="0.25">
      <c r="B37" s="73" t="s">
        <v>253</v>
      </c>
      <c r="D37" s="70">
        <f t="shared" ref="D37:P37" si="11">SUM(D14,D19)</f>
        <v>4561573.88</v>
      </c>
      <c r="E37" s="70">
        <f t="shared" si="11"/>
        <v>4484358.74</v>
      </c>
      <c r="F37" s="70">
        <f t="shared" si="11"/>
        <v>4966503.3210000005</v>
      </c>
      <c r="G37" s="70">
        <f t="shared" si="11"/>
        <v>6925193.8260000004</v>
      </c>
      <c r="H37" s="70">
        <f t="shared" si="11"/>
        <v>8387867.1050000004</v>
      </c>
      <c r="I37" s="70">
        <f t="shared" si="11"/>
        <v>9511236.1579999998</v>
      </c>
      <c r="J37" s="70">
        <f t="shared" si="11"/>
        <v>10096228.957</v>
      </c>
      <c r="K37" s="70">
        <f t="shared" si="11"/>
        <v>8622029.2760000005</v>
      </c>
      <c r="L37" s="70">
        <f t="shared" si="11"/>
        <v>9086643.8499999996</v>
      </c>
      <c r="M37" s="70">
        <f t="shared" si="11"/>
        <v>7441888.4710000008</v>
      </c>
      <c r="N37" s="70">
        <f t="shared" si="11"/>
        <v>5970289.4120000005</v>
      </c>
      <c r="O37" s="70">
        <f t="shared" si="11"/>
        <v>3167304.54</v>
      </c>
      <c r="P37" s="70">
        <f t="shared" si="11"/>
        <v>83221117.535999998</v>
      </c>
    </row>
    <row r="38" spans="2:16" x14ac:dyDescent="0.25">
      <c r="B38" s="247" t="s">
        <v>256</v>
      </c>
      <c r="D38" s="70">
        <f t="shared" ref="D38:P38" si="12">SUM(D15,D20)</f>
        <v>6688053.1350000007</v>
      </c>
      <c r="E38" s="70">
        <f t="shared" si="12"/>
        <v>7140318.6940000001</v>
      </c>
      <c r="F38" s="70">
        <f t="shared" si="12"/>
        <v>7104446.6290000007</v>
      </c>
      <c r="G38" s="70">
        <f t="shared" si="12"/>
        <v>8330697.0979999993</v>
      </c>
      <c r="H38" s="70">
        <f t="shared" si="12"/>
        <v>8162283.9390000002</v>
      </c>
      <c r="I38" s="70">
        <f t="shared" si="12"/>
        <v>8777916.9920000006</v>
      </c>
      <c r="J38" s="70">
        <f t="shared" si="12"/>
        <v>8611226.3090000004</v>
      </c>
      <c r="K38" s="70">
        <f t="shared" si="12"/>
        <v>7762085.6440000003</v>
      </c>
      <c r="L38" s="70">
        <f t="shared" si="12"/>
        <v>8766682.0969999991</v>
      </c>
      <c r="M38" s="70">
        <f t="shared" si="12"/>
        <v>7573334.8329999996</v>
      </c>
      <c r="N38" s="70">
        <f t="shared" si="12"/>
        <v>7167078.8760000002</v>
      </c>
      <c r="O38" s="70">
        <f t="shared" si="12"/>
        <v>6806252.2999999998</v>
      </c>
      <c r="P38" s="70">
        <f t="shared" si="12"/>
        <v>92890376.546000004</v>
      </c>
    </row>
    <row r="39" spans="2:16" x14ac:dyDescent="0.25">
      <c r="B39" s="73" t="s">
        <v>254</v>
      </c>
      <c r="D39" s="70">
        <f t="shared" ref="D39:P39" si="13">SUM(D16,D21)</f>
        <v>240632.88500000001</v>
      </c>
      <c r="E39" s="70">
        <f t="shared" si="13"/>
        <v>218993.361</v>
      </c>
      <c r="F39" s="70">
        <f t="shared" si="13"/>
        <v>394010.01699999999</v>
      </c>
      <c r="G39" s="70">
        <f t="shared" si="13"/>
        <v>847599.72800000012</v>
      </c>
      <c r="H39" s="70">
        <f t="shared" si="13"/>
        <v>1077414.8570000001</v>
      </c>
      <c r="I39" s="70">
        <f t="shared" si="13"/>
        <v>1330813.8329999999</v>
      </c>
      <c r="J39" s="70">
        <f t="shared" si="13"/>
        <v>1325771.6159999999</v>
      </c>
      <c r="K39" s="70">
        <f t="shared" si="13"/>
        <v>1121066.1390000002</v>
      </c>
      <c r="L39" s="70">
        <f t="shared" si="13"/>
        <v>1168449.2889999999</v>
      </c>
      <c r="M39" s="70">
        <f t="shared" si="13"/>
        <v>893054.15500000014</v>
      </c>
      <c r="N39" s="70">
        <f t="shared" si="13"/>
        <v>506734.11900000006</v>
      </c>
      <c r="O39" s="70">
        <f t="shared" si="13"/>
        <v>337365.24300000002</v>
      </c>
      <c r="P39" s="70">
        <f t="shared" si="13"/>
        <v>9461905.2420000006</v>
      </c>
    </row>
    <row r="40" spans="2:16" x14ac:dyDescent="0.25">
      <c r="B40" s="73" t="s">
        <v>255</v>
      </c>
      <c r="D40" s="70">
        <f t="shared" ref="D40:P40" si="14">SUM(D17,D22)</f>
        <v>9887590.4739999995</v>
      </c>
      <c r="E40" s="70">
        <f t="shared" si="14"/>
        <v>10002430.050000001</v>
      </c>
      <c r="F40" s="70">
        <f t="shared" si="14"/>
        <v>9766599.3550000004</v>
      </c>
      <c r="G40" s="70">
        <f t="shared" si="14"/>
        <v>10893863.317</v>
      </c>
      <c r="H40" s="70">
        <f t="shared" si="14"/>
        <v>10457618.891000001</v>
      </c>
      <c r="I40" s="70">
        <f t="shared" si="14"/>
        <v>12661353.471999999</v>
      </c>
      <c r="J40" s="70">
        <f t="shared" si="14"/>
        <v>11018693.926999999</v>
      </c>
      <c r="K40" s="70">
        <f t="shared" si="14"/>
        <v>11231225.152000001</v>
      </c>
      <c r="L40" s="70">
        <f t="shared" si="14"/>
        <v>11977383.537</v>
      </c>
      <c r="M40" s="70">
        <f t="shared" si="14"/>
        <v>10327309.396</v>
      </c>
      <c r="N40" s="70">
        <f t="shared" si="14"/>
        <v>9827500.061999999</v>
      </c>
      <c r="O40" s="70">
        <f t="shared" si="14"/>
        <v>9105912.245000001</v>
      </c>
      <c r="P40" s="70">
        <f t="shared" si="14"/>
        <v>127157479.87800002</v>
      </c>
    </row>
    <row r="41" spans="2:16" x14ac:dyDescent="0.25">
      <c r="B41" s="247" t="s">
        <v>13</v>
      </c>
      <c r="D41" s="70">
        <f t="shared" ref="D41:P41" si="15">D23</f>
        <v>1921334.9100000001</v>
      </c>
      <c r="E41" s="70">
        <f t="shared" si="15"/>
        <v>1869187.75</v>
      </c>
      <c r="F41" s="70">
        <f t="shared" si="15"/>
        <v>2068982.99</v>
      </c>
      <c r="G41" s="70">
        <f t="shared" si="15"/>
        <v>3006871.56</v>
      </c>
      <c r="H41" s="70">
        <f t="shared" si="15"/>
        <v>3833917.62</v>
      </c>
      <c r="I41" s="70">
        <f t="shared" si="15"/>
        <v>4352917.41</v>
      </c>
      <c r="J41" s="70">
        <f t="shared" si="15"/>
        <v>4443467.74</v>
      </c>
      <c r="K41" s="70">
        <f t="shared" si="15"/>
        <v>3867486.2699999996</v>
      </c>
      <c r="L41" s="70">
        <f t="shared" si="15"/>
        <v>3813818.93</v>
      </c>
      <c r="M41" s="70">
        <f t="shared" si="15"/>
        <v>3266173.4099999997</v>
      </c>
      <c r="N41" s="70">
        <f t="shared" si="15"/>
        <v>2607580.04</v>
      </c>
      <c r="O41" s="70">
        <f t="shared" si="15"/>
        <v>2223953.0499999998</v>
      </c>
      <c r="P41" s="70">
        <f t="shared" si="15"/>
        <v>37275691.68</v>
      </c>
    </row>
    <row r="42" spans="2:16" x14ac:dyDescent="0.25">
      <c r="B42" s="75" t="s">
        <v>109</v>
      </c>
      <c r="D42" s="76">
        <f>SUM(D35:D41)-D24</f>
        <v>0</v>
      </c>
      <c r="E42" s="76">
        <f t="shared" ref="E42:P42" si="16">SUM(E35:E41)-E24</f>
        <v>0</v>
      </c>
      <c r="F42" s="76">
        <f t="shared" si="16"/>
        <v>0</v>
      </c>
      <c r="G42" s="76">
        <f t="shared" si="16"/>
        <v>0</v>
      </c>
      <c r="H42" s="76">
        <f t="shared" si="16"/>
        <v>0</v>
      </c>
      <c r="I42" s="76">
        <f t="shared" si="16"/>
        <v>0</v>
      </c>
      <c r="J42" s="76">
        <f t="shared" si="16"/>
        <v>0</v>
      </c>
      <c r="K42" s="76">
        <f t="shared" si="16"/>
        <v>0</v>
      </c>
      <c r="L42" s="76">
        <f t="shared" si="16"/>
        <v>0</v>
      </c>
      <c r="M42" s="76">
        <f t="shared" si="16"/>
        <v>0</v>
      </c>
      <c r="N42" s="76">
        <f t="shared" si="16"/>
        <v>0</v>
      </c>
      <c r="O42" s="76">
        <f t="shared" si="16"/>
        <v>0</v>
      </c>
      <c r="P42" s="76">
        <f t="shared" si="16"/>
        <v>0</v>
      </c>
    </row>
  </sheetData>
  <mergeCells count="3">
    <mergeCell ref="B1:P1"/>
    <mergeCell ref="B2:P2"/>
    <mergeCell ref="B3:P3"/>
  </mergeCells>
  <printOptions horizontalCentered="1"/>
  <pageMargins left="0.7" right="0.7" top="0.75" bottom="0.75" header="0.3" footer="0.3"/>
  <pageSetup scale="60" orientation="landscape" blackAndWhite="1" r:id="rId1"/>
  <headerFooter>
    <oddFooter>&amp;L&amp;F 
&amp;A&amp;C&amp;P&amp;R&amp;D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F38" sqref="F38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E40" sqref="E40"/>
      <selection pane="topRight" activeCell="E40" sqref="E40"/>
      <selection pane="bottomLeft" activeCell="E40" sqref="E40"/>
      <selection pane="bottomRight" activeCell="M33" sqref="M33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" customWidth="1"/>
    <col min="5" max="5" width="18.5703125" bestFit="1" customWidth="1"/>
    <col min="6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0" width="12.85546875" bestFit="1" customWidth="1"/>
    <col min="11" max="11" width="13.28515625" bestFit="1" customWidth="1"/>
    <col min="12" max="13" width="10" bestFit="1" customWidth="1"/>
    <col min="14" max="15" width="13.28515625" bestFit="1" customWidth="1"/>
    <col min="16" max="16" width="15.7109375" bestFit="1" customWidth="1"/>
    <col min="17" max="17" width="13.28515625" bestFit="1" customWidth="1"/>
    <col min="18" max="18" width="8.85546875" bestFit="1" customWidth="1"/>
    <col min="19" max="19" width="13.7109375" bestFit="1" customWidth="1"/>
  </cols>
  <sheetData>
    <row r="1" spans="2:18" x14ac:dyDescent="0.25">
      <c r="B1" s="780" t="s">
        <v>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780"/>
      <c r="R1" s="780"/>
    </row>
    <row r="2" spans="2:18" x14ac:dyDescent="0.25">
      <c r="B2" s="780" t="s">
        <v>435</v>
      </c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780"/>
      <c r="R2" s="780"/>
    </row>
    <row r="3" spans="2:18" x14ac:dyDescent="0.25">
      <c r="B3" s="781" t="s">
        <v>472</v>
      </c>
      <c r="C3" s="781"/>
      <c r="D3" s="781"/>
      <c r="E3" s="781"/>
      <c r="F3" s="781"/>
      <c r="G3" s="781"/>
      <c r="H3" s="781"/>
      <c r="I3" s="781"/>
      <c r="J3" s="781"/>
      <c r="K3" s="781"/>
      <c r="L3" s="781"/>
      <c r="M3" s="781"/>
      <c r="N3" s="781"/>
      <c r="O3" s="781"/>
      <c r="P3" s="781"/>
      <c r="Q3" s="781"/>
      <c r="R3" s="781"/>
    </row>
    <row r="4" spans="2:18" x14ac:dyDescent="0.25">
      <c r="B4" s="781"/>
      <c r="C4" s="781"/>
      <c r="D4" s="781"/>
      <c r="E4" s="781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</row>
    <row r="5" spans="2:18" x14ac:dyDescent="0.25">
      <c r="K5" s="248"/>
      <c r="O5" s="248"/>
    </row>
    <row r="6" spans="2:18" x14ac:dyDescent="0.25">
      <c r="B6" s="5"/>
      <c r="C6" s="5"/>
      <c r="D6" s="5" t="s">
        <v>437</v>
      </c>
      <c r="E6" s="248"/>
      <c r="F6" s="5"/>
      <c r="G6" s="5"/>
      <c r="H6" s="5"/>
      <c r="I6" s="5"/>
      <c r="J6" s="5"/>
      <c r="K6" s="5"/>
      <c r="L6" s="5"/>
      <c r="M6" s="5" t="s">
        <v>431</v>
      </c>
      <c r="N6" s="5" t="s">
        <v>431</v>
      </c>
      <c r="O6" s="5"/>
      <c r="P6" s="252" t="s">
        <v>456</v>
      </c>
      <c r="Q6" s="252" t="s">
        <v>434</v>
      </c>
      <c r="R6" s="5"/>
    </row>
    <row r="7" spans="2:18" x14ac:dyDescent="0.25">
      <c r="B7" s="5"/>
      <c r="C7" s="5" t="s">
        <v>17</v>
      </c>
      <c r="D7" s="5" t="s">
        <v>3</v>
      </c>
      <c r="E7" s="248" t="s">
        <v>437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114</v>
      </c>
      <c r="K7" s="5" t="s">
        <v>16</v>
      </c>
      <c r="L7" s="5" t="s">
        <v>434</v>
      </c>
      <c r="M7" s="5" t="s">
        <v>430</v>
      </c>
      <c r="N7" s="5" t="s">
        <v>74</v>
      </c>
      <c r="O7" s="5" t="s">
        <v>110</v>
      </c>
      <c r="P7" s="5" t="s">
        <v>438</v>
      </c>
      <c r="Q7" s="5" t="s">
        <v>2</v>
      </c>
      <c r="R7" s="5" t="s">
        <v>20</v>
      </c>
    </row>
    <row r="8" spans="2:18" x14ac:dyDescent="0.25">
      <c r="B8" s="6" t="s">
        <v>4</v>
      </c>
      <c r="C8" s="6" t="s">
        <v>21</v>
      </c>
      <c r="D8" s="249" t="s">
        <v>455</v>
      </c>
      <c r="E8" s="6" t="s">
        <v>453</v>
      </c>
      <c r="F8" s="6" t="s">
        <v>2</v>
      </c>
      <c r="G8" s="6" t="s">
        <v>2</v>
      </c>
      <c r="H8" s="6" t="s">
        <v>2</v>
      </c>
      <c r="I8" s="6" t="s">
        <v>2</v>
      </c>
      <c r="J8" s="6" t="s">
        <v>2</v>
      </c>
      <c r="K8" s="6" t="s">
        <v>2</v>
      </c>
      <c r="L8" s="6" t="s">
        <v>2</v>
      </c>
      <c r="M8" s="6" t="s">
        <v>2</v>
      </c>
      <c r="N8" s="6" t="s">
        <v>2</v>
      </c>
      <c r="O8" s="6" t="s">
        <v>2</v>
      </c>
      <c r="P8" s="6" t="s">
        <v>2</v>
      </c>
      <c r="Q8" s="6" t="s">
        <v>24</v>
      </c>
      <c r="R8" s="6" t="s">
        <v>24</v>
      </c>
    </row>
    <row r="9" spans="2:18" x14ac:dyDescent="0.25">
      <c r="B9" s="5" t="s">
        <v>25</v>
      </c>
      <c r="C9" s="5" t="s">
        <v>26</v>
      </c>
      <c r="D9" s="5" t="s">
        <v>27</v>
      </c>
      <c r="E9" s="5" t="s">
        <v>28</v>
      </c>
      <c r="F9" s="5" t="s">
        <v>337</v>
      </c>
      <c r="G9" s="5" t="s">
        <v>338</v>
      </c>
      <c r="H9" s="5" t="s">
        <v>339</v>
      </c>
      <c r="I9" s="7" t="s">
        <v>111</v>
      </c>
      <c r="J9" s="5" t="s">
        <v>452</v>
      </c>
      <c r="K9" s="5" t="s">
        <v>29</v>
      </c>
      <c r="L9" s="7" t="s">
        <v>51</v>
      </c>
      <c r="M9" s="7" t="s">
        <v>112</v>
      </c>
      <c r="N9" s="7" t="s">
        <v>259</v>
      </c>
      <c r="O9" s="5" t="s">
        <v>113</v>
      </c>
      <c r="P9" s="7" t="s">
        <v>260</v>
      </c>
      <c r="Q9" s="5" t="s">
        <v>261</v>
      </c>
      <c r="R9" s="5" t="s">
        <v>473</v>
      </c>
    </row>
    <row r="10" spans="2:18" x14ac:dyDescent="0.25">
      <c r="B10" t="s">
        <v>7</v>
      </c>
      <c r="C10" s="8" t="s">
        <v>30</v>
      </c>
      <c r="D10" s="194">
        <f>SUM('Normalized Therms'!P10,'Normalized Therms'!P12)</f>
        <v>603105848.20999992</v>
      </c>
      <c r="E10" s="165">
        <v>311319235.66274381</v>
      </c>
      <c r="F10" s="165">
        <v>197005848.44792041</v>
      </c>
      <c r="G10" s="165">
        <f>'Schedule 106 Revenue'!F8</f>
        <v>-35148991.630000003</v>
      </c>
      <c r="H10" s="165">
        <f>'Schedule 120 Revenue'!F8</f>
        <v>10270892.595016299</v>
      </c>
      <c r="I10" s="165">
        <f>'Schedule 129 Revenue'!G8</f>
        <v>3238678.4048876995</v>
      </c>
      <c r="J10" s="165">
        <f>'Schedule 132 Revenue'!F8</f>
        <v>-2159118.9365917998</v>
      </c>
      <c r="K10" s="165">
        <f>'Schedule 140 Revenue'!F8</f>
        <v>14764031.164180798</v>
      </c>
      <c r="L10" s="165">
        <f>SUM('Schedule 141 Revenue'!G9:G14)</f>
        <v>0</v>
      </c>
      <c r="M10" s="165"/>
      <c r="N10" s="165">
        <f>'Sch 142 Revenue (Decoupling)'!G10</f>
        <v>49183281.920000002</v>
      </c>
      <c r="O10" s="165">
        <f>'Schedule 149 Revenue'!F8</f>
        <v>6760816.558434099</v>
      </c>
      <c r="P10" s="171">
        <f>SUM(E10:O10)</f>
        <v>555234674.18659139</v>
      </c>
      <c r="Q10" s="165">
        <f>SUM('Schedule 141 Revenue'!$H$9:$H$14)</f>
        <v>19054825.133357141</v>
      </c>
      <c r="R10" s="244">
        <f>Q10/P10</f>
        <v>3.4318507145239284E-2</v>
      </c>
    </row>
    <row r="11" spans="2:18" x14ac:dyDescent="0.25">
      <c r="B11" t="s">
        <v>31</v>
      </c>
      <c r="C11" s="8">
        <v>16</v>
      </c>
      <c r="D11" s="194">
        <f>'Normalized Therms'!P11</f>
        <v>9592.0450000000001</v>
      </c>
      <c r="E11" s="165">
        <v>4891.9429499999997</v>
      </c>
      <c r="F11" s="165">
        <v>3135.0841815789481</v>
      </c>
      <c r="G11" s="165">
        <f>'Schedule 106 Revenue'!F9</f>
        <v>-560.38</v>
      </c>
      <c r="H11" s="165">
        <f>'Schedule 120 Revenue'!F9</f>
        <v>163.35252635000001</v>
      </c>
      <c r="I11" s="165">
        <v>0</v>
      </c>
      <c r="J11" s="165">
        <f>'Schedule 132 Revenue'!F9</f>
        <v>-34.339521099999999</v>
      </c>
      <c r="K11" s="165">
        <f>'Schedule 140 Revenue'!F9</f>
        <v>234.81326160000003</v>
      </c>
      <c r="L11" s="165">
        <f>'Schedule 141 Revenue'!G17</f>
        <v>0</v>
      </c>
      <c r="M11" s="165">
        <f>'Sch 142 Revenue (Rate Plan)'!G10</f>
        <v>0</v>
      </c>
      <c r="N11" s="165"/>
      <c r="O11" s="165">
        <f>'Schedule 149 Revenue'!F9</f>
        <v>107.52682444999999</v>
      </c>
      <c r="P11" s="171">
        <f t="shared" ref="P11:P22" si="0">SUM(E11:O11)</f>
        <v>7938.0002228789481</v>
      </c>
      <c r="Q11" s="165">
        <f>'Schedule 141 Revenue'!$H$17</f>
        <v>297.85823947368414</v>
      </c>
      <c r="R11" s="244">
        <f t="shared" ref="R11:R22" si="1">Q11/P11</f>
        <v>3.7523082780370233E-2</v>
      </c>
    </row>
    <row r="12" spans="2:18" x14ac:dyDescent="0.25">
      <c r="B12" t="s">
        <v>8</v>
      </c>
      <c r="C12" s="8">
        <v>31</v>
      </c>
      <c r="D12" s="194">
        <f>'Normalized Therms'!P13</f>
        <v>228604732.46999997</v>
      </c>
      <c r="E12" s="165">
        <v>91578256.92346701</v>
      </c>
      <c r="F12" s="165">
        <v>72863186.380163103</v>
      </c>
      <c r="G12" s="165">
        <f>'Schedule 106 Revenue'!F10</f>
        <v>-13320797.76</v>
      </c>
      <c r="H12" s="165">
        <f>'Schedule 120 Revenue'!F10</f>
        <v>3893138.5939640994</v>
      </c>
      <c r="I12" s="165">
        <f>'Schedule 129 Revenue'!G10</f>
        <v>978428.2549715999</v>
      </c>
      <c r="J12" s="165">
        <f>'Schedule 132 Revenue'!F10</f>
        <v>-566939.73652559996</v>
      </c>
      <c r="K12" s="165">
        <f>'Schedule 140 Revenue'!F10</f>
        <v>6028306.7952338997</v>
      </c>
      <c r="L12" s="165">
        <f>SUM('Schedule 141 Revenue'!G20:G22)</f>
        <v>0</v>
      </c>
      <c r="M12" s="165"/>
      <c r="N12" s="165">
        <f>'Sch 142 Revenue (Decoupling)'!G15</f>
        <v>1659670.3599999999</v>
      </c>
      <c r="O12" s="165">
        <f>'Schedule 149 Revenue'!F10</f>
        <v>2487219.4892735998</v>
      </c>
      <c r="P12" s="171">
        <f t="shared" si="0"/>
        <v>165600469.30054775</v>
      </c>
      <c r="Q12" s="165">
        <f>SUM('Schedule 141 Revenue'!$H$20:$H$22)</f>
        <v>6031970.3797371164</v>
      </c>
      <c r="R12" s="244">
        <f t="shared" si="1"/>
        <v>3.6424838680799349E-2</v>
      </c>
    </row>
    <row r="13" spans="2:18" x14ac:dyDescent="0.25">
      <c r="B13" t="s">
        <v>9</v>
      </c>
      <c r="C13" s="8">
        <v>41</v>
      </c>
      <c r="D13" s="194">
        <f>'Normalized Therms'!P14</f>
        <v>63966868.016999997</v>
      </c>
      <c r="E13" s="165">
        <v>14456233.31830545</v>
      </c>
      <c r="F13" s="165">
        <v>18624424.888310701</v>
      </c>
      <c r="G13" s="165">
        <f>'Schedule 106 Revenue'!F11</f>
        <v>-3723511.39</v>
      </c>
      <c r="H13" s="165">
        <f>'Schedule 120 Revenue'!F11</f>
        <v>1089355.7623295099</v>
      </c>
      <c r="I13" s="165">
        <f>'Schedule 129 Revenue'!G13</f>
        <v>143925.45303824998</v>
      </c>
      <c r="J13" s="165">
        <f>'Schedule 132 Revenue'!F11</f>
        <v>-159277.50136232999</v>
      </c>
      <c r="K13" s="165">
        <f>'Schedule 140 Revenue'!F11</f>
        <v>583377.83631503989</v>
      </c>
      <c r="L13" s="165">
        <f>SUM('Schedule 141 Revenue'!G32:G41)</f>
        <v>0</v>
      </c>
      <c r="M13" s="165"/>
      <c r="N13" s="165">
        <f>'Sch 142 Revenue (Decoupling)'!G28</f>
        <v>1266103.8999999999</v>
      </c>
      <c r="O13" s="165">
        <f>'Schedule 149 Revenue'!F11</f>
        <v>397873.91906573996</v>
      </c>
      <c r="P13" s="171">
        <f t="shared" si="0"/>
        <v>32678506.186002355</v>
      </c>
      <c r="Q13" s="165">
        <f>SUM('Schedule 141 Revenue'!$H$32:$H$41)</f>
        <v>1159420.1974828946</v>
      </c>
      <c r="R13" s="244">
        <f t="shared" si="1"/>
        <v>3.5479596003673064E-2</v>
      </c>
    </row>
    <row r="14" spans="2:18" x14ac:dyDescent="0.25">
      <c r="B14" t="s">
        <v>10</v>
      </c>
      <c r="C14" s="8">
        <v>85</v>
      </c>
      <c r="D14" s="194">
        <f>'Normalized Therms'!P15</f>
        <v>16307789.425999999</v>
      </c>
      <c r="E14" s="165">
        <v>1589956.2565282346</v>
      </c>
      <c r="F14" s="165">
        <v>4494980.4766552001</v>
      </c>
      <c r="G14" s="165">
        <f>'Schedule 106 Revenue'!F12</f>
        <v>-948950.27</v>
      </c>
      <c r="H14" s="165">
        <f>'Schedule 120 Revenue'!F12</f>
        <v>243475.29613017998</v>
      </c>
      <c r="I14" s="165">
        <f>'Schedule 129 Revenue'!G20</f>
        <v>18238.357395419996</v>
      </c>
      <c r="J14" s="165">
        <f>'Schedule 132 Revenue'!F12</f>
        <v>-7827.7389244799997</v>
      </c>
      <c r="K14" s="165">
        <f>'Schedule 140 Revenue'!F12</f>
        <v>71917.351368659991</v>
      </c>
      <c r="L14" s="165">
        <f>SUM('Schedule 141 Revenue'!G54:G61)</f>
        <v>0</v>
      </c>
      <c r="M14" s="165">
        <f>'Sch 142 Revenue (Rate Plan)'!G20</f>
        <v>0</v>
      </c>
      <c r="N14" s="165"/>
      <c r="O14" s="165">
        <f>'Schedule 149 Revenue'!F12</f>
        <v>53978.783000059993</v>
      </c>
      <c r="P14" s="171">
        <f t="shared" si="0"/>
        <v>5515768.5121532753</v>
      </c>
      <c r="Q14" s="165">
        <f>SUM('Schedule 141 Revenue'!$H$54:$H$61)</f>
        <v>156474.36712188696</v>
      </c>
      <c r="R14" s="244">
        <f t="shared" si="1"/>
        <v>2.8368552229325095E-2</v>
      </c>
    </row>
    <row r="15" spans="2:18" x14ac:dyDescent="0.25">
      <c r="B15" t="s">
        <v>11</v>
      </c>
      <c r="C15" s="8">
        <v>86</v>
      </c>
      <c r="D15" s="194">
        <f>'Normalized Therms'!P16</f>
        <v>9107268.5420000013</v>
      </c>
      <c r="E15" s="165">
        <v>1944724.1433509393</v>
      </c>
      <c r="F15" s="165">
        <v>2526653.7291643196</v>
      </c>
      <c r="G15" s="165">
        <f>'Schedule 106 Revenue'!F13</f>
        <v>-529951.96</v>
      </c>
      <c r="H15" s="165">
        <f>'Schedule 120 Revenue'!F13</f>
        <v>135971.51933206004</v>
      </c>
      <c r="I15" s="165">
        <f>'Schedule 129 Revenue'!G22</f>
        <v>19944.918106980003</v>
      </c>
      <c r="J15" s="165">
        <f>'Schedule 132 Revenue'!F13</f>
        <v>-23041.389411260003</v>
      </c>
      <c r="K15" s="165">
        <f>'Schedule 140 Revenue'!F13</f>
        <v>77685.000663260013</v>
      </c>
      <c r="L15" s="165">
        <f>SUM('Schedule 141 Revenue'!G73:G79)</f>
        <v>0</v>
      </c>
      <c r="M15" s="165"/>
      <c r="N15" s="165">
        <f>'Sch 142 Revenue (Decoupling)'!G46</f>
        <v>179041.35</v>
      </c>
      <c r="O15" s="165">
        <f>'Schedule 149 Revenue'!F13</f>
        <v>37795.164449300006</v>
      </c>
      <c r="P15" s="171">
        <f t="shared" si="0"/>
        <v>4368822.4756555995</v>
      </c>
      <c r="Q15" s="165">
        <f>SUM('Schedule 141 Revenue'!$H$73:$H$79)</f>
        <v>156592.62078755643</v>
      </c>
      <c r="R15" s="244">
        <f t="shared" si="1"/>
        <v>3.5843209848909603E-2</v>
      </c>
    </row>
    <row r="16" spans="2:18" x14ac:dyDescent="0.25">
      <c r="B16" t="s">
        <v>12</v>
      </c>
      <c r="C16" s="8">
        <v>87</v>
      </c>
      <c r="D16" s="194">
        <f>'Normalized Therms'!P17</f>
        <v>23273158.627999999</v>
      </c>
      <c r="E16" s="165">
        <v>1093496.3989577971</v>
      </c>
      <c r="F16" s="165">
        <v>6293993.0193563206</v>
      </c>
      <c r="G16" s="165">
        <f>'Schedule 106 Revenue'!F14</f>
        <v>-1353799.64</v>
      </c>
      <c r="H16" s="165">
        <f>'Schedule 120 Revenue'!F14</f>
        <v>347468.25831603998</v>
      </c>
      <c r="I16" s="165">
        <f>'Schedule 129 Revenue'!G32</f>
        <v>10512.457794129999</v>
      </c>
      <c r="J16" s="165">
        <f>'Schedule 132 Revenue'!F14</f>
        <v>-8843.8002786399993</v>
      </c>
      <c r="K16" s="165">
        <f>'Schedule 140 Revenue'!F14</f>
        <v>68423.08636632</v>
      </c>
      <c r="L16" s="165">
        <f>SUM('Schedule 141 Revenue'!G91:G101)</f>
        <v>0</v>
      </c>
      <c r="M16" s="165">
        <f>'Sch 142 Revenue (Rate Plan)'!G44</f>
        <v>0</v>
      </c>
      <c r="N16" s="165"/>
      <c r="O16" s="165">
        <f>'Schedule 149 Revenue'!F14</f>
        <v>47011.78042856</v>
      </c>
      <c r="P16" s="171">
        <f t="shared" si="0"/>
        <v>6498261.5609405283</v>
      </c>
      <c r="Q16" s="165">
        <f>SUM('Schedule 141 Revenue'!$H$91:$H$101)</f>
        <v>107678.99516696806</v>
      </c>
      <c r="R16" s="244">
        <f t="shared" si="1"/>
        <v>1.657043105408381E-2</v>
      </c>
    </row>
    <row r="17" spans="2:21" x14ac:dyDescent="0.25">
      <c r="B17" t="s">
        <v>32</v>
      </c>
      <c r="C17" s="8" t="s">
        <v>33</v>
      </c>
      <c r="D17" s="194">
        <f>'Normalized Therms'!P18</f>
        <v>43413.770000000004</v>
      </c>
      <c r="E17" s="165">
        <v>25885.709759820398</v>
      </c>
      <c r="F17" s="165">
        <v>30.389638999999999</v>
      </c>
      <c r="G17" s="223"/>
      <c r="H17" s="165"/>
      <c r="I17" s="165">
        <f>'Schedule 129 Revenue'!G11</f>
        <v>185.81093560000002</v>
      </c>
      <c r="J17" s="165">
        <f>'Schedule 132 Revenue'!F15</f>
        <v>-107.66614960000001</v>
      </c>
      <c r="K17" s="165">
        <f>'Schedule 140 Revenue'!F15</f>
        <v>1144.8211149000001</v>
      </c>
      <c r="L17" s="165">
        <f>SUM('Schedule 141 Revenue'!G25:G26)</f>
        <v>0</v>
      </c>
      <c r="M17" s="165"/>
      <c r="N17" s="165">
        <f>'Sch 142 Revenue (Decoupling)'!G20</f>
        <v>306.5</v>
      </c>
      <c r="O17" s="165">
        <f>'Schedule 149 Revenue'!F15</f>
        <v>472.34181760000007</v>
      </c>
      <c r="P17" s="171">
        <f t="shared" si="0"/>
        <v>27917.907117320399</v>
      </c>
      <c r="Q17" s="165">
        <f>SUM('Schedule 141 Revenue'!$H$25:$H$26)</f>
        <v>1107.6281126969516</v>
      </c>
      <c r="R17" s="244">
        <f t="shared" si="1"/>
        <v>3.9674468005152647E-2</v>
      </c>
    </row>
    <row r="18" spans="2:21" x14ac:dyDescent="0.25">
      <c r="B18" t="s">
        <v>34</v>
      </c>
      <c r="C18" t="s">
        <v>35</v>
      </c>
      <c r="D18" s="194">
        <f>'Normalized Therms'!P19</f>
        <v>19254249.518999998</v>
      </c>
      <c r="E18" s="165">
        <v>3995567.7266982314</v>
      </c>
      <c r="F18" s="165">
        <v>13477.9746633</v>
      </c>
      <c r="G18" s="223"/>
      <c r="H18" s="165"/>
      <c r="I18" s="165">
        <f>'Schedule 129 Revenue'!G14</f>
        <v>43322.061417749988</v>
      </c>
      <c r="J18" s="165">
        <f>'Schedule 132 Revenue'!F16</f>
        <v>-47943.081302309991</v>
      </c>
      <c r="K18" s="165">
        <f>'Schedule 140 Revenue'!F16</f>
        <v>175598.75561327997</v>
      </c>
      <c r="L18" s="165">
        <f>SUM('Schedule 141 Revenue'!G44:G51)</f>
        <v>0</v>
      </c>
      <c r="M18" s="165"/>
      <c r="N18" s="165">
        <f>'Sch 142 Revenue (Decoupling)'!G36</f>
        <v>389154.95</v>
      </c>
      <c r="O18" s="165">
        <f>'Schedule 149 Revenue'!F16</f>
        <v>119761.43200817998</v>
      </c>
      <c r="P18" s="171">
        <f>SUM(E18:O18)</f>
        <v>4688939.8190984316</v>
      </c>
      <c r="Q18" s="165">
        <f>SUM('Schedule 141 Revenue'!$H$44:$H$51)</f>
        <v>171214.0154874326</v>
      </c>
      <c r="R18" s="244">
        <f t="shared" si="1"/>
        <v>3.6514440810279554E-2</v>
      </c>
    </row>
    <row r="19" spans="2:21" x14ac:dyDescent="0.25">
      <c r="B19" t="s">
        <v>36</v>
      </c>
      <c r="C19" t="s">
        <v>37</v>
      </c>
      <c r="D19" s="194">
        <f>'Normalized Therms'!P20</f>
        <v>76582587.120000005</v>
      </c>
      <c r="E19" s="165">
        <v>7037315.1964751901</v>
      </c>
      <c r="F19" s="165">
        <v>53607.810984000011</v>
      </c>
      <c r="G19" s="223"/>
      <c r="H19" s="165"/>
      <c r="I19" s="165">
        <f>'Schedule 129 Revenue'!G38</f>
        <v>76771.472940399995</v>
      </c>
      <c r="J19" s="165">
        <f>'Schedule 132 Revenue'!F17</f>
        <v>-36759.641817600001</v>
      </c>
      <c r="K19" s="165">
        <f>'Schedule 140 Revenue'!F17</f>
        <v>337729.20919920004</v>
      </c>
      <c r="L19" s="165">
        <f>SUM('Schedule 141 Revenue'!G64:G70)</f>
        <v>0</v>
      </c>
      <c r="M19" s="165">
        <f>'Sch 142 Revenue (Rate Plan)'!G29</f>
        <v>0</v>
      </c>
      <c r="N19" s="165"/>
      <c r="O19" s="165">
        <f>'Schedule 149 Revenue'!F17</f>
        <v>253488.36336720001</v>
      </c>
      <c r="P19" s="171">
        <f t="shared" si="0"/>
        <v>7722152.4111483907</v>
      </c>
      <c r="Q19" s="165">
        <f>SUM('Schedule 141 Revenue'!$H$64:$H$70)</f>
        <v>302602.67537115456</v>
      </c>
      <c r="R19" s="244">
        <f t="shared" si="1"/>
        <v>3.9186312217082152E-2</v>
      </c>
    </row>
    <row r="20" spans="2:21" x14ac:dyDescent="0.25">
      <c r="B20" t="s">
        <v>38</v>
      </c>
      <c r="C20" t="s">
        <v>39</v>
      </c>
      <c r="D20" s="194">
        <f>'Normalized Therms'!P21</f>
        <v>354636.7</v>
      </c>
      <c r="E20" s="165">
        <v>84408.74029168782</v>
      </c>
      <c r="F20" s="165">
        <v>248.24569000000002</v>
      </c>
      <c r="G20" s="223"/>
      <c r="H20" s="165"/>
      <c r="I20" s="165">
        <f>'Schedule 129 Revenue'!G23</f>
        <v>776.65437300000008</v>
      </c>
      <c r="J20" s="165">
        <f>'Schedule 132 Revenue'!F18</f>
        <v>-897.23085100000003</v>
      </c>
      <c r="K20" s="165">
        <f>'Schedule 140 Revenue'!F18</f>
        <v>3025.0510509999999</v>
      </c>
      <c r="L20" s="165">
        <f>SUM('Schedule 141 Revenue'!G82:G88)</f>
        <v>0</v>
      </c>
      <c r="M20" s="165"/>
      <c r="N20" s="165">
        <f>'Sch 142 Revenue (Decoupling)'!G53</f>
        <v>7098.91</v>
      </c>
      <c r="O20" s="165">
        <f>'Schedule 149 Revenue'!F18</f>
        <v>1471.742305</v>
      </c>
      <c r="P20" s="171">
        <f t="shared" si="0"/>
        <v>96132.112859687826</v>
      </c>
      <c r="Q20" s="165">
        <f>SUM('Schedule 141 Revenue'!$H$82:$H$88)</f>
        <v>3616.0343886709061</v>
      </c>
      <c r="R20" s="244">
        <f t="shared" si="1"/>
        <v>3.7615259678613171E-2</v>
      </c>
    </row>
    <row r="21" spans="2:21" x14ac:dyDescent="0.25">
      <c r="B21" t="s">
        <v>40</v>
      </c>
      <c r="C21" t="s">
        <v>41</v>
      </c>
      <c r="D21" s="194">
        <f>'Normalized Therms'!P22</f>
        <v>103884321.25000001</v>
      </c>
      <c r="E21" s="165">
        <v>3564358.6664720275</v>
      </c>
      <c r="F21" s="165">
        <v>72719.024875000003</v>
      </c>
      <c r="G21" s="165"/>
      <c r="H21" s="165"/>
      <c r="I21" s="165">
        <f>'Schedule 129 Revenue'!G47</f>
        <v>37708.554543300001</v>
      </c>
      <c r="J21" s="165">
        <f>'Schedule 132 Revenue'!F19</f>
        <v>-39476.042075000005</v>
      </c>
      <c r="K21" s="165">
        <f>'Schedule 140 Revenue'!F19</f>
        <v>305419.90447500005</v>
      </c>
      <c r="L21" s="165">
        <f>SUM('Schedule 141 Revenue'!G104:G114)</f>
        <v>0</v>
      </c>
      <c r="M21" s="165">
        <f>'Sch 142 Revenue (Rate Plan)'!G56</f>
        <v>0</v>
      </c>
      <c r="N21" s="165"/>
      <c r="O21" s="165">
        <f>'Schedule 149 Revenue'!F19</f>
        <v>209846.32892500004</v>
      </c>
      <c r="P21" s="171">
        <f t="shared" si="0"/>
        <v>4150576.4372153282</v>
      </c>
      <c r="Q21" s="165">
        <f>SUM('Schedule 141 Revenue'!$H$104:$H$114)</f>
        <v>154300.69431600688</v>
      </c>
      <c r="R21" s="244">
        <f t="shared" si="1"/>
        <v>3.7175726468376781E-2</v>
      </c>
    </row>
    <row r="22" spans="2:21" x14ac:dyDescent="0.25">
      <c r="B22" t="s">
        <v>13</v>
      </c>
      <c r="D22" s="194">
        <f>'Normalized Therms'!P23</f>
        <v>37275691.68</v>
      </c>
      <c r="E22" s="165">
        <v>1726553.2512827553</v>
      </c>
      <c r="F22" s="165"/>
      <c r="G22" s="165"/>
      <c r="H22" s="165"/>
      <c r="I22" s="165">
        <v>0</v>
      </c>
      <c r="J22" s="165">
        <f>'Schedule 132 Revenue'!F20</f>
        <v>-8573.4090864000009</v>
      </c>
      <c r="K22" s="165">
        <f>'Schedule 140 Revenue'!F20</f>
        <v>119654.9702928</v>
      </c>
      <c r="L22" s="165">
        <f>'Schedule 141 Revenue'!G139</f>
        <v>0</v>
      </c>
      <c r="M22" s="165"/>
      <c r="N22" s="165"/>
      <c r="O22" s="165">
        <f>'Schedule 149 Revenue'!F20</f>
        <v>92070.958449600002</v>
      </c>
      <c r="P22" s="171">
        <f t="shared" si="0"/>
        <v>1929705.7709387555</v>
      </c>
      <c r="Q22" s="165">
        <f>'Schedule 141 Revenue'!$H$139</f>
        <v>35274.722042470239</v>
      </c>
      <c r="R22" s="244">
        <f t="shared" si="1"/>
        <v>1.8279844820752095E-2</v>
      </c>
    </row>
    <row r="23" spans="2:21" x14ac:dyDescent="0.25">
      <c r="B23" t="s">
        <v>6</v>
      </c>
      <c r="D23" s="15">
        <f>SUM(D10:D22)</f>
        <v>1181770157.3770001</v>
      </c>
      <c r="E23" s="16">
        <f>SUM(E10:E22)</f>
        <v>438420883.93728304</v>
      </c>
      <c r="F23" s="16">
        <f t="shared" ref="F23:H23" si="2">SUM(F10:F22)</f>
        <v>301952305.47160286</v>
      </c>
      <c r="G23" s="16">
        <f t="shared" si="2"/>
        <v>-55026563.030000009</v>
      </c>
      <c r="H23" s="16">
        <f t="shared" si="2"/>
        <v>15980465.377614539</v>
      </c>
      <c r="I23" s="16">
        <f>SUM(I10:I22)</f>
        <v>4568492.4004041292</v>
      </c>
      <c r="J23" s="16">
        <f t="shared" ref="J23:P23" si="3">SUM(J10:J22)</f>
        <v>-3058840.5138971196</v>
      </c>
      <c r="K23" s="16">
        <f t="shared" si="3"/>
        <v>22536548.759135753</v>
      </c>
      <c r="L23" s="16">
        <f t="shared" si="3"/>
        <v>0</v>
      </c>
      <c r="M23" s="16">
        <f t="shared" si="3"/>
        <v>0</v>
      </c>
      <c r="N23" s="16">
        <f t="shared" si="3"/>
        <v>52684657.890000001</v>
      </c>
      <c r="O23" s="16">
        <f t="shared" si="3"/>
        <v>10461914.388348391</v>
      </c>
      <c r="P23" s="172">
        <f t="shared" si="3"/>
        <v>788519864.68049181</v>
      </c>
      <c r="Q23" s="16">
        <f>SUM(Q10:Q22)</f>
        <v>27335375.321611471</v>
      </c>
      <c r="R23" s="245">
        <f>Q23/P23</f>
        <v>3.4666692046734629E-2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1"/>
      <c r="K24" s="20"/>
      <c r="L24" s="20"/>
      <c r="M24" s="20"/>
      <c r="N24" s="20"/>
      <c r="O24" s="20"/>
      <c r="P24" s="20"/>
      <c r="Q24" s="23"/>
      <c r="R24" s="27"/>
    </row>
    <row r="25" spans="2:21" s="24" customFormat="1" x14ac:dyDescent="0.25">
      <c r="B25" s="17" t="s">
        <v>454</v>
      </c>
      <c r="C25" s="17"/>
      <c r="D25" s="222">
        <f>'12ME Jun18 Rentals'!O28</f>
        <v>356738.40836915449</v>
      </c>
      <c r="E25" s="165">
        <v>5364365.7215311108</v>
      </c>
      <c r="F25" s="19"/>
      <c r="G25" s="21"/>
      <c r="H25" s="21"/>
      <c r="I25" s="165"/>
      <c r="J25" s="165">
        <f>'Schedule 132 Revenue'!F23</f>
        <v>-49943.377171681634</v>
      </c>
      <c r="K25" s="165">
        <f>'Schedule 140 Revenue'!F23</f>
        <v>210475.66093780115</v>
      </c>
      <c r="L25" s="165">
        <f>SUM('Schedule 141 Revenue'!G117:G137)</f>
        <v>0</v>
      </c>
      <c r="M25" s="165">
        <f>'Sch 142 Revenue (Rate Plan)'!G86</f>
        <v>0</v>
      </c>
      <c r="N25" s="165"/>
      <c r="O25" s="251">
        <f>'Schedule 149 Revenue'!F23</f>
        <v>0</v>
      </c>
      <c r="P25" s="171">
        <f>SUM(E25:O25)</f>
        <v>5524898.0052972306</v>
      </c>
      <c r="Q25" s="165">
        <f>SUM('Schedule 141 Revenue'!$H$117:$H$137)</f>
        <v>229704.85453490872</v>
      </c>
      <c r="R25" s="244">
        <f>Q25/P25</f>
        <v>4.1576306805061275E-2</v>
      </c>
      <c r="S25" s="27"/>
      <c r="T25" s="25"/>
      <c r="U25" s="28"/>
    </row>
    <row r="26" spans="2:21" s="24" customFormat="1" x14ac:dyDescent="0.25">
      <c r="B26" s="210" t="s">
        <v>6</v>
      </c>
      <c r="C26" s="210"/>
      <c r="D26" s="31"/>
      <c r="E26" s="30">
        <f>E23+E25</f>
        <v>443785249.65881413</v>
      </c>
      <c r="F26" s="30">
        <f t="shared" ref="F26:H26" si="4">F23+F25</f>
        <v>301952305.47160286</v>
      </c>
      <c r="G26" s="30">
        <f t="shared" si="4"/>
        <v>-55026563.030000009</v>
      </c>
      <c r="H26" s="30">
        <f t="shared" si="4"/>
        <v>15980465.377614539</v>
      </c>
      <c r="I26" s="30">
        <f>I23+I25</f>
        <v>4568492.4004041292</v>
      </c>
      <c r="J26" s="30">
        <f t="shared" ref="J26:Q26" si="5">J23+J25</f>
        <v>-3108783.8910688013</v>
      </c>
      <c r="K26" s="30">
        <f t="shared" si="5"/>
        <v>22747024.420073554</v>
      </c>
      <c r="L26" s="30">
        <f t="shared" si="5"/>
        <v>0</v>
      </c>
      <c r="M26" s="30">
        <f t="shared" si="5"/>
        <v>0</v>
      </c>
      <c r="N26" s="30">
        <f t="shared" si="5"/>
        <v>52684657.890000001</v>
      </c>
      <c r="O26" s="30">
        <f t="shared" si="5"/>
        <v>10461914.388348391</v>
      </c>
      <c r="P26" s="30">
        <f t="shared" si="5"/>
        <v>794044762.68578899</v>
      </c>
      <c r="Q26" s="30">
        <f t="shared" si="5"/>
        <v>27565080.176146381</v>
      </c>
      <c r="R26" s="245">
        <f>Q26/P26</f>
        <v>3.4714768576660386E-2</v>
      </c>
      <c r="S26" s="27"/>
    </row>
    <row r="27" spans="2:21" x14ac:dyDescent="0.25">
      <c r="I27" s="12"/>
      <c r="L27" s="12"/>
      <c r="M27" s="12"/>
      <c r="N27" s="12"/>
      <c r="P27" s="12"/>
      <c r="R27" s="246"/>
    </row>
    <row r="28" spans="2:21" x14ac:dyDescent="0.25">
      <c r="D28" s="32"/>
      <c r="I28" s="12"/>
      <c r="L28" s="12"/>
      <c r="M28" s="12"/>
      <c r="N28" s="12"/>
      <c r="P28" s="12"/>
      <c r="Q28" s="12"/>
      <c r="R28" s="24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210" t="s">
        <v>43</v>
      </c>
      <c r="C30" s="210"/>
      <c r="E30" s="35">
        <f>E10+E11</f>
        <v>311324127.60569382</v>
      </c>
      <c r="I30" s="35"/>
      <c r="L30" s="35"/>
      <c r="M30" s="35"/>
      <c r="N30" s="35"/>
      <c r="P30" s="35">
        <f>P10+P11</f>
        <v>555242612.18681431</v>
      </c>
      <c r="Q30" s="12">
        <f>SUM(Q10:Q11)</f>
        <v>19055122.991596613</v>
      </c>
      <c r="R30" s="244">
        <f>Q30/P30</f>
        <v>3.431855295930604E-2</v>
      </c>
      <c r="S30" s="36"/>
    </row>
    <row r="31" spans="2:21" s="24" customFormat="1" x14ac:dyDescent="0.25">
      <c r="B31" s="37" t="s">
        <v>44</v>
      </c>
      <c r="C31" s="37"/>
      <c r="E31" s="35">
        <f>E12+E17</f>
        <v>91604142.633226827</v>
      </c>
      <c r="F31" s="39"/>
      <c r="G31" s="39"/>
      <c r="H31" s="39"/>
      <c r="I31" s="35"/>
      <c r="J31" s="39"/>
      <c r="K31" s="39"/>
      <c r="L31" s="35"/>
      <c r="M31" s="35"/>
      <c r="N31" s="35"/>
      <c r="O31" s="39"/>
      <c r="P31" s="35">
        <f>P12+P17</f>
        <v>165628387.20766506</v>
      </c>
      <c r="Q31" s="12">
        <f>SUM(Q12,Q17)</f>
        <v>6033078.0078498134</v>
      </c>
      <c r="R31" s="244">
        <f t="shared" ref="R31:R36" si="6">Q31/P31</f>
        <v>3.6425386430198908E-2</v>
      </c>
    </row>
    <row r="32" spans="2:21" s="24" customFormat="1" x14ac:dyDescent="0.25">
      <c r="B32" s="210" t="s">
        <v>45</v>
      </c>
      <c r="C32" s="210"/>
      <c r="E32" s="35">
        <f>E13+E18</f>
        <v>18451801.045003682</v>
      </c>
      <c r="F32" s="39"/>
      <c r="G32" s="39"/>
      <c r="H32" s="39"/>
      <c r="I32" s="35"/>
      <c r="J32" s="39"/>
      <c r="K32" s="39"/>
      <c r="L32" s="35"/>
      <c r="M32" s="35"/>
      <c r="N32" s="35"/>
      <c r="O32" s="39"/>
      <c r="P32" s="35">
        <f>P13+P18</f>
        <v>37367446.005100787</v>
      </c>
      <c r="Q32" s="12">
        <f>SUM(Q13,Q18)</f>
        <v>1330634.2129703271</v>
      </c>
      <c r="R32" s="244">
        <f t="shared" si="6"/>
        <v>3.5609450343186175E-2</v>
      </c>
    </row>
    <row r="33" spans="2:18" s="24" customFormat="1" x14ac:dyDescent="0.25">
      <c r="B33" s="210" t="s">
        <v>46</v>
      </c>
      <c r="C33" s="210"/>
      <c r="E33" s="35">
        <f>E14+E19</f>
        <v>8627271.4530034252</v>
      </c>
      <c r="F33" s="39"/>
      <c r="G33" s="39"/>
      <c r="H33" s="39"/>
      <c r="I33" s="35"/>
      <c r="J33" s="39"/>
      <c r="K33" s="39"/>
      <c r="L33" s="35"/>
      <c r="M33" s="35"/>
      <c r="N33" s="35"/>
      <c r="O33" s="39"/>
      <c r="P33" s="35">
        <f>P14+P19</f>
        <v>13237920.923301667</v>
      </c>
      <c r="Q33" s="12">
        <f>SUM(Q14,Q19)</f>
        <v>459077.04249304149</v>
      </c>
      <c r="R33" s="244">
        <f t="shared" si="6"/>
        <v>3.4678938267788291E-2</v>
      </c>
    </row>
    <row r="34" spans="2:18" s="24" customFormat="1" x14ac:dyDescent="0.25">
      <c r="B34" s="210" t="s">
        <v>47</v>
      </c>
      <c r="C34" s="210"/>
      <c r="E34" s="35">
        <f>E15+E20</f>
        <v>2029132.8836426272</v>
      </c>
      <c r="F34" s="39"/>
      <c r="G34" s="39"/>
      <c r="H34" s="39"/>
      <c r="I34" s="206"/>
      <c r="J34" s="39"/>
      <c r="K34" s="39"/>
      <c r="L34" s="206"/>
      <c r="M34" s="206"/>
      <c r="N34" s="206"/>
      <c r="O34" s="39"/>
      <c r="P34" s="35">
        <f>P15+P20</f>
        <v>4464954.5885152873</v>
      </c>
      <c r="Q34" s="12">
        <f>SUM(Q15,Q20)</f>
        <v>160208.65517622733</v>
      </c>
      <c r="R34" s="244">
        <f t="shared" si="6"/>
        <v>3.5881362732851634E-2</v>
      </c>
    </row>
    <row r="35" spans="2:18" s="24" customFormat="1" x14ac:dyDescent="0.25">
      <c r="B35" s="17" t="s">
        <v>48</v>
      </c>
      <c r="C35" s="17"/>
      <c r="D35" s="31"/>
      <c r="E35" s="35">
        <f>E16+E21</f>
        <v>4657855.0654298244</v>
      </c>
      <c r="F35" s="38"/>
      <c r="G35" s="38"/>
      <c r="H35" s="38"/>
      <c r="I35" s="206"/>
      <c r="J35" s="38"/>
      <c r="K35" s="38"/>
      <c r="L35" s="206"/>
      <c r="M35" s="206"/>
      <c r="N35" s="206"/>
      <c r="O35" s="38"/>
      <c r="P35" s="35">
        <f>P16+P21</f>
        <v>10648837.998155857</v>
      </c>
      <c r="Q35" s="12">
        <f>SUM(Q16,Q21)</f>
        <v>261979.68948297494</v>
      </c>
      <c r="R35" s="244">
        <f t="shared" si="6"/>
        <v>2.4601716124176557E-2</v>
      </c>
    </row>
    <row r="36" spans="2:18" s="24" customFormat="1" x14ac:dyDescent="0.25">
      <c r="B36" s="40" t="s">
        <v>13</v>
      </c>
      <c r="C36" s="17"/>
      <c r="D36" s="31"/>
      <c r="E36" s="35">
        <f>E22</f>
        <v>1726553.2512827553</v>
      </c>
      <c r="F36" s="38"/>
      <c r="G36" s="38"/>
      <c r="H36" s="38"/>
      <c r="I36" s="206"/>
      <c r="J36" s="38"/>
      <c r="K36" s="38"/>
      <c r="L36" s="206"/>
      <c r="M36" s="206"/>
      <c r="N36" s="206"/>
      <c r="O36" s="38"/>
      <c r="P36" s="35">
        <f>P22</f>
        <v>1929705.7709387555</v>
      </c>
      <c r="Q36" s="12">
        <f>Q22</f>
        <v>35274.722042470239</v>
      </c>
      <c r="R36" s="244">
        <f t="shared" si="6"/>
        <v>1.8279844820752095E-2</v>
      </c>
    </row>
    <row r="37" spans="2:18" s="24" customFormat="1" x14ac:dyDescent="0.25">
      <c r="B37" s="41" t="s">
        <v>14</v>
      </c>
      <c r="C37" s="41"/>
      <c r="D37" s="31"/>
      <c r="E37" s="42">
        <f>SUM(E30:E36)</f>
        <v>438420883.93728292</v>
      </c>
      <c r="F37" s="31"/>
      <c r="G37" s="31"/>
      <c r="H37" s="38"/>
      <c r="I37" s="206"/>
      <c r="J37" s="38"/>
      <c r="K37" s="38"/>
      <c r="L37" s="206"/>
      <c r="M37" s="206"/>
      <c r="N37" s="206"/>
      <c r="O37" s="38"/>
      <c r="P37" s="42">
        <f>SUM(P30:P36)</f>
        <v>788519864.68049181</v>
      </c>
      <c r="Q37" s="42">
        <f>SUM(Q30:Q36)</f>
        <v>27335375.321611468</v>
      </c>
      <c r="R37" s="245">
        <f>Q37/P37</f>
        <v>3.4666692046734622E-2</v>
      </c>
    </row>
    <row r="38" spans="2:18" s="24" customFormat="1" x14ac:dyDescent="0.25">
      <c r="B38" s="17"/>
      <c r="C38" s="17"/>
      <c r="D38" s="31"/>
      <c r="E38" s="35"/>
      <c r="F38" s="31"/>
      <c r="G38" s="31"/>
      <c r="H38" s="38"/>
      <c r="I38" s="206"/>
      <c r="J38" s="38"/>
      <c r="K38" s="38"/>
      <c r="L38" s="206"/>
      <c r="M38" s="206"/>
      <c r="N38" s="206"/>
      <c r="O38" s="38"/>
      <c r="P38" s="35"/>
      <c r="Q38" s="35"/>
      <c r="R38" s="244"/>
    </row>
    <row r="39" spans="2:18" s="24" customFormat="1" x14ac:dyDescent="0.25">
      <c r="B39" s="17" t="s">
        <v>423</v>
      </c>
      <c r="C39" s="17"/>
      <c r="D39" s="31"/>
      <c r="E39" s="35">
        <f>E25</f>
        <v>5364365.7215311108</v>
      </c>
      <c r="F39" s="31"/>
      <c r="G39" s="31"/>
      <c r="H39" s="38"/>
      <c r="I39" s="206"/>
      <c r="J39" s="38"/>
      <c r="K39" s="38"/>
      <c r="L39" s="206"/>
      <c r="M39" s="206"/>
      <c r="N39" s="206"/>
      <c r="O39" s="38"/>
      <c r="P39" s="35">
        <f>P25</f>
        <v>5524898.0052972306</v>
      </c>
      <c r="Q39" s="12">
        <f>Q25</f>
        <v>229704.85453490872</v>
      </c>
      <c r="R39" s="244">
        <f>Q39/P39</f>
        <v>4.1576306805061275E-2</v>
      </c>
    </row>
    <row r="40" spans="2:18" s="31" customFormat="1" x14ac:dyDescent="0.25">
      <c r="B40" s="210" t="s">
        <v>6</v>
      </c>
      <c r="C40" s="210"/>
      <c r="D40" s="24"/>
      <c r="E40" s="42">
        <f>E39+E37</f>
        <v>443785249.65881401</v>
      </c>
      <c r="I40" s="206"/>
      <c r="L40" s="206"/>
      <c r="M40" s="206"/>
      <c r="N40" s="206"/>
      <c r="P40" s="42">
        <f>P39+P37</f>
        <v>794044762.68578899</v>
      </c>
      <c r="Q40" s="42">
        <f>Q39+Q37</f>
        <v>27565080.176146377</v>
      </c>
      <c r="R40" s="245">
        <f>Q40/P40</f>
        <v>3.4714768576660379E-2</v>
      </c>
    </row>
    <row r="41" spans="2:18" s="24" customFormat="1" x14ac:dyDescent="0.25">
      <c r="B41" s="31"/>
      <c r="C41" s="31"/>
      <c r="F41" s="39"/>
      <c r="I41" s="31"/>
      <c r="K41" s="31"/>
      <c r="L41" s="31"/>
      <c r="M41" s="31"/>
      <c r="N41" s="31"/>
      <c r="O41" s="31"/>
      <c r="P41" s="31"/>
      <c r="Q41" s="43"/>
    </row>
    <row r="42" spans="2:18" ht="17.25" x14ac:dyDescent="0.25">
      <c r="B42" t="s">
        <v>464</v>
      </c>
      <c r="E42" s="175"/>
      <c r="I42" s="32"/>
      <c r="L42" s="32"/>
      <c r="M42" s="32"/>
      <c r="N42" s="32"/>
      <c r="P42" s="32"/>
    </row>
    <row r="43" spans="2:18" ht="17.25" x14ac:dyDescent="0.25">
      <c r="B43" t="s">
        <v>457</v>
      </c>
      <c r="I43" s="32"/>
      <c r="L43" s="32"/>
      <c r="M43" s="32"/>
      <c r="N43" s="32"/>
      <c r="P43" s="32"/>
    </row>
    <row r="44" spans="2:18" x14ac:dyDescent="0.25">
      <c r="B44" s="176"/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67" orientation="landscape" blackAndWhite="1" r:id="rId1"/>
  <headerFooter>
    <oddFooter>&amp;R&amp;A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66"/>
  <sheetViews>
    <sheetView zoomScaleNormal="100" workbookViewId="0">
      <selection activeCell="B45" sqref="B45"/>
    </sheetView>
  </sheetViews>
  <sheetFormatPr defaultColWidth="9.140625" defaultRowHeight="12.75" x14ac:dyDescent="0.2"/>
  <cols>
    <col min="1" max="1" width="32.7109375" style="135" bestFit="1" customWidth="1"/>
    <col min="2" max="6" width="10.28515625" style="135" bestFit="1" customWidth="1"/>
    <col min="7" max="7" width="11.28515625" style="135" bestFit="1" customWidth="1"/>
    <col min="8" max="9" width="10.28515625" style="135" bestFit="1" customWidth="1"/>
    <col min="10" max="10" width="11.28515625" style="135" bestFit="1" customWidth="1"/>
    <col min="11" max="13" width="10.28515625" style="135" bestFit="1" customWidth="1"/>
    <col min="14" max="14" width="15.28515625" style="135" bestFit="1" customWidth="1"/>
    <col min="15" max="16384" width="9.140625" style="135"/>
  </cols>
  <sheetData>
    <row r="1" spans="1:42" x14ac:dyDescent="0.2">
      <c r="A1" s="135" t="s">
        <v>161</v>
      </c>
    </row>
    <row r="3" spans="1:42" x14ac:dyDescent="0.2">
      <c r="A3" s="216" t="s">
        <v>162</v>
      </c>
      <c r="B3" s="231">
        <v>42917</v>
      </c>
      <c r="C3" s="231">
        <f>EDATE(B3,1)</f>
        <v>42948</v>
      </c>
      <c r="D3" s="231">
        <f t="shared" ref="D3:M3" si="0">EDATE(C3,1)</f>
        <v>42979</v>
      </c>
      <c r="E3" s="231">
        <f t="shared" si="0"/>
        <v>43009</v>
      </c>
      <c r="F3" s="231">
        <f t="shared" si="0"/>
        <v>43040</v>
      </c>
      <c r="G3" s="231">
        <f t="shared" si="0"/>
        <v>43070</v>
      </c>
      <c r="H3" s="231">
        <f t="shared" si="0"/>
        <v>43101</v>
      </c>
      <c r="I3" s="231">
        <f t="shared" si="0"/>
        <v>43132</v>
      </c>
      <c r="J3" s="231">
        <f t="shared" si="0"/>
        <v>43160</v>
      </c>
      <c r="K3" s="231">
        <f t="shared" si="0"/>
        <v>43191</v>
      </c>
      <c r="L3" s="231">
        <f t="shared" si="0"/>
        <v>43221</v>
      </c>
      <c r="M3" s="231">
        <f t="shared" si="0"/>
        <v>43252</v>
      </c>
      <c r="N3" s="135" t="s">
        <v>461</v>
      </c>
    </row>
    <row r="4" spans="1:42" s="559" customFormat="1" x14ac:dyDescent="0.2">
      <c r="A4" s="216"/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</row>
    <row r="5" spans="1:42" x14ac:dyDescent="0.2">
      <c r="A5" s="137" t="s">
        <v>35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</row>
    <row r="6" spans="1:42" x14ac:dyDescent="0.2">
      <c r="A6" s="137" t="s">
        <v>164</v>
      </c>
      <c r="B6" s="229">
        <f>'12ME Jun18 Norm Therms'!P6/'12ME Jun18 Norm Therms'!P$9</f>
        <v>6.1054382827463491E-2</v>
      </c>
      <c r="C6" s="229">
        <f>'12ME Jun18 Norm Therms'!Q6/'12ME Jun18 Norm Therms'!Q$9</f>
        <v>5.8767995868742352E-2</v>
      </c>
      <c r="D6" s="229">
        <f>'12ME Jun18 Norm Therms'!R6/'12ME Jun18 Norm Therms'!R$9</f>
        <v>6.3099472265734438E-2</v>
      </c>
      <c r="E6" s="229">
        <f>'12ME Jun18 Norm Therms'!S6/'12ME Jun18 Norm Therms'!S$9</f>
        <v>5.6496600239642154E-2</v>
      </c>
      <c r="F6" s="229">
        <f>'12ME Jun18 Norm Therms'!T6/'12ME Jun18 Norm Therms'!T$9</f>
        <v>5.4032375268406048E-2</v>
      </c>
      <c r="G6" s="229">
        <f>'12ME Jun18 Norm Therms'!U6/'12ME Jun18 Norm Therms'!U$9</f>
        <v>5.215876137815393E-2</v>
      </c>
      <c r="H6" s="229">
        <f>'12ME Jun18 Norm Therms'!V6/'12ME Jun18 Norm Therms'!V$9</f>
        <v>4.8914742694694667E-2</v>
      </c>
      <c r="I6" s="229">
        <f>'12ME Jun18 Norm Therms'!W6/'12ME Jun18 Norm Therms'!W$9</f>
        <v>5.4000883891136393E-2</v>
      </c>
      <c r="J6" s="229">
        <f>'12ME Jun18 Norm Therms'!X6/'12ME Jun18 Norm Therms'!X$9</f>
        <v>4.9638621902848096E-2</v>
      </c>
      <c r="K6" s="229">
        <f>'12ME Jun18 Norm Therms'!Y6/'12ME Jun18 Norm Therms'!Y$9</f>
        <v>5.5722617269044081E-2</v>
      </c>
      <c r="L6" s="229">
        <f>'12ME Jun18 Norm Therms'!Z6/'12ME Jun18 Norm Therms'!Z$9</f>
        <v>6.0490230234204412E-2</v>
      </c>
      <c r="M6" s="229">
        <f>'12ME Jun18 Norm Therms'!AA6/'12ME Jun18 Norm Therms'!AA$9</f>
        <v>7.1472327935198601E-2</v>
      </c>
      <c r="N6" s="229">
        <f>'12ME Jun18 Norm Therms'!AB6/'12ME Jun18 Norm Therms'!AB$9</f>
        <v>5.6443366381409794E-2</v>
      </c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</row>
    <row r="7" spans="1:42" x14ac:dyDescent="0.2">
      <c r="A7" s="137" t="s">
        <v>165</v>
      </c>
      <c r="B7" s="229">
        <f>'12ME Jun18 Norm Therms'!P7/'12ME Jun18 Norm Therms'!P$9</f>
        <v>0.21110117581716609</v>
      </c>
      <c r="C7" s="229">
        <f>'12ME Jun18 Norm Therms'!Q7/'12ME Jun18 Norm Therms'!Q$9</f>
        <v>0.20130282722162415</v>
      </c>
      <c r="D7" s="229">
        <f>'12ME Jun18 Norm Therms'!R7/'12ME Jun18 Norm Therms'!R$9</f>
        <v>0.21854044367418665</v>
      </c>
      <c r="E7" s="229">
        <f>'12ME Jun18 Norm Therms'!S7/'12ME Jun18 Norm Therms'!S$9</f>
        <v>0.21596402550353844</v>
      </c>
      <c r="F7" s="229">
        <f>'12ME Jun18 Norm Therms'!T7/'12ME Jun18 Norm Therms'!T$9</f>
        <v>0.21695899016840747</v>
      </c>
      <c r="G7" s="229">
        <f>'12ME Jun18 Norm Therms'!U7/'12ME Jun18 Norm Therms'!U$9</f>
        <v>0.21902911955644985</v>
      </c>
      <c r="H7" s="229">
        <f>'12ME Jun18 Norm Therms'!V7/'12ME Jun18 Norm Therms'!V$9</f>
        <v>0.20258859622806658</v>
      </c>
      <c r="I7" s="229">
        <f>'12ME Jun18 Norm Therms'!W7/'12ME Jun18 Norm Therms'!W$9</f>
        <v>0.22271384628951077</v>
      </c>
      <c r="J7" s="229">
        <f>'12ME Jun18 Norm Therms'!X7/'12ME Jun18 Norm Therms'!X$9</f>
        <v>0.20221420925880168</v>
      </c>
      <c r="K7" s="229">
        <f>'12ME Jun18 Norm Therms'!Y7/'12ME Jun18 Norm Therms'!Y$9</f>
        <v>0.21479654958949707</v>
      </c>
      <c r="L7" s="229">
        <f>'12ME Jun18 Norm Therms'!Z7/'12ME Jun18 Norm Therms'!Z$9</f>
        <v>0.21531280231640482</v>
      </c>
      <c r="M7" s="229">
        <f>'12ME Jun18 Norm Therms'!AA7/'12ME Jun18 Norm Therms'!AA$9</f>
        <v>0.2443330757454199</v>
      </c>
      <c r="N7" s="229">
        <f>'12ME Jun18 Norm Therms'!AB7/'12ME Jun18 Norm Therms'!AB$9</f>
        <v>0.21470117835133892</v>
      </c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</row>
    <row r="8" spans="1:42" x14ac:dyDescent="0.2">
      <c r="A8" s="137" t="s">
        <v>166</v>
      </c>
      <c r="B8" s="229">
        <f>'12ME Jun18 Norm Therms'!P8/'12ME Jun18 Norm Therms'!P$9</f>
        <v>0.72784444135537052</v>
      </c>
      <c r="C8" s="229">
        <f>'12ME Jun18 Norm Therms'!Q8/'12ME Jun18 Norm Therms'!Q$9</f>
        <v>0.73992917690963356</v>
      </c>
      <c r="D8" s="229">
        <f>'12ME Jun18 Norm Therms'!R8/'12ME Jun18 Norm Therms'!R$9</f>
        <v>0.7183600840600789</v>
      </c>
      <c r="E8" s="229">
        <f>'12ME Jun18 Norm Therms'!S8/'12ME Jun18 Norm Therms'!S$9</f>
        <v>0.72753937425681925</v>
      </c>
      <c r="F8" s="229">
        <f>'12ME Jun18 Norm Therms'!T8/'12ME Jun18 Norm Therms'!T$9</f>
        <v>0.72900863456318643</v>
      </c>
      <c r="G8" s="229">
        <f>'12ME Jun18 Norm Therms'!U8/'12ME Jun18 Norm Therms'!U$9</f>
        <v>0.72881211906539622</v>
      </c>
      <c r="H8" s="229">
        <f>'12ME Jun18 Norm Therms'!V8/'12ME Jun18 Norm Therms'!V$9</f>
        <v>0.74849666107723878</v>
      </c>
      <c r="I8" s="229">
        <f>'12ME Jun18 Norm Therms'!W8/'12ME Jun18 Norm Therms'!W$9</f>
        <v>0.72328526981935293</v>
      </c>
      <c r="J8" s="229">
        <f>'12ME Jun18 Norm Therms'!X8/'12ME Jun18 Norm Therms'!X$9</f>
        <v>0.7481471688383502</v>
      </c>
      <c r="K8" s="229">
        <f>'12ME Jun18 Norm Therms'!Y8/'12ME Jun18 Norm Therms'!Y$9</f>
        <v>0.72948083314145884</v>
      </c>
      <c r="L8" s="229">
        <f>'12ME Jun18 Norm Therms'!Z8/'12ME Jun18 Norm Therms'!Z$9</f>
        <v>0.72419696744939077</v>
      </c>
      <c r="M8" s="229">
        <f>'12ME Jun18 Norm Therms'!AA8/'12ME Jun18 Norm Therms'!AA$9</f>
        <v>0.68419459631938151</v>
      </c>
      <c r="N8" s="229">
        <f>'12ME Jun18 Norm Therms'!AB8/'12ME Jun18 Norm Therms'!AB$9</f>
        <v>0.72885545526725148</v>
      </c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</row>
    <row r="9" spans="1:42" s="139" customFormat="1" x14ac:dyDescent="0.2">
      <c r="A9" s="137" t="s">
        <v>6</v>
      </c>
      <c r="B9" s="140">
        <f>SUM(B6:B8)</f>
        <v>1</v>
      </c>
      <c r="C9" s="140">
        <f t="shared" ref="C9:N9" si="1">SUM(C6:C8)</f>
        <v>1</v>
      </c>
      <c r="D9" s="140">
        <f t="shared" si="1"/>
        <v>1</v>
      </c>
      <c r="E9" s="140">
        <f t="shared" si="1"/>
        <v>0.99999999999999978</v>
      </c>
      <c r="F9" s="140">
        <f t="shared" si="1"/>
        <v>1</v>
      </c>
      <c r="G9" s="140">
        <f t="shared" si="1"/>
        <v>1</v>
      </c>
      <c r="H9" s="140">
        <f t="shared" si="1"/>
        <v>1</v>
      </c>
      <c r="I9" s="140">
        <f t="shared" si="1"/>
        <v>1</v>
      </c>
      <c r="J9" s="140">
        <f t="shared" si="1"/>
        <v>1</v>
      </c>
      <c r="K9" s="140">
        <f t="shared" si="1"/>
        <v>1</v>
      </c>
      <c r="L9" s="140">
        <f t="shared" si="1"/>
        <v>1</v>
      </c>
      <c r="M9" s="140">
        <f t="shared" si="1"/>
        <v>1</v>
      </c>
      <c r="N9" s="140">
        <f t="shared" si="1"/>
        <v>1.0000000000000002</v>
      </c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</row>
    <row r="10" spans="1:42" ht="15" x14ac:dyDescent="0.25">
      <c r="A10" s="136" t="s">
        <v>49</v>
      </c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</row>
    <row r="11" spans="1:42" ht="15" x14ac:dyDescent="0.25">
      <c r="A11" s="137"/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</row>
    <row r="12" spans="1:42" ht="15" x14ac:dyDescent="0.25">
      <c r="A12" s="137" t="s">
        <v>37</v>
      </c>
      <c r="B12" s="141"/>
      <c r="C12" s="141"/>
      <c r="D12" s="141"/>
      <c r="E12" s="141"/>
      <c r="F12" s="141"/>
      <c r="G12" s="141"/>
      <c r="H12" s="141"/>
      <c r="I12" s="141"/>
      <c r="J12" s="141"/>
      <c r="K12" s="141"/>
      <c r="L12" s="141"/>
      <c r="M12" s="141"/>
      <c r="N12" s="141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</row>
    <row r="13" spans="1:42" x14ac:dyDescent="0.2">
      <c r="A13" s="137" t="s">
        <v>88</v>
      </c>
      <c r="B13" s="229">
        <f>'12ME Jun18 Norm Therms'!P13/'12ME Jun18 Norm Therms'!P$16</f>
        <v>0.39790014145290953</v>
      </c>
      <c r="C13" s="229">
        <f>'12ME Jun18 Norm Therms'!Q13/'12ME Jun18 Norm Therms'!Q$16</f>
        <v>0.36467338931290277</v>
      </c>
      <c r="D13" s="229">
        <f>'12ME Jun18 Norm Therms'!R13/'12ME Jun18 Norm Therms'!R$16</f>
        <v>0.38216407522523416</v>
      </c>
      <c r="E13" s="229">
        <f>'12ME Jun18 Norm Therms'!S13/'12ME Jun18 Norm Therms'!S$16</f>
        <v>0.34907605053885588</v>
      </c>
      <c r="F13" s="229">
        <f>'12ME Jun18 Norm Therms'!T13/'12ME Jun18 Norm Therms'!T$16</f>
        <v>0.36730792325349543</v>
      </c>
      <c r="G13" s="229">
        <f>'12ME Jun18 Norm Therms'!U13/'12ME Jun18 Norm Therms'!U$16</f>
        <v>0.34252047521406215</v>
      </c>
      <c r="H13" s="229">
        <f>'12ME Jun18 Norm Therms'!V13/'12ME Jun18 Norm Therms'!V$16</f>
        <v>0.33810911712464464</v>
      </c>
      <c r="I13" s="229">
        <f>'12ME Jun18 Norm Therms'!W13/'12ME Jun18 Norm Therms'!W$16</f>
        <v>0.37386608009714795</v>
      </c>
      <c r="J13" s="229">
        <f>'12ME Jun18 Norm Therms'!X13/'12ME Jun18 Norm Therms'!X$16</f>
        <v>0.34264184941545434</v>
      </c>
      <c r="K13" s="229">
        <f>'12ME Jun18 Norm Therms'!Y13/'12ME Jun18 Norm Therms'!Y$16</f>
        <v>0.38450894189323126</v>
      </c>
      <c r="L13" s="229">
        <f>'12ME Jun18 Norm Therms'!Z13/'12ME Jun18 Norm Therms'!Z$16</f>
        <v>0.38881265422169131</v>
      </c>
      <c r="M13" s="229">
        <f>'12ME Jun18 Norm Therms'!AA13/'12ME Jun18 Norm Therms'!AA$16</f>
        <v>0.39939263301374661</v>
      </c>
      <c r="N13" s="229">
        <f>'12ME Jun18 Norm Therms'!AB13/'12ME Jun18 Norm Therms'!AB$16</f>
        <v>0.36812946128111945</v>
      </c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</row>
    <row r="14" spans="1:42" x14ac:dyDescent="0.2">
      <c r="A14" s="137" t="s">
        <v>89</v>
      </c>
      <c r="B14" s="229">
        <f>'12ME Jun18 Norm Therms'!P14/'12ME Jun18 Norm Therms'!P$16</f>
        <v>0.26463637495245468</v>
      </c>
      <c r="C14" s="229">
        <f>'12ME Jun18 Norm Therms'!Q14/'12ME Jun18 Norm Therms'!Q$16</f>
        <v>0.24984442277828139</v>
      </c>
      <c r="D14" s="229">
        <f>'12ME Jun18 Norm Therms'!R14/'12ME Jun18 Norm Therms'!R$16</f>
        <v>0.24247002893234898</v>
      </c>
      <c r="E14" s="229">
        <f>'12ME Jun18 Norm Therms'!S14/'12ME Jun18 Norm Therms'!S$16</f>
        <v>0.24712484615406691</v>
      </c>
      <c r="F14" s="229">
        <f>'12ME Jun18 Norm Therms'!T14/'12ME Jun18 Norm Therms'!T$16</f>
        <v>0.24481505598362255</v>
      </c>
      <c r="G14" s="229">
        <f>'12ME Jun18 Norm Therms'!U14/'12ME Jun18 Norm Therms'!U$16</f>
        <v>0.23754287639495769</v>
      </c>
      <c r="H14" s="229">
        <f>'12ME Jun18 Norm Therms'!V14/'12ME Jun18 Norm Therms'!V$16</f>
        <v>0.23689976882834704</v>
      </c>
      <c r="I14" s="229">
        <f>'12ME Jun18 Norm Therms'!W14/'12ME Jun18 Norm Therms'!W$16</f>
        <v>0.24159370639015856</v>
      </c>
      <c r="J14" s="229">
        <f>'12ME Jun18 Norm Therms'!X14/'12ME Jun18 Norm Therms'!X$16</f>
        <v>0.23664645021031686</v>
      </c>
      <c r="K14" s="229">
        <f>'12ME Jun18 Norm Therms'!Y14/'12ME Jun18 Norm Therms'!Y$16</f>
        <v>0.25338976783962719</v>
      </c>
      <c r="L14" s="229">
        <f>'12ME Jun18 Norm Therms'!Z14/'12ME Jun18 Norm Therms'!Z$16</f>
        <v>0.26943305419620228</v>
      </c>
      <c r="M14" s="229">
        <f>'12ME Jun18 Norm Therms'!AA14/'12ME Jun18 Norm Therms'!AA$16</f>
        <v>0.26178608695238936</v>
      </c>
      <c r="N14" s="229">
        <f>'12ME Jun18 Norm Therms'!AB14/'12ME Jun18 Norm Therms'!AB$16</f>
        <v>0.24842136124481451</v>
      </c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</row>
    <row r="15" spans="1:42" x14ac:dyDescent="0.2">
      <c r="A15" s="137" t="s">
        <v>169</v>
      </c>
      <c r="B15" s="229">
        <f>'12ME Jun18 Norm Therms'!P15/'12ME Jun18 Norm Therms'!P$16</f>
        <v>0.33746348359463574</v>
      </c>
      <c r="C15" s="229">
        <f>'12ME Jun18 Norm Therms'!Q15/'12ME Jun18 Norm Therms'!Q$16</f>
        <v>0.38548218790881578</v>
      </c>
      <c r="D15" s="229">
        <f>'12ME Jun18 Norm Therms'!R15/'12ME Jun18 Norm Therms'!R$16</f>
        <v>0.37536589584241686</v>
      </c>
      <c r="E15" s="229">
        <f>'12ME Jun18 Norm Therms'!S15/'12ME Jun18 Norm Therms'!S$16</f>
        <v>0.40379910330707719</v>
      </c>
      <c r="F15" s="229">
        <f>'12ME Jun18 Norm Therms'!T15/'12ME Jun18 Norm Therms'!T$16</f>
        <v>0.387877020762882</v>
      </c>
      <c r="G15" s="229">
        <f>'12ME Jun18 Norm Therms'!U15/'12ME Jun18 Norm Therms'!U$16</f>
        <v>0.41993664839098011</v>
      </c>
      <c r="H15" s="229">
        <f>'12ME Jun18 Norm Therms'!V15/'12ME Jun18 Norm Therms'!V$16</f>
        <v>0.42499111404700829</v>
      </c>
      <c r="I15" s="229">
        <f>'12ME Jun18 Norm Therms'!W15/'12ME Jun18 Norm Therms'!W$16</f>
        <v>0.38454021351269346</v>
      </c>
      <c r="J15" s="229">
        <f>'12ME Jun18 Norm Therms'!X15/'12ME Jun18 Norm Therms'!X$16</f>
        <v>0.42071170037422889</v>
      </c>
      <c r="K15" s="229">
        <f>'12ME Jun18 Norm Therms'!Y15/'12ME Jun18 Norm Therms'!Y$16</f>
        <v>0.36210129026714161</v>
      </c>
      <c r="L15" s="229">
        <f>'12ME Jun18 Norm Therms'!Z15/'12ME Jun18 Norm Therms'!Z$16</f>
        <v>0.34175429158210646</v>
      </c>
      <c r="M15" s="229">
        <f>'12ME Jun18 Norm Therms'!AA15/'12ME Jun18 Norm Therms'!AA$16</f>
        <v>0.33882128003386403</v>
      </c>
      <c r="N15" s="229">
        <f>'12ME Jun18 Norm Therms'!AB15/'12ME Jun18 Norm Therms'!AB$16</f>
        <v>0.38344917747406598</v>
      </c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</row>
    <row r="16" spans="1:42" s="139" customFormat="1" x14ac:dyDescent="0.2">
      <c r="A16" s="137" t="s">
        <v>6</v>
      </c>
      <c r="B16" s="140">
        <f>SUM(B13:B15)</f>
        <v>1</v>
      </c>
      <c r="C16" s="140">
        <f t="shared" ref="C16:N16" si="2">SUM(C13:C15)</f>
        <v>1</v>
      </c>
      <c r="D16" s="140">
        <f t="shared" si="2"/>
        <v>1</v>
      </c>
      <c r="E16" s="140">
        <f t="shared" si="2"/>
        <v>1</v>
      </c>
      <c r="F16" s="140">
        <f t="shared" si="2"/>
        <v>1</v>
      </c>
      <c r="G16" s="140">
        <f t="shared" si="2"/>
        <v>1</v>
      </c>
      <c r="H16" s="140">
        <f t="shared" si="2"/>
        <v>1</v>
      </c>
      <c r="I16" s="140">
        <f t="shared" si="2"/>
        <v>1</v>
      </c>
      <c r="J16" s="140">
        <f t="shared" si="2"/>
        <v>1</v>
      </c>
      <c r="K16" s="140">
        <f t="shared" si="2"/>
        <v>1</v>
      </c>
      <c r="L16" s="140">
        <f t="shared" si="2"/>
        <v>1</v>
      </c>
      <c r="M16" s="140">
        <f t="shared" si="2"/>
        <v>1</v>
      </c>
      <c r="N16" s="140">
        <f t="shared" si="2"/>
        <v>1</v>
      </c>
      <c r="AD16" s="150"/>
      <c r="AE16" s="150"/>
      <c r="AF16" s="150"/>
      <c r="AG16" s="150"/>
      <c r="AH16" s="150"/>
      <c r="AI16" s="150"/>
      <c r="AJ16" s="150"/>
      <c r="AK16" s="150"/>
      <c r="AL16" s="150"/>
      <c r="AM16" s="150"/>
      <c r="AN16" s="150"/>
      <c r="AO16" s="150"/>
      <c r="AP16" s="150"/>
    </row>
    <row r="17" spans="1:42" ht="15" x14ac:dyDescent="0.25">
      <c r="A17" s="137" t="s">
        <v>49</v>
      </c>
      <c r="B17" s="141"/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</row>
    <row r="18" spans="1:42" ht="15" x14ac:dyDescent="0.25">
      <c r="A18" s="137"/>
      <c r="B18" s="141"/>
      <c r="C18" s="141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</row>
    <row r="19" spans="1:42" ht="15" x14ac:dyDescent="0.25">
      <c r="A19" s="136" t="s">
        <v>39</v>
      </c>
      <c r="B19" s="141"/>
      <c r="C19" s="141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</row>
    <row r="20" spans="1:42" x14ac:dyDescent="0.2">
      <c r="A20" s="137" t="s">
        <v>94</v>
      </c>
      <c r="B20" s="229">
        <f>'12ME Jun18 Norm Therms'!P20/'12ME Jun18 Norm Therms'!P$22</f>
        <v>8.0529529977318853E-2</v>
      </c>
      <c r="C20" s="229">
        <f>'12ME Jun18 Norm Therms'!Q20/'12ME Jun18 Norm Therms'!Q$22</f>
        <v>0.10554034015651634</v>
      </c>
      <c r="D20" s="229">
        <f>'12ME Jun18 Norm Therms'!R20/'12ME Jun18 Norm Therms'!R$22</f>
        <v>0.14036072706856623</v>
      </c>
      <c r="E20" s="229">
        <f>'12ME Jun18 Norm Therms'!S20/'12ME Jun18 Norm Therms'!S$22</f>
        <v>6.3779293032048462E-2</v>
      </c>
      <c r="F20" s="229">
        <f>'12ME Jun18 Norm Therms'!T20/'12ME Jun18 Norm Therms'!T$22</f>
        <v>6.9960353467689862E-2</v>
      </c>
      <c r="G20" s="229">
        <f>'12ME Jun18 Norm Therms'!U20/'12ME Jun18 Norm Therms'!U$22</f>
        <v>6.71332877722087E-2</v>
      </c>
      <c r="H20" s="229">
        <f>'12ME Jun18 Norm Therms'!V20/'12ME Jun18 Norm Therms'!V$22</f>
        <v>4.0531826197907989E-2</v>
      </c>
      <c r="I20" s="229">
        <f>'12ME Jun18 Norm Therms'!W20/'12ME Jun18 Norm Therms'!W$22</f>
        <v>3.8020016398033069E-2</v>
      </c>
      <c r="J20" s="229">
        <f>'12ME Jun18 Norm Therms'!X20/'12ME Jun18 Norm Therms'!X$22</f>
        <v>4.8988785732114133E-2</v>
      </c>
      <c r="K20" s="229">
        <f>'12ME Jun18 Norm Therms'!Y20/'12ME Jun18 Norm Therms'!Y$22</f>
        <v>8.0692340279598956E-2</v>
      </c>
      <c r="L20" s="229">
        <f>'12ME Jun18 Norm Therms'!Z20/'12ME Jun18 Norm Therms'!Z$22</f>
        <v>0.10891359775376595</v>
      </c>
      <c r="M20" s="229">
        <f>'12ME Jun18 Norm Therms'!AA20/'12ME Jun18 Norm Therms'!AA$22</f>
        <v>9.2200152894174034E-2</v>
      </c>
      <c r="N20" s="229">
        <f>'12ME Jun18 Norm Therms'!AB20/'12ME Jun18 Norm Therms'!AB$22</f>
        <v>6.7480071859455037E-2</v>
      </c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</row>
    <row r="21" spans="1:42" x14ac:dyDescent="0.2">
      <c r="A21" s="137" t="s">
        <v>172</v>
      </c>
      <c r="B21" s="229">
        <f>'12ME Jun18 Norm Therms'!P21/'12ME Jun18 Norm Therms'!P$22</f>
        <v>0.91947047002268112</v>
      </c>
      <c r="C21" s="229">
        <f>'12ME Jun18 Norm Therms'!Q21/'12ME Jun18 Norm Therms'!Q$22</f>
        <v>0.89445965984348363</v>
      </c>
      <c r="D21" s="229">
        <f>'12ME Jun18 Norm Therms'!R21/'12ME Jun18 Norm Therms'!R$22</f>
        <v>0.85963927293143383</v>
      </c>
      <c r="E21" s="229">
        <f>'12ME Jun18 Norm Therms'!S21/'12ME Jun18 Norm Therms'!S$22</f>
        <v>0.93622070696795157</v>
      </c>
      <c r="F21" s="229">
        <f>'12ME Jun18 Norm Therms'!T21/'12ME Jun18 Norm Therms'!T$22</f>
        <v>0.93003964653231008</v>
      </c>
      <c r="G21" s="229">
        <f>'12ME Jun18 Norm Therms'!U21/'12ME Jun18 Norm Therms'!U$22</f>
        <v>0.93286671222779127</v>
      </c>
      <c r="H21" s="229">
        <f>'12ME Jun18 Norm Therms'!V21/'12ME Jun18 Norm Therms'!V$22</f>
        <v>0.95946817380209204</v>
      </c>
      <c r="I21" s="229">
        <f>'12ME Jun18 Norm Therms'!W21/'12ME Jun18 Norm Therms'!W$22</f>
        <v>0.9619799836019669</v>
      </c>
      <c r="J21" s="229">
        <f>'12ME Jun18 Norm Therms'!X21/'12ME Jun18 Norm Therms'!X$22</f>
        <v>0.95101121426788582</v>
      </c>
      <c r="K21" s="229">
        <f>'12ME Jun18 Norm Therms'!Y21/'12ME Jun18 Norm Therms'!Y$22</f>
        <v>0.91930765972040107</v>
      </c>
      <c r="L21" s="229">
        <f>'12ME Jun18 Norm Therms'!Z21/'12ME Jun18 Norm Therms'!Z$22</f>
        <v>0.89108640224623403</v>
      </c>
      <c r="M21" s="229">
        <f>'12ME Jun18 Norm Therms'!AA21/'12ME Jun18 Norm Therms'!AA$22</f>
        <v>0.90779984710582595</v>
      </c>
      <c r="N21" s="229">
        <f>'12ME Jun18 Norm Therms'!AB21/'12ME Jun18 Norm Therms'!AB$22</f>
        <v>0.93251992814054485</v>
      </c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</row>
    <row r="22" spans="1:42" x14ac:dyDescent="0.2">
      <c r="A22" s="137" t="s">
        <v>6</v>
      </c>
      <c r="B22" s="150">
        <f>SUM(B20:B21)</f>
        <v>1</v>
      </c>
      <c r="C22" s="150">
        <f t="shared" ref="C22:M22" si="3">SUM(C20:C21)</f>
        <v>1</v>
      </c>
      <c r="D22" s="150">
        <f t="shared" si="3"/>
        <v>1</v>
      </c>
      <c r="E22" s="150">
        <f t="shared" si="3"/>
        <v>1</v>
      </c>
      <c r="F22" s="150">
        <f t="shared" si="3"/>
        <v>1</v>
      </c>
      <c r="G22" s="150">
        <f t="shared" si="3"/>
        <v>1</v>
      </c>
      <c r="H22" s="150">
        <f t="shared" si="3"/>
        <v>1</v>
      </c>
      <c r="I22" s="150">
        <f t="shared" si="3"/>
        <v>1</v>
      </c>
      <c r="J22" s="150">
        <f t="shared" si="3"/>
        <v>1</v>
      </c>
      <c r="K22" s="150">
        <f t="shared" si="3"/>
        <v>1</v>
      </c>
      <c r="L22" s="150">
        <f t="shared" si="3"/>
        <v>1</v>
      </c>
      <c r="M22" s="150">
        <f t="shared" si="3"/>
        <v>1</v>
      </c>
      <c r="N22" s="150">
        <f>SUM(N20:N21)</f>
        <v>0.99999999999999989</v>
      </c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</row>
    <row r="23" spans="1:42" s="139" customFormat="1" x14ac:dyDescent="0.2">
      <c r="A23" s="137" t="s">
        <v>49</v>
      </c>
      <c r="B23" s="140"/>
      <c r="C23" s="14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</row>
    <row r="24" spans="1:42" ht="15" x14ac:dyDescent="0.25">
      <c r="A24" s="137"/>
      <c r="B24" s="141"/>
      <c r="C24" s="141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</row>
    <row r="25" spans="1:42" ht="15" x14ac:dyDescent="0.25">
      <c r="A25" s="137" t="s">
        <v>41</v>
      </c>
      <c r="B25" s="141"/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AD25" s="150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50"/>
      <c r="AP25" s="150"/>
    </row>
    <row r="26" spans="1:42" x14ac:dyDescent="0.2">
      <c r="A26" s="137" t="s">
        <v>88</v>
      </c>
      <c r="B26" s="229">
        <f>'12ME Jun18 Norm Therms'!P26/'12ME Jun18 Norm Therms'!P$32</f>
        <v>2.8793791207240901E-2</v>
      </c>
      <c r="C26" s="229">
        <f>'12ME Jun18 Norm Therms'!Q26/'12ME Jun18 Norm Therms'!Q$32</f>
        <v>2.8372989278742801E-2</v>
      </c>
      <c r="D26" s="229">
        <f>'12ME Jun18 Norm Therms'!R26/'12ME Jun18 Norm Therms'!R$32</f>
        <v>2.9518917229396511E-2</v>
      </c>
      <c r="E26" s="229">
        <f>'12ME Jun18 Norm Therms'!S26/'12ME Jun18 Norm Therms'!S$32</f>
        <v>2.7973591613638975E-2</v>
      </c>
      <c r="F26" s="229">
        <f>'12ME Jun18 Norm Therms'!T26/'12ME Jun18 Norm Therms'!T$32</f>
        <v>3.0820183493164871E-2</v>
      </c>
      <c r="G26" s="229">
        <f>'12ME Jun18 Norm Therms'!U26/'12ME Jun18 Norm Therms'!U$32</f>
        <v>2.5396500347420567E-2</v>
      </c>
      <c r="H26" s="229">
        <f>'12ME Jun18 Norm Therms'!V26/'12ME Jun18 Norm Therms'!V$32</f>
        <v>2.9632795658978448E-2</v>
      </c>
      <c r="I26" s="229">
        <f>'12ME Jun18 Norm Therms'!W26/'12ME Jun18 Norm Therms'!W$32</f>
        <v>2.8482383234114436E-2</v>
      </c>
      <c r="J26" s="229">
        <f>'12ME Jun18 Norm Therms'!X26/'12ME Jun18 Norm Therms'!X$32</f>
        <v>2.6190726933012783E-2</v>
      </c>
      <c r="K26" s="229">
        <f>'12ME Jun18 Norm Therms'!Y26/'12ME Jun18 Norm Therms'!Y$32</f>
        <v>3.0293338344158469E-2</v>
      </c>
      <c r="L26" s="229">
        <f>'12ME Jun18 Norm Therms'!Z26/'12ME Jun18 Norm Therms'!Z$32</f>
        <v>2.996958736622982E-2</v>
      </c>
      <c r="M26" s="229">
        <f>'12ME Jun18 Norm Therms'!AA26/'12ME Jun18 Norm Therms'!AA$32</f>
        <v>3.2571757226042712E-2</v>
      </c>
      <c r="N26" s="229">
        <f>'12ME Jun18 Norm Therms'!AB26/'12ME Jun18 Norm Therms'!AB$32</f>
        <v>2.8878275026511756E-2</v>
      </c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</row>
    <row r="27" spans="1:42" x14ac:dyDescent="0.2">
      <c r="A27" s="137" t="s">
        <v>89</v>
      </c>
      <c r="B27" s="229">
        <f>'12ME Jun18 Norm Therms'!P27/'12ME Jun18 Norm Therms'!P$32</f>
        <v>2.8793791207240901E-2</v>
      </c>
      <c r="C27" s="229">
        <f>'12ME Jun18 Norm Therms'!Q27/'12ME Jun18 Norm Therms'!Q$32</f>
        <v>2.8372989278742801E-2</v>
      </c>
      <c r="D27" s="229">
        <f>'12ME Jun18 Norm Therms'!R27/'12ME Jun18 Norm Therms'!R$32</f>
        <v>2.9518917229396511E-2</v>
      </c>
      <c r="E27" s="229">
        <f>'12ME Jun18 Norm Therms'!S27/'12ME Jun18 Norm Therms'!S$32</f>
        <v>2.7973591613638975E-2</v>
      </c>
      <c r="F27" s="229">
        <f>'12ME Jun18 Norm Therms'!T27/'12ME Jun18 Norm Therms'!T$32</f>
        <v>3.0820183493164871E-2</v>
      </c>
      <c r="G27" s="229">
        <f>'12ME Jun18 Norm Therms'!U27/'12ME Jun18 Norm Therms'!U$32</f>
        <v>2.5396500347420567E-2</v>
      </c>
      <c r="H27" s="229">
        <f>'12ME Jun18 Norm Therms'!V27/'12ME Jun18 Norm Therms'!V$32</f>
        <v>2.9632795658978448E-2</v>
      </c>
      <c r="I27" s="229">
        <f>'12ME Jun18 Norm Therms'!W27/'12ME Jun18 Norm Therms'!W$32</f>
        <v>2.8482383234114436E-2</v>
      </c>
      <c r="J27" s="229">
        <f>'12ME Jun18 Norm Therms'!X27/'12ME Jun18 Norm Therms'!X$32</f>
        <v>2.6190726933012783E-2</v>
      </c>
      <c r="K27" s="229">
        <f>'12ME Jun18 Norm Therms'!Y27/'12ME Jun18 Norm Therms'!Y$32</f>
        <v>3.0293338344158469E-2</v>
      </c>
      <c r="L27" s="229">
        <f>'12ME Jun18 Norm Therms'!Z27/'12ME Jun18 Norm Therms'!Z$32</f>
        <v>2.996958736622982E-2</v>
      </c>
      <c r="M27" s="229">
        <f>'12ME Jun18 Norm Therms'!AA27/'12ME Jun18 Norm Therms'!AA$32</f>
        <v>3.2571757226042712E-2</v>
      </c>
      <c r="N27" s="229">
        <f>'12ME Jun18 Norm Therms'!AB27/'12ME Jun18 Norm Therms'!AB$32</f>
        <v>2.8878275026511756E-2</v>
      </c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</row>
    <row r="28" spans="1:42" x14ac:dyDescent="0.2">
      <c r="A28" s="137" t="s">
        <v>99</v>
      </c>
      <c r="B28" s="229">
        <f>'12ME Jun18 Norm Therms'!P28/'12ME Jun18 Norm Therms'!P$32</f>
        <v>5.7587582414481801E-2</v>
      </c>
      <c r="C28" s="229">
        <f>'12ME Jun18 Norm Therms'!Q28/'12ME Jun18 Norm Therms'!Q$32</f>
        <v>5.6745978557485602E-2</v>
      </c>
      <c r="D28" s="229">
        <f>'12ME Jun18 Norm Therms'!R28/'12ME Jun18 Norm Therms'!R$32</f>
        <v>5.9037834458793022E-2</v>
      </c>
      <c r="E28" s="229">
        <f>'12ME Jun18 Norm Therms'!S28/'12ME Jun18 Norm Therms'!S$32</f>
        <v>5.5947183227277951E-2</v>
      </c>
      <c r="F28" s="229">
        <f>'12ME Jun18 Norm Therms'!T28/'12ME Jun18 Norm Therms'!T$32</f>
        <v>6.1640366986329742E-2</v>
      </c>
      <c r="G28" s="229">
        <f>'12ME Jun18 Norm Therms'!U28/'12ME Jun18 Norm Therms'!U$32</f>
        <v>5.0793000694841134E-2</v>
      </c>
      <c r="H28" s="229">
        <f>'12ME Jun18 Norm Therms'!V28/'12ME Jun18 Norm Therms'!V$32</f>
        <v>5.9265591317956896E-2</v>
      </c>
      <c r="I28" s="229">
        <f>'12ME Jun18 Norm Therms'!W28/'12ME Jun18 Norm Therms'!W$32</f>
        <v>5.6964766468228872E-2</v>
      </c>
      <c r="J28" s="229">
        <f>'12ME Jun18 Norm Therms'!X28/'12ME Jun18 Norm Therms'!X$32</f>
        <v>5.2381453866025565E-2</v>
      </c>
      <c r="K28" s="229">
        <f>'12ME Jun18 Norm Therms'!Y28/'12ME Jun18 Norm Therms'!Y$32</f>
        <v>6.0586676688316937E-2</v>
      </c>
      <c r="L28" s="229">
        <f>'12ME Jun18 Norm Therms'!Z28/'12ME Jun18 Norm Therms'!Z$32</f>
        <v>5.9939174732459639E-2</v>
      </c>
      <c r="M28" s="229">
        <f>'12ME Jun18 Norm Therms'!AA28/'12ME Jun18 Norm Therms'!AA$32</f>
        <v>6.5143514452085424E-2</v>
      </c>
      <c r="N28" s="229">
        <f>'12ME Jun18 Norm Therms'!AB28/'12ME Jun18 Norm Therms'!AB$32</f>
        <v>5.7756550053023513E-2</v>
      </c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</row>
    <row r="29" spans="1:42" x14ac:dyDescent="0.2">
      <c r="A29" s="137" t="s">
        <v>100</v>
      </c>
      <c r="B29" s="229">
        <f>'12ME Jun18 Norm Therms'!P29/'12ME Jun18 Norm Therms'!P$32</f>
        <v>0.10877761402607948</v>
      </c>
      <c r="C29" s="229">
        <f>'12ME Jun18 Norm Therms'!Q29/'12ME Jun18 Norm Therms'!Q$32</f>
        <v>0.10604018075832231</v>
      </c>
      <c r="D29" s="229">
        <f>'12ME Jun18 Norm Therms'!R29/'12ME Jun18 Norm Therms'!R$32</f>
        <v>0.11307028663304328</v>
      </c>
      <c r="E29" s="229">
        <f>'12ME Jun18 Norm Therms'!S29/'12ME Jun18 Norm Therms'!S$32</f>
        <v>0.1118943664545559</v>
      </c>
      <c r="F29" s="229">
        <f>'12ME Jun18 Norm Therms'!T29/'12ME Jun18 Norm Therms'!T$32</f>
        <v>0.12328073397265948</v>
      </c>
      <c r="G29" s="229">
        <f>'12ME Jun18 Norm Therms'!U29/'12ME Jun18 Norm Therms'!U$32</f>
        <v>0.10040965479493001</v>
      </c>
      <c r="H29" s="229">
        <f>'12ME Jun18 Norm Therms'!V29/'12ME Jun18 Norm Therms'!V$32</f>
        <v>0.11853118263591379</v>
      </c>
      <c r="I29" s="229">
        <f>'12ME Jun18 Norm Therms'!W29/'12ME Jun18 Norm Therms'!W$32</f>
        <v>0.11223580864942054</v>
      </c>
      <c r="J29" s="229">
        <f>'12ME Jun18 Norm Therms'!X29/'12ME Jun18 Norm Therms'!X$32</f>
        <v>0.10476290773205113</v>
      </c>
      <c r="K29" s="229">
        <f>'12ME Jun18 Norm Therms'!Y29/'12ME Jun18 Norm Therms'!Y$32</f>
        <v>0.12093628134595311</v>
      </c>
      <c r="L29" s="229">
        <f>'12ME Jun18 Norm Therms'!Z29/'12ME Jun18 Norm Therms'!Z$32</f>
        <v>0.11943068294937845</v>
      </c>
      <c r="M29" s="229">
        <f>'12ME Jun18 Norm Therms'!AA29/'12ME Jun18 Norm Therms'!AA$32</f>
        <v>0.12686381148332024</v>
      </c>
      <c r="N29" s="229">
        <f>'12ME Jun18 Norm Therms'!AB29/'12ME Jun18 Norm Therms'!AB$32</f>
        <v>0.11337602959022074</v>
      </c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</row>
    <row r="30" spans="1:42" s="139" customFormat="1" x14ac:dyDescent="0.2">
      <c r="A30" s="137" t="s">
        <v>101</v>
      </c>
      <c r="B30" s="229">
        <f>'12ME Jun18 Norm Therms'!P30/'12ME Jun18 Norm Therms'!P$32</f>
        <v>0.24734431926728914</v>
      </c>
      <c r="C30" s="229">
        <f>'12ME Jun18 Norm Therms'!Q30/'12ME Jun18 Norm Therms'!Q$32</f>
        <v>0.24554290782648447</v>
      </c>
      <c r="D30" s="229">
        <f>'12ME Jun18 Norm Therms'!R30/'12ME Jun18 Norm Therms'!R$32</f>
        <v>0.2489045975551821</v>
      </c>
      <c r="E30" s="229">
        <f>'12ME Jun18 Norm Therms'!S30/'12ME Jun18 Norm Therms'!S$32</f>
        <v>0.24520824068619659</v>
      </c>
      <c r="F30" s="229">
        <f>'12ME Jun18 Norm Therms'!T30/'12ME Jun18 Norm Therms'!T$32</f>
        <v>0.25486140746600994</v>
      </c>
      <c r="G30" s="229">
        <f>'12ME Jun18 Norm Therms'!U30/'12ME Jun18 Norm Therms'!U$32</f>
        <v>0.23470334981332897</v>
      </c>
      <c r="H30" s="229">
        <f>'12ME Jun18 Norm Therms'!V30/'12ME Jun18 Norm Therms'!V$32</f>
        <v>0.26921265064536931</v>
      </c>
      <c r="I30" s="229">
        <f>'12ME Jun18 Norm Therms'!W30/'12ME Jun18 Norm Therms'!W$32</f>
        <v>0.25657725703641582</v>
      </c>
      <c r="J30" s="229">
        <f>'12ME Jun18 Norm Therms'!X30/'12ME Jun18 Norm Therms'!X$32</f>
        <v>0.23635770815450044</v>
      </c>
      <c r="K30" s="229">
        <f>'12ME Jun18 Norm Therms'!Y30/'12ME Jun18 Norm Therms'!Y$32</f>
        <v>0.26694533371279661</v>
      </c>
      <c r="L30" s="229">
        <f>'12ME Jun18 Norm Therms'!Z30/'12ME Jun18 Norm Therms'!Z$32</f>
        <v>0.25748908160580303</v>
      </c>
      <c r="M30" s="229">
        <f>'12ME Jun18 Norm Therms'!AA30/'12ME Jun18 Norm Therms'!AA$32</f>
        <v>0.27816457209964646</v>
      </c>
      <c r="N30" s="229">
        <f>'12ME Jun18 Norm Therms'!AB30/'12ME Jun18 Norm Therms'!AB$32</f>
        <v>0.2527194980349356</v>
      </c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</row>
    <row r="31" spans="1:42" x14ac:dyDescent="0.2">
      <c r="A31" s="137" t="s">
        <v>174</v>
      </c>
      <c r="B31" s="229">
        <f>'12ME Jun18 Norm Therms'!P31/'12ME Jun18 Norm Therms'!P$32</f>
        <v>0.52870290187766766</v>
      </c>
      <c r="C31" s="229">
        <f>'12ME Jun18 Norm Therms'!Q31/'12ME Jun18 Norm Therms'!Q$32</f>
        <v>0.53492495430022202</v>
      </c>
      <c r="D31" s="229">
        <f>'12ME Jun18 Norm Therms'!R31/'12ME Jun18 Norm Therms'!R$32</f>
        <v>0.51994944689418854</v>
      </c>
      <c r="E31" s="229">
        <f>'12ME Jun18 Norm Therms'!S31/'12ME Jun18 Norm Therms'!S$32</f>
        <v>0.53100302640469166</v>
      </c>
      <c r="F31" s="229">
        <f>'12ME Jun18 Norm Therms'!T31/'12ME Jun18 Norm Therms'!T$32</f>
        <v>0.49857712458867104</v>
      </c>
      <c r="G31" s="229">
        <f>'12ME Jun18 Norm Therms'!U31/'12ME Jun18 Norm Therms'!U$32</f>
        <v>0.56330099400205869</v>
      </c>
      <c r="H31" s="229">
        <f>'12ME Jun18 Norm Therms'!V31/'12ME Jun18 Norm Therms'!V$32</f>
        <v>0.49372498408280313</v>
      </c>
      <c r="I31" s="229">
        <f>'12ME Jun18 Norm Therms'!W31/'12ME Jun18 Norm Therms'!W$32</f>
        <v>0.51725740137770582</v>
      </c>
      <c r="J31" s="229">
        <f>'12ME Jun18 Norm Therms'!X31/'12ME Jun18 Norm Therms'!X$32</f>
        <v>0.55411647638139727</v>
      </c>
      <c r="K31" s="229">
        <f>'12ME Jun18 Norm Therms'!Y31/'12ME Jun18 Norm Therms'!Y$32</f>
        <v>0.49094503156461644</v>
      </c>
      <c r="L31" s="229">
        <f>'12ME Jun18 Norm Therms'!Z31/'12ME Jun18 Norm Therms'!Z$32</f>
        <v>0.50320188597989923</v>
      </c>
      <c r="M31" s="229">
        <f>'12ME Jun18 Norm Therms'!AA31/'12ME Jun18 Norm Therms'!AA$32</f>
        <v>0.46468458751286251</v>
      </c>
      <c r="N31" s="229">
        <f>'12ME Jun18 Norm Therms'!AB31/'12ME Jun18 Norm Therms'!AB$32</f>
        <v>0.5183913722687965</v>
      </c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</row>
    <row r="32" spans="1:42" x14ac:dyDescent="0.2">
      <c r="A32" s="137" t="s">
        <v>6</v>
      </c>
      <c r="B32" s="150">
        <f>SUM(B26:B31)</f>
        <v>0.99999999999999989</v>
      </c>
      <c r="C32" s="150">
        <f t="shared" ref="C32:N32" si="4">SUM(C26:C31)</f>
        <v>1</v>
      </c>
      <c r="D32" s="150">
        <f t="shared" si="4"/>
        <v>1</v>
      </c>
      <c r="E32" s="150">
        <f t="shared" si="4"/>
        <v>1</v>
      </c>
      <c r="F32" s="150">
        <f t="shared" si="4"/>
        <v>1</v>
      </c>
      <c r="G32" s="150">
        <f t="shared" si="4"/>
        <v>1</v>
      </c>
      <c r="H32" s="150">
        <f t="shared" si="4"/>
        <v>1</v>
      </c>
      <c r="I32" s="150">
        <f t="shared" si="4"/>
        <v>0.99999999999999989</v>
      </c>
      <c r="J32" s="150">
        <f t="shared" si="4"/>
        <v>1</v>
      </c>
      <c r="K32" s="150">
        <f t="shared" si="4"/>
        <v>1</v>
      </c>
      <c r="L32" s="150">
        <f t="shared" si="4"/>
        <v>1</v>
      </c>
      <c r="M32" s="150">
        <f t="shared" si="4"/>
        <v>1</v>
      </c>
      <c r="N32" s="150">
        <f t="shared" si="4"/>
        <v>0.99999999999999989</v>
      </c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</row>
    <row r="33" spans="1:42" ht="15" x14ac:dyDescent="0.25">
      <c r="A33" s="137" t="s">
        <v>49</v>
      </c>
      <c r="B33" s="141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</row>
    <row r="34" spans="1:42" x14ac:dyDescent="0.2">
      <c r="A34" s="137"/>
      <c r="B34" s="14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</row>
    <row r="35" spans="1:42" x14ac:dyDescent="0.2">
      <c r="A35" s="142" t="s">
        <v>186</v>
      </c>
      <c r="B35" s="14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AD35" s="150"/>
      <c r="AE35" s="150"/>
      <c r="AF35" s="150"/>
      <c r="AG35" s="150"/>
      <c r="AH35" s="150"/>
      <c r="AI35" s="150"/>
      <c r="AJ35" s="150"/>
      <c r="AK35" s="150"/>
      <c r="AL35" s="150"/>
      <c r="AM35" s="150"/>
      <c r="AN35" s="150"/>
      <c r="AO35" s="150"/>
      <c r="AP35" s="150"/>
    </row>
    <row r="36" spans="1:42" x14ac:dyDescent="0.2">
      <c r="A36" s="137" t="s">
        <v>177</v>
      </c>
      <c r="B36" s="229">
        <f>'12ME Jun18 Norm Therms'!P36/'12ME Jun18 Norm Therms'!P$39</f>
        <v>0.30240300611181514</v>
      </c>
      <c r="C36" s="229">
        <f>'12ME Jun18 Norm Therms'!Q36/'12ME Jun18 Norm Therms'!Q$39</f>
        <v>0.31378219400473645</v>
      </c>
      <c r="D36" s="229">
        <f>'12ME Jun18 Norm Therms'!R36/'12ME Jun18 Norm Therms'!R$39</f>
        <v>0.28939282734700039</v>
      </c>
      <c r="E36" s="229">
        <f>'12ME Jun18 Norm Therms'!S36/'12ME Jun18 Norm Therms'!S$39</f>
        <v>0.22694155258161264</v>
      </c>
      <c r="F36" s="229">
        <f>'12ME Jun18 Norm Therms'!T36/'12ME Jun18 Norm Therms'!T$39</f>
        <v>0.17527022805807341</v>
      </c>
      <c r="G36" s="229">
        <f>'12ME Jun18 Norm Therms'!U36/'12ME Jun18 Norm Therms'!U$39</f>
        <v>0.15815418503824608</v>
      </c>
      <c r="H36" s="229">
        <f>'12ME Jun18 Norm Therms'!V36/'12ME Jun18 Norm Therms'!V$39</f>
        <v>0.14922454324680837</v>
      </c>
      <c r="I36" s="229">
        <f>'12ME Jun18 Norm Therms'!W36/'12ME Jun18 Norm Therms'!W$39</f>
        <v>0.16365232688410325</v>
      </c>
      <c r="J36" s="229">
        <f>'12ME Jun18 Norm Therms'!X36/'12ME Jun18 Norm Therms'!X$39</f>
        <v>0.17513820252521928</v>
      </c>
      <c r="K36" s="229">
        <f>'12ME Jun18 Norm Therms'!Y36/'12ME Jun18 Norm Therms'!Y$39</f>
        <v>0.21183834478341099</v>
      </c>
      <c r="L36" s="229">
        <f>'12ME Jun18 Norm Therms'!Z36/'12ME Jun18 Norm Therms'!Z$39</f>
        <v>0.25312867055002536</v>
      </c>
      <c r="M36" s="229">
        <f>'12ME Jun18 Norm Therms'!AA36/'12ME Jun18 Norm Therms'!AA$39</f>
        <v>0.34383886511854705</v>
      </c>
      <c r="N36" s="229">
        <f>'12ME Jun18 Norm Therms'!AB36/'12ME Jun18 Norm Therms'!AB$39</f>
        <v>0.20586852735231992</v>
      </c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</row>
    <row r="37" spans="1:42" x14ac:dyDescent="0.2">
      <c r="A37" s="137" t="s">
        <v>165</v>
      </c>
      <c r="B37" s="229">
        <f>'12ME Jun18 Norm Therms'!P37/'12ME Jun18 Norm Therms'!P$39</f>
        <v>0.40916761038552568</v>
      </c>
      <c r="C37" s="229">
        <f>'12ME Jun18 Norm Therms'!Q37/'12ME Jun18 Norm Therms'!Q$39</f>
        <v>0.41063054667756643</v>
      </c>
      <c r="D37" s="229">
        <f>'12ME Jun18 Norm Therms'!R37/'12ME Jun18 Norm Therms'!R$39</f>
        <v>0.42821726664592413</v>
      </c>
      <c r="E37" s="229">
        <f>'12ME Jun18 Norm Therms'!S37/'12ME Jun18 Norm Therms'!S$39</f>
        <v>0.47620783548505308</v>
      </c>
      <c r="F37" s="229">
        <f>'12ME Jun18 Norm Therms'!T37/'12ME Jun18 Norm Therms'!T$39</f>
        <v>0.47149967508758106</v>
      </c>
      <c r="G37" s="229">
        <f>'12ME Jun18 Norm Therms'!U37/'12ME Jun18 Norm Therms'!U$39</f>
        <v>0.47230884551515845</v>
      </c>
      <c r="H37" s="229">
        <f>'12ME Jun18 Norm Therms'!V37/'12ME Jun18 Norm Therms'!V$39</f>
        <v>0.43348289521280331</v>
      </c>
      <c r="I37" s="229">
        <f>'12ME Jun18 Norm Therms'!W37/'12ME Jun18 Norm Therms'!W$39</f>
        <v>0.49124557639897837</v>
      </c>
      <c r="J37" s="229">
        <f>'12ME Jun18 Norm Therms'!X37/'12ME Jun18 Norm Therms'!X$39</f>
        <v>0.4751552438688797</v>
      </c>
      <c r="K37" s="229">
        <f>'12ME Jun18 Norm Therms'!Y37/'12ME Jun18 Norm Therms'!Y$39</f>
        <v>0.46752317390884679</v>
      </c>
      <c r="L37" s="229">
        <f>'12ME Jun18 Norm Therms'!Z37/'12ME Jun18 Norm Therms'!Z$39</f>
        <v>0.41013138911340513</v>
      </c>
      <c r="M37" s="229">
        <f>'12ME Jun18 Norm Therms'!AA37/'12ME Jun18 Norm Therms'!AA$39</f>
        <v>0.45992169399527266</v>
      </c>
      <c r="N37" s="229">
        <f>'12ME Jun18 Norm Therms'!AB37/'12ME Jun18 Norm Therms'!AB$39</f>
        <v>0.45626719911069369</v>
      </c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</row>
    <row r="38" spans="1:42" x14ac:dyDescent="0.2">
      <c r="A38" s="137" t="s">
        <v>166</v>
      </c>
      <c r="B38" s="229">
        <f>'12ME Jun18 Norm Therms'!P38/'12ME Jun18 Norm Therms'!P$39</f>
        <v>0.28842938350265918</v>
      </c>
      <c r="C38" s="229">
        <f>'12ME Jun18 Norm Therms'!Q38/'12ME Jun18 Norm Therms'!Q$39</f>
        <v>0.27558725931769723</v>
      </c>
      <c r="D38" s="229">
        <f>'12ME Jun18 Norm Therms'!R38/'12ME Jun18 Norm Therms'!R$39</f>
        <v>0.28238990600707542</v>
      </c>
      <c r="E38" s="229">
        <f>'12ME Jun18 Norm Therms'!S38/'12ME Jun18 Norm Therms'!S$39</f>
        <v>0.29685061193333429</v>
      </c>
      <c r="F38" s="229">
        <f>'12ME Jun18 Norm Therms'!T38/'12ME Jun18 Norm Therms'!T$39</f>
        <v>0.35323009685434548</v>
      </c>
      <c r="G38" s="229">
        <f>'12ME Jun18 Norm Therms'!U38/'12ME Jun18 Norm Therms'!U$39</f>
        <v>0.36953696944659548</v>
      </c>
      <c r="H38" s="229">
        <f>'12ME Jun18 Norm Therms'!V38/'12ME Jun18 Norm Therms'!V$39</f>
        <v>0.4172925615403883</v>
      </c>
      <c r="I38" s="229">
        <f>'12ME Jun18 Norm Therms'!W38/'12ME Jun18 Norm Therms'!W$39</f>
        <v>0.34510209671691844</v>
      </c>
      <c r="J38" s="229">
        <f>'12ME Jun18 Norm Therms'!X38/'12ME Jun18 Norm Therms'!X$39</f>
        <v>0.34970655360590103</v>
      </c>
      <c r="K38" s="229">
        <f>'12ME Jun18 Norm Therms'!Y38/'12ME Jun18 Norm Therms'!Y$39</f>
        <v>0.32063848130774214</v>
      </c>
      <c r="L38" s="229">
        <f>'12ME Jun18 Norm Therms'!Z38/'12ME Jun18 Norm Therms'!Z$39</f>
        <v>0.33673994033656957</v>
      </c>
      <c r="M38" s="229">
        <f>'12ME Jun18 Norm Therms'!AA38/'12ME Jun18 Norm Therms'!AA$39</f>
        <v>0.19623944088618031</v>
      </c>
      <c r="N38" s="229">
        <f>'12ME Jun18 Norm Therms'!AB38/'12ME Jun18 Norm Therms'!AB$39</f>
        <v>0.3378642735369865</v>
      </c>
      <c r="AD38" s="150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</row>
    <row r="39" spans="1:42" ht="15" x14ac:dyDescent="0.25">
      <c r="A39" s="137" t="s">
        <v>6</v>
      </c>
      <c r="B39" s="138">
        <f>SUM(B36:B38)</f>
        <v>1</v>
      </c>
      <c r="C39" s="138">
        <f t="shared" ref="C39:N39" si="5">SUM(C36:C38)</f>
        <v>1</v>
      </c>
      <c r="D39" s="138">
        <f t="shared" si="5"/>
        <v>1</v>
      </c>
      <c r="E39" s="138">
        <f t="shared" si="5"/>
        <v>1</v>
      </c>
      <c r="F39" s="138">
        <f t="shared" si="5"/>
        <v>0.99999999999999989</v>
      </c>
      <c r="G39" s="138">
        <f t="shared" si="5"/>
        <v>1</v>
      </c>
      <c r="H39" s="138">
        <f t="shared" si="5"/>
        <v>1</v>
      </c>
      <c r="I39" s="138">
        <f t="shared" si="5"/>
        <v>1</v>
      </c>
      <c r="J39" s="138">
        <f t="shared" si="5"/>
        <v>1</v>
      </c>
      <c r="K39" s="138">
        <f t="shared" si="5"/>
        <v>1</v>
      </c>
      <c r="L39" s="138">
        <f t="shared" si="5"/>
        <v>1</v>
      </c>
      <c r="M39" s="138">
        <f t="shared" si="5"/>
        <v>1</v>
      </c>
      <c r="N39" s="138">
        <f t="shared" si="5"/>
        <v>1.0000000000000002</v>
      </c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</row>
    <row r="40" spans="1:42" ht="15" x14ac:dyDescent="0.25">
      <c r="A40" s="137" t="s">
        <v>49</v>
      </c>
      <c r="B40" s="141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</row>
    <row r="41" spans="1:42" ht="15" x14ac:dyDescent="0.25">
      <c r="A41" s="137"/>
      <c r="B41" s="141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AD41" s="150"/>
      <c r="AE41" s="150"/>
      <c r="AF41" s="150"/>
      <c r="AG41" s="150"/>
      <c r="AH41" s="150"/>
      <c r="AI41" s="150"/>
      <c r="AJ41" s="150"/>
      <c r="AK41" s="150"/>
      <c r="AL41" s="150"/>
      <c r="AM41" s="150"/>
      <c r="AN41" s="150"/>
      <c r="AO41" s="150"/>
      <c r="AP41" s="150"/>
    </row>
    <row r="42" spans="1:42" ht="15" x14ac:dyDescent="0.25">
      <c r="A42" s="135" t="s">
        <v>187</v>
      </c>
      <c r="B42" s="141"/>
      <c r="C42" s="141"/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</row>
    <row r="43" spans="1:42" x14ac:dyDescent="0.2">
      <c r="A43" s="137" t="s">
        <v>88</v>
      </c>
      <c r="B43" s="229">
        <f>'12ME Jun18 Norm Therms'!P43/'12ME Jun18 Norm Therms'!P$46</f>
        <v>0.68182404119664564</v>
      </c>
      <c r="C43" s="229">
        <f>'12ME Jun18 Norm Therms'!Q43/'12ME Jun18 Norm Therms'!Q$46</f>
        <v>0.70498942167353451</v>
      </c>
      <c r="D43" s="229">
        <f>'12ME Jun18 Norm Therms'!R43/'12ME Jun18 Norm Therms'!R$46</f>
        <v>0.62048946635731816</v>
      </c>
      <c r="E43" s="229">
        <f>'12ME Jun18 Norm Therms'!S43/'12ME Jun18 Norm Therms'!S$46</f>
        <v>0.4939512805787552</v>
      </c>
      <c r="F43" s="229">
        <f>'12ME Jun18 Norm Therms'!T43/'12ME Jun18 Norm Therms'!T$46</f>
        <v>0.41602135259681561</v>
      </c>
      <c r="G43" s="229">
        <f>'12ME Jun18 Norm Therms'!U43/'12ME Jun18 Norm Therms'!U$46</f>
        <v>0.35794213605977243</v>
      </c>
      <c r="H43" s="229">
        <f>'12ME Jun18 Norm Therms'!V43/'12ME Jun18 Norm Therms'!V$46</f>
        <v>0.37230426841953063</v>
      </c>
      <c r="I43" s="229">
        <f>'12ME Jun18 Norm Therms'!W43/'12ME Jun18 Norm Therms'!W$46</f>
        <v>0.41227743607503797</v>
      </c>
      <c r="J43" s="229">
        <f>'12ME Jun18 Norm Therms'!X43/'12ME Jun18 Norm Therms'!X$46</f>
        <v>0.40682992840455617</v>
      </c>
      <c r="K43" s="229">
        <f>'12ME Jun18 Norm Therms'!Y43/'12ME Jun18 Norm Therms'!Y$46</f>
        <v>0.49309126617616333</v>
      </c>
      <c r="L43" s="229">
        <f>'12ME Jun18 Norm Therms'!Z43/'12ME Jun18 Norm Therms'!Z$46</f>
        <v>0.59859693790100554</v>
      </c>
      <c r="M43" s="229">
        <f>'12ME Jun18 Norm Therms'!AA43/'12ME Jun18 Norm Therms'!AA$46</f>
        <v>0.6582180585817895</v>
      </c>
      <c r="N43" s="229">
        <f>'12ME Jun18 Norm Therms'!AB43/'12ME Jun18 Norm Therms'!AB$46</f>
        <v>0.47808955765455691</v>
      </c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</row>
    <row r="44" spans="1:42" x14ac:dyDescent="0.2">
      <c r="A44" s="137" t="s">
        <v>89</v>
      </c>
      <c r="B44" s="229">
        <f>'12ME Jun18 Norm Therms'!P44/'12ME Jun18 Norm Therms'!P$46</f>
        <v>0.2780099203571797</v>
      </c>
      <c r="C44" s="229">
        <f>'12ME Jun18 Norm Therms'!Q44/'12ME Jun18 Norm Therms'!Q$46</f>
        <v>0.27214177319244315</v>
      </c>
      <c r="D44" s="229">
        <f>'12ME Jun18 Norm Therms'!R44/'12ME Jun18 Norm Therms'!R$46</f>
        <v>0.28146060729861755</v>
      </c>
      <c r="E44" s="229">
        <f>'12ME Jun18 Norm Therms'!S44/'12ME Jun18 Norm Therms'!S$46</f>
        <v>0.26381423012085931</v>
      </c>
      <c r="F44" s="229">
        <f>'12ME Jun18 Norm Therms'!T44/'12ME Jun18 Norm Therms'!T$46</f>
        <v>0.25554316407743499</v>
      </c>
      <c r="G44" s="229">
        <f>'12ME Jun18 Norm Therms'!U44/'12ME Jun18 Norm Therms'!U$46</f>
        <v>0.26183811520945327</v>
      </c>
      <c r="H44" s="229">
        <f>'12ME Jun18 Norm Therms'!V44/'12ME Jun18 Norm Therms'!V$46</f>
        <v>0.25905117547881151</v>
      </c>
      <c r="I44" s="229">
        <f>'12ME Jun18 Norm Therms'!W44/'12ME Jun18 Norm Therms'!W$46</f>
        <v>0.25985718749917025</v>
      </c>
      <c r="J44" s="229">
        <f>'12ME Jun18 Norm Therms'!X44/'12ME Jun18 Norm Therms'!X$46</f>
        <v>0.25215293764946073</v>
      </c>
      <c r="K44" s="229">
        <f>'12ME Jun18 Norm Therms'!Y44/'12ME Jun18 Norm Therms'!Y$46</f>
        <v>0.24488755080875099</v>
      </c>
      <c r="L44" s="229">
        <f>'12ME Jun18 Norm Therms'!Z44/'12ME Jun18 Norm Therms'!Z$46</f>
        <v>0.27398677225717594</v>
      </c>
      <c r="M44" s="229">
        <f>'12ME Jun18 Norm Therms'!AA44/'12ME Jun18 Norm Therms'!AA$46</f>
        <v>0.28401448484058162</v>
      </c>
      <c r="N44" s="229">
        <f>'12ME Jun18 Norm Therms'!AB44/'12ME Jun18 Norm Therms'!AB$46</f>
        <v>0.26260386249360684</v>
      </c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</row>
    <row r="45" spans="1:42" x14ac:dyDescent="0.2">
      <c r="A45" s="137" t="s">
        <v>169</v>
      </c>
      <c r="B45" s="229">
        <f>'12ME Jun18 Norm Therms'!P45/'12ME Jun18 Norm Therms'!P$46</f>
        <v>4.0166038446174585E-2</v>
      </c>
      <c r="C45" s="229">
        <f>'12ME Jun18 Norm Therms'!Q45/'12ME Jun18 Norm Therms'!Q$46</f>
        <v>2.2868805134022535E-2</v>
      </c>
      <c r="D45" s="229">
        <f>'12ME Jun18 Norm Therms'!R45/'12ME Jun18 Norm Therms'!R$46</f>
        <v>9.8049926344064273E-2</v>
      </c>
      <c r="E45" s="229">
        <f>'12ME Jun18 Norm Therms'!S45/'12ME Jun18 Norm Therms'!S$46</f>
        <v>0.24223448930038557</v>
      </c>
      <c r="F45" s="229">
        <f>'12ME Jun18 Norm Therms'!T45/'12ME Jun18 Norm Therms'!T$46</f>
        <v>0.3284354833257494</v>
      </c>
      <c r="G45" s="229">
        <f>'12ME Jun18 Norm Therms'!U45/'12ME Jun18 Norm Therms'!U$46</f>
        <v>0.38021974873077419</v>
      </c>
      <c r="H45" s="229">
        <f>'12ME Jun18 Norm Therms'!V45/'12ME Jun18 Norm Therms'!V$46</f>
        <v>0.36864455610165781</v>
      </c>
      <c r="I45" s="229">
        <f>'12ME Jun18 Norm Therms'!W45/'12ME Jun18 Norm Therms'!W$46</f>
        <v>0.32786537642579178</v>
      </c>
      <c r="J45" s="229">
        <f>'12ME Jun18 Norm Therms'!X45/'12ME Jun18 Norm Therms'!X$46</f>
        <v>0.34101713394598304</v>
      </c>
      <c r="K45" s="229">
        <f>'12ME Jun18 Norm Therms'!Y45/'12ME Jun18 Norm Therms'!Y$46</f>
        <v>0.26202118301508576</v>
      </c>
      <c r="L45" s="229">
        <f>'12ME Jun18 Norm Therms'!Z45/'12ME Jun18 Norm Therms'!Z$46</f>
        <v>0.12741628984181844</v>
      </c>
      <c r="M45" s="229">
        <f>'12ME Jun18 Norm Therms'!AA45/'12ME Jun18 Norm Therms'!AA$46</f>
        <v>5.7767456577628842E-2</v>
      </c>
      <c r="N45" s="229">
        <f>'12ME Jun18 Norm Therms'!AB45/'12ME Jun18 Norm Therms'!AB$46</f>
        <v>0.25930657985183625</v>
      </c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</row>
    <row r="46" spans="1:42" s="139" customFormat="1" x14ac:dyDescent="0.2">
      <c r="A46" s="137" t="s">
        <v>6</v>
      </c>
      <c r="B46" s="150">
        <f>SUM(B43:B45)</f>
        <v>1</v>
      </c>
      <c r="C46" s="150">
        <f t="shared" ref="C46:N46" si="6">SUM(C43:C45)</f>
        <v>1.0000000000000002</v>
      </c>
      <c r="D46" s="150">
        <f t="shared" si="6"/>
        <v>1</v>
      </c>
      <c r="E46" s="150">
        <f t="shared" si="6"/>
        <v>1</v>
      </c>
      <c r="F46" s="150">
        <f t="shared" si="6"/>
        <v>1</v>
      </c>
      <c r="G46" s="150">
        <f t="shared" si="6"/>
        <v>0.99999999999999978</v>
      </c>
      <c r="H46" s="150">
        <f t="shared" si="6"/>
        <v>1</v>
      </c>
      <c r="I46" s="150">
        <f t="shared" si="6"/>
        <v>1</v>
      </c>
      <c r="J46" s="150">
        <f t="shared" si="6"/>
        <v>1</v>
      </c>
      <c r="K46" s="150">
        <f t="shared" si="6"/>
        <v>1</v>
      </c>
      <c r="L46" s="150">
        <f t="shared" si="6"/>
        <v>0.99999999999999989</v>
      </c>
      <c r="M46" s="150">
        <f t="shared" si="6"/>
        <v>0.99999999999999989</v>
      </c>
      <c r="N46" s="150">
        <f t="shared" si="6"/>
        <v>1</v>
      </c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</row>
    <row r="47" spans="1:42" x14ac:dyDescent="0.2">
      <c r="A47" s="137" t="s">
        <v>49</v>
      </c>
      <c r="B47" s="14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</row>
    <row r="48" spans="1:42" x14ac:dyDescent="0.2">
      <c r="A48" s="137"/>
      <c r="B48" s="14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</row>
    <row r="49" spans="1:42" x14ac:dyDescent="0.2">
      <c r="A49" s="137" t="s">
        <v>188</v>
      </c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AD49" s="150"/>
      <c r="AE49" s="150"/>
      <c r="AF49" s="150"/>
      <c r="AG49" s="150"/>
      <c r="AH49" s="150"/>
      <c r="AI49" s="150"/>
      <c r="AJ49" s="150"/>
      <c r="AK49" s="150"/>
      <c r="AL49" s="150"/>
      <c r="AM49" s="150"/>
      <c r="AN49" s="150"/>
      <c r="AO49" s="150"/>
      <c r="AP49" s="150"/>
    </row>
    <row r="50" spans="1:42" ht="15" x14ac:dyDescent="0.25">
      <c r="A50" s="137" t="s">
        <v>94</v>
      </c>
      <c r="B50" s="230">
        <f>'12ME Jun18 Norm Therms'!P50/'12ME Jun18 Norm Therms'!P$52</f>
        <v>0.41890947418126573</v>
      </c>
      <c r="C50" s="230">
        <f>'12ME Jun18 Norm Therms'!Q50/'12ME Jun18 Norm Therms'!Q$52</f>
        <v>0.43579441049003897</v>
      </c>
      <c r="D50" s="230">
        <f>'12ME Jun18 Norm Therms'!R50/'12ME Jun18 Norm Therms'!R$52</f>
        <v>0.34025468706810419</v>
      </c>
      <c r="E50" s="230">
        <f>'12ME Jun18 Norm Therms'!S50/'12ME Jun18 Norm Therms'!S$52</f>
        <v>0.24372471205179513</v>
      </c>
      <c r="F50" s="230">
        <f>'12ME Jun18 Norm Therms'!T50/'12ME Jun18 Norm Therms'!T$52</f>
        <v>0.19594053601031722</v>
      </c>
      <c r="G50" s="230">
        <f>'12ME Jun18 Norm Therms'!U50/'12ME Jun18 Norm Therms'!U$52</f>
        <v>0.16479133237459451</v>
      </c>
      <c r="H50" s="230">
        <f>'12ME Jun18 Norm Therms'!V50/'12ME Jun18 Norm Therms'!V$52</f>
        <v>0.16771487646747016</v>
      </c>
      <c r="I50" s="230">
        <f>'12ME Jun18 Norm Therms'!W50/'12ME Jun18 Norm Therms'!W$52</f>
        <v>0.18456137827362062</v>
      </c>
      <c r="J50" s="230">
        <f>'12ME Jun18 Norm Therms'!X50/'12ME Jun18 Norm Therms'!X$52</f>
        <v>0.19644455230234054</v>
      </c>
      <c r="K50" s="230">
        <f>'12ME Jun18 Norm Therms'!Y50/'12ME Jun18 Norm Therms'!Y$52</f>
        <v>0.24094464057325662</v>
      </c>
      <c r="L50" s="230">
        <f>'12ME Jun18 Norm Therms'!Z50/'12ME Jun18 Norm Therms'!Z$52</f>
        <v>0.34322684380693663</v>
      </c>
      <c r="M50" s="230">
        <f>'12ME Jun18 Norm Therms'!AA50/'12ME Jun18 Norm Therms'!AA$52</f>
        <v>0.39546813356627791</v>
      </c>
      <c r="N50" s="230">
        <f>'12ME Jun18 Norm Therms'!AB50/'12ME Jun18 Norm Therms'!AB$52</f>
        <v>0.22623534218828784</v>
      </c>
      <c r="AD50" s="150"/>
      <c r="AE50" s="150"/>
      <c r="AF50" s="150"/>
      <c r="AG50" s="150"/>
      <c r="AH50" s="150"/>
      <c r="AI50" s="150"/>
      <c r="AJ50" s="150"/>
      <c r="AK50" s="150"/>
      <c r="AL50" s="150"/>
      <c r="AM50" s="150"/>
      <c r="AN50" s="150"/>
      <c r="AO50" s="150"/>
      <c r="AP50" s="150"/>
    </row>
    <row r="51" spans="1:42" ht="15" x14ac:dyDescent="0.25">
      <c r="A51" s="137" t="s">
        <v>172</v>
      </c>
      <c r="B51" s="230">
        <f>'12ME Jun18 Norm Therms'!P51/'12ME Jun18 Norm Therms'!P$52</f>
        <v>0.58109052581873422</v>
      </c>
      <c r="C51" s="230">
        <f>'12ME Jun18 Norm Therms'!Q51/'12ME Jun18 Norm Therms'!Q$52</f>
        <v>0.56420558950996103</v>
      </c>
      <c r="D51" s="230">
        <f>'12ME Jun18 Norm Therms'!R51/'12ME Jun18 Norm Therms'!R$52</f>
        <v>0.65974531293189587</v>
      </c>
      <c r="E51" s="230">
        <f>'12ME Jun18 Norm Therms'!S51/'12ME Jun18 Norm Therms'!S$52</f>
        <v>0.75627528794820487</v>
      </c>
      <c r="F51" s="230">
        <f>'12ME Jun18 Norm Therms'!T51/'12ME Jun18 Norm Therms'!T$52</f>
        <v>0.80405946398968287</v>
      </c>
      <c r="G51" s="230">
        <f>'12ME Jun18 Norm Therms'!U51/'12ME Jun18 Norm Therms'!U$52</f>
        <v>0.83520866762540558</v>
      </c>
      <c r="H51" s="230">
        <f>'12ME Jun18 Norm Therms'!V51/'12ME Jun18 Norm Therms'!V$52</f>
        <v>0.83228512353252992</v>
      </c>
      <c r="I51" s="230">
        <f>'12ME Jun18 Norm Therms'!W51/'12ME Jun18 Norm Therms'!W$52</f>
        <v>0.81543862172637949</v>
      </c>
      <c r="J51" s="230">
        <f>'12ME Jun18 Norm Therms'!X51/'12ME Jun18 Norm Therms'!X$52</f>
        <v>0.80355544769765963</v>
      </c>
      <c r="K51" s="230">
        <f>'12ME Jun18 Norm Therms'!Y51/'12ME Jun18 Norm Therms'!Y$52</f>
        <v>0.7590553594267434</v>
      </c>
      <c r="L51" s="230">
        <f>'12ME Jun18 Norm Therms'!Z51/'12ME Jun18 Norm Therms'!Z$52</f>
        <v>0.6567731561930632</v>
      </c>
      <c r="M51" s="230">
        <f>'12ME Jun18 Norm Therms'!AA51/'12ME Jun18 Norm Therms'!AA$52</f>
        <v>0.60453186643372214</v>
      </c>
      <c r="N51" s="230">
        <f>'12ME Jun18 Norm Therms'!AB51/'12ME Jun18 Norm Therms'!AB$52</f>
        <v>0.773764657811712</v>
      </c>
      <c r="AD51" s="150"/>
      <c r="AE51" s="150"/>
      <c r="AF51" s="150"/>
      <c r="AG51" s="150"/>
      <c r="AH51" s="150"/>
      <c r="AI51" s="150"/>
      <c r="AJ51" s="150"/>
      <c r="AK51" s="150"/>
      <c r="AL51" s="150"/>
      <c r="AM51" s="150"/>
      <c r="AN51" s="150"/>
      <c r="AO51" s="150"/>
      <c r="AP51" s="150"/>
    </row>
    <row r="52" spans="1:42" ht="15" x14ac:dyDescent="0.25">
      <c r="A52" s="137" t="s">
        <v>6</v>
      </c>
      <c r="B52" s="151">
        <f>SUM(B50:B51)</f>
        <v>1</v>
      </c>
      <c r="C52" s="151">
        <f t="shared" ref="C52:N52" si="7">SUM(C50:C51)</f>
        <v>1</v>
      </c>
      <c r="D52" s="151">
        <f t="shared" si="7"/>
        <v>1</v>
      </c>
      <c r="E52" s="151">
        <f t="shared" si="7"/>
        <v>1</v>
      </c>
      <c r="F52" s="151">
        <f t="shared" si="7"/>
        <v>1</v>
      </c>
      <c r="G52" s="151">
        <f t="shared" si="7"/>
        <v>1</v>
      </c>
      <c r="H52" s="151">
        <f t="shared" si="7"/>
        <v>1</v>
      </c>
      <c r="I52" s="151">
        <f t="shared" si="7"/>
        <v>1</v>
      </c>
      <c r="J52" s="151">
        <f t="shared" si="7"/>
        <v>1.0000000000000002</v>
      </c>
      <c r="K52" s="151">
        <f t="shared" si="7"/>
        <v>1</v>
      </c>
      <c r="L52" s="151">
        <f t="shared" si="7"/>
        <v>0.99999999999999978</v>
      </c>
      <c r="M52" s="151">
        <f t="shared" si="7"/>
        <v>1</v>
      </c>
      <c r="N52" s="151">
        <f t="shared" si="7"/>
        <v>0.99999999999999978</v>
      </c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</row>
    <row r="53" spans="1:42" x14ac:dyDescent="0.2">
      <c r="A53" s="137" t="s">
        <v>49</v>
      </c>
      <c r="B53" s="14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</row>
    <row r="54" spans="1:42" x14ac:dyDescent="0.2">
      <c r="A54" s="137"/>
      <c r="B54" s="14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</row>
    <row r="55" spans="1:42" x14ac:dyDescent="0.2">
      <c r="A55" s="135" t="s">
        <v>189</v>
      </c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</row>
    <row r="56" spans="1:42" x14ac:dyDescent="0.2">
      <c r="A56" s="137" t="s">
        <v>88</v>
      </c>
      <c r="B56" s="229">
        <f>'12ME Jun18 Norm Therms'!P56/'12ME Jun18 Norm Therms'!P$62</f>
        <v>0.10399135060166884</v>
      </c>
      <c r="C56" s="229">
        <f>'12ME Jun18 Norm Therms'!Q56/'12ME Jun18 Norm Therms'!Q$62</f>
        <v>0.10860337328806997</v>
      </c>
      <c r="D56" s="229">
        <f>'12ME Jun18 Norm Therms'!R56/'12ME Jun18 Norm Therms'!R$62</f>
        <v>9.4438116217644016E-2</v>
      </c>
      <c r="E56" s="229">
        <f>'12ME Jun18 Norm Therms'!S56/'12ME Jun18 Norm Therms'!S$62</f>
        <v>6.3567049173808315E-2</v>
      </c>
      <c r="F56" s="229">
        <f>'12ME Jun18 Norm Therms'!T56/'12ME Jun18 Norm Therms'!T$62</f>
        <v>5.443590480044868E-2</v>
      </c>
      <c r="G56" s="229">
        <f>'12ME Jun18 Norm Therms'!U56/'12ME Jun18 Norm Therms'!U$62</f>
        <v>4.5464564958677463E-2</v>
      </c>
      <c r="H56" s="229">
        <f>'12ME Jun18 Norm Therms'!V56/'12ME Jun18 Norm Therms'!V$62</f>
        <v>4.8814832967943853E-2</v>
      </c>
      <c r="I56" s="229">
        <f>'12ME Jun18 Norm Therms'!W56/'12ME Jun18 Norm Therms'!W$62</f>
        <v>4.9495547759229444E-2</v>
      </c>
      <c r="J56" s="229">
        <f>'12ME Jun18 Norm Therms'!X56/'12ME Jun18 Norm Therms'!X$62</f>
        <v>5.1397595670720816E-2</v>
      </c>
      <c r="K56" s="229">
        <f>'12ME Jun18 Norm Therms'!Y56/'12ME Jun18 Norm Therms'!Y$62</f>
        <v>5.9835060528250321E-2</v>
      </c>
      <c r="L56" s="229">
        <f>'12ME Jun18 Norm Therms'!Z56/'12ME Jun18 Norm Therms'!Z$62</f>
        <v>8.5836838051139661E-2</v>
      </c>
      <c r="M56" s="229">
        <f>'12ME Jun18 Norm Therms'!AA56/'12ME Jun18 Norm Therms'!AA$62</f>
        <v>8.5086391129566744E-2</v>
      </c>
      <c r="N56" s="229">
        <f>'12ME Jun18 Norm Therms'!AB56/'12ME Jun18 Norm Therms'!AB$62</f>
        <v>6.4594226165388721E-2</v>
      </c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</row>
    <row r="57" spans="1:42" x14ac:dyDescent="0.2">
      <c r="A57" s="137" t="s">
        <v>89</v>
      </c>
      <c r="B57" s="229">
        <f>'12ME Jun18 Norm Therms'!P57/'12ME Jun18 Norm Therms'!P$62</f>
        <v>9.5084592091413914E-2</v>
      </c>
      <c r="C57" s="229">
        <f>'12ME Jun18 Norm Therms'!Q57/'12ME Jun18 Norm Therms'!Q$62</f>
        <v>9.1759999794498642E-2</v>
      </c>
      <c r="D57" s="229">
        <f>'12ME Jun18 Norm Therms'!R57/'12ME Jun18 Norm Therms'!R$62</f>
        <v>8.8221847398407827E-2</v>
      </c>
      <c r="E57" s="229">
        <f>'12ME Jun18 Norm Therms'!S57/'12ME Jun18 Norm Therms'!S$62</f>
        <v>6.3566027129799488E-2</v>
      </c>
      <c r="F57" s="229">
        <f>'12ME Jun18 Norm Therms'!T57/'12ME Jun18 Norm Therms'!T$62</f>
        <v>5.443590480044868E-2</v>
      </c>
      <c r="G57" s="229">
        <f>'12ME Jun18 Norm Therms'!U57/'12ME Jun18 Norm Therms'!U$62</f>
        <v>4.5464405596268048E-2</v>
      </c>
      <c r="H57" s="229">
        <f>'12ME Jun18 Norm Therms'!V57/'12ME Jun18 Norm Therms'!V$62</f>
        <v>4.8814619575364128E-2</v>
      </c>
      <c r="I57" s="229">
        <f>'12ME Jun18 Norm Therms'!W57/'12ME Jun18 Norm Therms'!W$62</f>
        <v>4.9495547759229444E-2</v>
      </c>
      <c r="J57" s="229">
        <f>'12ME Jun18 Norm Therms'!X57/'12ME Jun18 Norm Therms'!X$62</f>
        <v>5.1397595670720816E-2</v>
      </c>
      <c r="K57" s="229">
        <f>'12ME Jun18 Norm Therms'!Y57/'12ME Jun18 Norm Therms'!Y$62</f>
        <v>5.9835060528250321E-2</v>
      </c>
      <c r="L57" s="229">
        <f>'12ME Jun18 Norm Therms'!Z57/'12ME Jun18 Norm Therms'!Z$62</f>
        <v>8.5836838051139661E-2</v>
      </c>
      <c r="M57" s="229">
        <f>'12ME Jun18 Norm Therms'!AA57/'12ME Jun18 Norm Therms'!AA$62</f>
        <v>7.889546231132695E-2</v>
      </c>
      <c r="N57" s="229">
        <f>'12ME Jun18 Norm Therms'!AB57/'12ME Jun18 Norm Therms'!AB$62</f>
        <v>6.2543656117600543E-2</v>
      </c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</row>
    <row r="58" spans="1:42" x14ac:dyDescent="0.2">
      <c r="A58" s="137" t="s">
        <v>99</v>
      </c>
      <c r="B58" s="229">
        <f>'12ME Jun18 Norm Therms'!P58/'12ME Jun18 Norm Therms'!P$62</f>
        <v>0.14965288757331005</v>
      </c>
      <c r="C58" s="229">
        <f>'12ME Jun18 Norm Therms'!Q58/'12ME Jun18 Norm Therms'!Q$62</f>
        <v>0.14814953494655597</v>
      </c>
      <c r="D58" s="229">
        <f>'12ME Jun18 Norm Therms'!R58/'12ME Jun18 Norm Therms'!R$62</f>
        <v>0.13362551170165743</v>
      </c>
      <c r="E58" s="229">
        <f>'12ME Jun18 Norm Therms'!S58/'12ME Jun18 Norm Therms'!S$62</f>
        <v>0.11891360215206739</v>
      </c>
      <c r="F58" s="229">
        <f>'12ME Jun18 Norm Therms'!T58/'12ME Jun18 Norm Therms'!T$62</f>
        <v>0.10887181045339363</v>
      </c>
      <c r="G58" s="229">
        <f>'12ME Jun18 Norm Therms'!U58/'12ME Jun18 Norm Therms'!U$62</f>
        <v>9.0929129562427505E-2</v>
      </c>
      <c r="H58" s="229">
        <f>'12ME Jun18 Norm Therms'!V58/'12ME Jun18 Norm Therms'!V$62</f>
        <v>9.7629665548605346E-2</v>
      </c>
      <c r="I58" s="229">
        <f>'12ME Jun18 Norm Therms'!W58/'12ME Jun18 Norm Therms'!W$62</f>
        <v>9.8991095518458888E-2</v>
      </c>
      <c r="J58" s="229">
        <f>'12ME Jun18 Norm Therms'!X58/'12ME Jun18 Norm Therms'!X$62</f>
        <v>0.10279519134144163</v>
      </c>
      <c r="K58" s="229">
        <f>'12ME Jun18 Norm Therms'!Y58/'12ME Jun18 Norm Therms'!Y$62</f>
        <v>0.11967012105650064</v>
      </c>
      <c r="L58" s="229">
        <f>'12ME Jun18 Norm Therms'!Z58/'12ME Jun18 Norm Therms'!Z$62</f>
        <v>0.13290757425922287</v>
      </c>
      <c r="M58" s="229">
        <f>'12ME Jun18 Norm Therms'!AA58/'12ME Jun18 Norm Therms'!AA$62</f>
        <v>0.12247830686536924</v>
      </c>
      <c r="N58" s="229">
        <f>'12ME Jun18 Norm Therms'!AB58/'12ME Jun18 Norm Therms'!AB$62</f>
        <v>0.11345546112607366</v>
      </c>
      <c r="AD58" s="150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</row>
    <row r="59" spans="1:42" x14ac:dyDescent="0.2">
      <c r="A59" s="137" t="s">
        <v>100</v>
      </c>
      <c r="B59" s="229">
        <f>'12ME Jun18 Norm Therms'!P59/'12ME Jun18 Norm Therms'!P$62</f>
        <v>9.5230903403986794E-2</v>
      </c>
      <c r="C59" s="229">
        <f>'12ME Jun18 Norm Therms'!Q59/'12ME Jun18 Norm Therms'!Q$62</f>
        <v>8.7124107326175607E-2</v>
      </c>
      <c r="D59" s="229">
        <f>'12ME Jun18 Norm Therms'!R59/'12ME Jun18 Norm Therms'!R$62</f>
        <v>9.7167213304533095E-2</v>
      </c>
      <c r="E59" s="229">
        <f>'12ME Jun18 Norm Therms'!S59/'12ME Jun18 Norm Therms'!S$62</f>
        <v>0.1241530315549746</v>
      </c>
      <c r="F59" s="229">
        <f>'12ME Jun18 Norm Therms'!T59/'12ME Jun18 Norm Therms'!T$62</f>
        <v>0.14348583924069444</v>
      </c>
      <c r="G59" s="229">
        <f>'12ME Jun18 Norm Therms'!U59/'12ME Jun18 Norm Therms'!U$62</f>
        <v>0.15008472603650788</v>
      </c>
      <c r="H59" s="229">
        <f>'12ME Jun18 Norm Therms'!V59/'12ME Jun18 Norm Therms'!V$62</f>
        <v>0.15277663130903821</v>
      </c>
      <c r="I59" s="229">
        <f>'12ME Jun18 Norm Therms'!W59/'12ME Jun18 Norm Therms'!W$62</f>
        <v>0.17917956723246828</v>
      </c>
      <c r="J59" s="229">
        <f>'12ME Jun18 Norm Therms'!X59/'12ME Jun18 Norm Therms'!X$62</f>
        <v>0.18235130478102898</v>
      </c>
      <c r="K59" s="229">
        <f>'12ME Jun18 Norm Therms'!Y59/'12ME Jun18 Norm Therms'!Y$62</f>
        <v>0.15345673812720384</v>
      </c>
      <c r="L59" s="229">
        <f>'12ME Jun18 Norm Therms'!Z59/'12ME Jun18 Norm Therms'!Z$62</f>
        <v>0.11286622436479707</v>
      </c>
      <c r="M59" s="229">
        <f>'12ME Jun18 Norm Therms'!AA59/'12ME Jun18 Norm Therms'!AA$62</f>
        <v>8.0752249537790893E-2</v>
      </c>
      <c r="N59" s="229">
        <f>'12ME Jun18 Norm Therms'!AB59/'12ME Jun18 Norm Therms'!AB$62</f>
        <v>0.1386269873621041</v>
      </c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</row>
    <row r="60" spans="1:42" x14ac:dyDescent="0.2">
      <c r="A60" s="137" t="s">
        <v>101</v>
      </c>
      <c r="B60" s="229">
        <f>'12ME Jun18 Norm Therms'!P60/'12ME Jun18 Norm Therms'!P$62</f>
        <v>0.24892895537244336</v>
      </c>
      <c r="C60" s="229">
        <f>'12ME Jun18 Norm Therms'!Q60/'12ME Jun18 Norm Therms'!Q$62</f>
        <v>0.25183990456677918</v>
      </c>
      <c r="D60" s="229">
        <f>'12ME Jun18 Norm Therms'!R60/'12ME Jun18 Norm Therms'!R$62</f>
        <v>0.23122206584545454</v>
      </c>
      <c r="E60" s="229">
        <f>'12ME Jun18 Norm Therms'!S60/'12ME Jun18 Norm Therms'!S$62</f>
        <v>0.15330660132598958</v>
      </c>
      <c r="F60" s="229">
        <f>'12ME Jun18 Norm Therms'!T60/'12ME Jun18 Norm Therms'!T$62</f>
        <v>0.1410999421896286</v>
      </c>
      <c r="G60" s="229">
        <f>'12ME Jun18 Norm Therms'!U60/'12ME Jun18 Norm Therms'!U$62</f>
        <v>0.1277765008948526</v>
      </c>
      <c r="H60" s="229">
        <f>'12ME Jun18 Norm Therms'!V60/'12ME Jun18 Norm Therms'!V$62</f>
        <v>0.13033971405069772</v>
      </c>
      <c r="I60" s="229">
        <f>'12ME Jun18 Norm Therms'!W60/'12ME Jun18 Norm Therms'!W$62</f>
        <v>0.12675681603675915</v>
      </c>
      <c r="J60" s="229">
        <f>'12ME Jun18 Norm Therms'!X60/'12ME Jun18 Norm Therms'!X$62</f>
        <v>0.12768504365208289</v>
      </c>
      <c r="K60" s="229">
        <f>'12ME Jun18 Norm Therms'!Y60/'12ME Jun18 Norm Therms'!Y$62</f>
        <v>0.14962915575433638</v>
      </c>
      <c r="L60" s="229">
        <f>'12ME Jun18 Norm Therms'!Z60/'12ME Jun18 Norm Therms'!Z$62</f>
        <v>0.20192363194124449</v>
      </c>
      <c r="M60" s="229">
        <f>'12ME Jun18 Norm Therms'!AA60/'12ME Jun18 Norm Therms'!AA$62</f>
        <v>0.20970939175017722</v>
      </c>
      <c r="N60" s="229">
        <f>'12ME Jun18 Norm Therms'!AB60/'12ME Jun18 Norm Therms'!AB$62</f>
        <v>0.16154202423030037</v>
      </c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</row>
    <row r="61" spans="1:42" x14ac:dyDescent="0.2">
      <c r="A61" s="137" t="s">
        <v>174</v>
      </c>
      <c r="B61" s="229">
        <f>'12ME Jun18 Norm Therms'!P61/'12ME Jun18 Norm Therms'!P$62</f>
        <v>0.30711131095717709</v>
      </c>
      <c r="C61" s="229">
        <f>'12ME Jun18 Norm Therms'!Q61/'12ME Jun18 Norm Therms'!Q$62</f>
        <v>0.31252308007792068</v>
      </c>
      <c r="D61" s="229">
        <f>'12ME Jun18 Norm Therms'!R61/'12ME Jun18 Norm Therms'!R$62</f>
        <v>0.3553252455323031</v>
      </c>
      <c r="E61" s="229">
        <f>'12ME Jun18 Norm Therms'!S61/'12ME Jun18 Norm Therms'!S$62</f>
        <v>0.47649368866336062</v>
      </c>
      <c r="F61" s="229">
        <f>'12ME Jun18 Norm Therms'!T61/'12ME Jun18 Norm Therms'!T$62</f>
        <v>0.49767059851538598</v>
      </c>
      <c r="G61" s="229">
        <f>'12ME Jun18 Norm Therms'!U61/'12ME Jun18 Norm Therms'!U$62</f>
        <v>0.54028067295126658</v>
      </c>
      <c r="H61" s="229">
        <f>'12ME Jun18 Norm Therms'!V61/'12ME Jun18 Norm Therms'!V$62</f>
        <v>0.52162453654835073</v>
      </c>
      <c r="I61" s="229">
        <f>'12ME Jun18 Norm Therms'!W61/'12ME Jun18 Norm Therms'!W$62</f>
        <v>0.49608142569385472</v>
      </c>
      <c r="J61" s="229">
        <f>'12ME Jun18 Norm Therms'!X61/'12ME Jun18 Norm Therms'!X$62</f>
        <v>0.48437326888400489</v>
      </c>
      <c r="K61" s="229">
        <f>'12ME Jun18 Norm Therms'!Y61/'12ME Jun18 Norm Therms'!Y$62</f>
        <v>0.45757386400545852</v>
      </c>
      <c r="L61" s="229">
        <f>'12ME Jun18 Norm Therms'!Z61/'12ME Jun18 Norm Therms'!Z$62</f>
        <v>0.3806288933324562</v>
      </c>
      <c r="M61" s="229">
        <f>'12ME Jun18 Norm Therms'!AA61/'12ME Jun18 Norm Therms'!AA$62</f>
        <v>0.42307819840576893</v>
      </c>
      <c r="N61" s="229">
        <f>'12ME Jun18 Norm Therms'!AB61/'12ME Jun18 Norm Therms'!AB$62</f>
        <v>0.45923764499853265</v>
      </c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</row>
    <row r="62" spans="1:42" ht="15" x14ac:dyDescent="0.25">
      <c r="A62" s="137" t="s">
        <v>6</v>
      </c>
      <c r="B62" s="138">
        <f>SUM(B56:B61)</f>
        <v>1</v>
      </c>
      <c r="C62" s="138">
        <f t="shared" ref="C62:N62" si="8">SUM(C56:C61)</f>
        <v>1</v>
      </c>
      <c r="D62" s="138">
        <f t="shared" si="8"/>
        <v>1</v>
      </c>
      <c r="E62" s="138">
        <f t="shared" si="8"/>
        <v>1</v>
      </c>
      <c r="F62" s="138">
        <f t="shared" si="8"/>
        <v>1</v>
      </c>
      <c r="G62" s="138">
        <f t="shared" si="8"/>
        <v>1</v>
      </c>
      <c r="H62" s="138">
        <f t="shared" si="8"/>
        <v>1</v>
      </c>
      <c r="I62" s="138">
        <f t="shared" si="8"/>
        <v>0.99999999999999989</v>
      </c>
      <c r="J62" s="138">
        <f t="shared" si="8"/>
        <v>1</v>
      </c>
      <c r="K62" s="138">
        <f t="shared" si="8"/>
        <v>1</v>
      </c>
      <c r="L62" s="138">
        <f t="shared" si="8"/>
        <v>1</v>
      </c>
      <c r="M62" s="138">
        <f t="shared" si="8"/>
        <v>1</v>
      </c>
      <c r="N62" s="138">
        <f t="shared" si="8"/>
        <v>1</v>
      </c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</row>
    <row r="63" spans="1:42" x14ac:dyDescent="0.2">
      <c r="A63" s="137" t="s">
        <v>49</v>
      </c>
      <c r="B63" s="143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</row>
    <row r="64" spans="1:42" x14ac:dyDescent="0.2">
      <c r="B64" s="143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</row>
    <row r="65" spans="2:13" x14ac:dyDescent="0.2">
      <c r="B65" s="143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</row>
    <row r="66" spans="2:13" x14ac:dyDescent="0.2"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</row>
  </sheetData>
  <printOptions horizontalCentered="1"/>
  <pageMargins left="0.5" right="0.5" top="1" bottom="1" header="0.5" footer="0.5"/>
  <pageSetup scale="74" fitToHeight="2" orientation="landscape" horizontalDpi="300" verticalDpi="300" r:id="rId1"/>
  <headerFooter alignWithMargins="0">
    <oddHeader xml:space="preserve">&amp;C
</oddHeader>
    <oddFooter>&amp;L&amp;F 
&amp;A&amp;C&amp;P&amp;R&amp;D</oddFooter>
  </headerFooter>
  <rowBreaks count="1" manualBreakCount="1">
    <brk id="48" max="1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0"/>
  <sheetViews>
    <sheetView zoomScaleNormal="100" workbookViewId="0">
      <selection activeCell="B106" sqref="B106"/>
    </sheetView>
  </sheetViews>
  <sheetFormatPr defaultColWidth="9.140625" defaultRowHeight="12.75" x14ac:dyDescent="0.2"/>
  <cols>
    <col min="1" max="1" width="32.7109375" style="218" bestFit="1" customWidth="1"/>
    <col min="2" max="2" width="11.85546875" style="218" bestFit="1" customWidth="1"/>
    <col min="3" max="6" width="10.5703125" style="218" bestFit="1" customWidth="1"/>
    <col min="7" max="7" width="11.42578125" style="218" bestFit="1" customWidth="1"/>
    <col min="8" max="9" width="10.5703125" style="218" bestFit="1" customWidth="1"/>
    <col min="10" max="10" width="11.42578125" style="218" bestFit="1" customWidth="1"/>
    <col min="11" max="13" width="10.5703125" style="218" bestFit="1" customWidth="1"/>
    <col min="14" max="14" width="9.140625" style="218"/>
    <col min="15" max="15" width="34.140625" style="218" bestFit="1" customWidth="1"/>
    <col min="16" max="27" width="10.42578125" style="218" bestFit="1" customWidth="1"/>
    <col min="28" max="28" width="11.42578125" style="218" bestFit="1" customWidth="1"/>
    <col min="29" max="16384" width="9.140625" style="218"/>
  </cols>
  <sheetData>
    <row r="1" spans="1:28" x14ac:dyDescent="0.2">
      <c r="A1" s="218" t="s">
        <v>185</v>
      </c>
      <c r="O1" s="218" t="s">
        <v>185</v>
      </c>
    </row>
    <row r="3" spans="1:28" x14ac:dyDescent="0.2">
      <c r="A3" s="216" t="s">
        <v>162</v>
      </c>
      <c r="B3" s="240">
        <f>'12ME Jun18 Cal Bill Freq'!B3</f>
        <v>42917</v>
      </c>
      <c r="C3" s="240">
        <f>'12ME Jun18 Cal Bill Freq'!C3</f>
        <v>42948</v>
      </c>
      <c r="D3" s="240">
        <f>'12ME Jun18 Cal Bill Freq'!D3</f>
        <v>42979</v>
      </c>
      <c r="E3" s="240">
        <f>'12ME Jun18 Cal Bill Freq'!E3</f>
        <v>43009</v>
      </c>
      <c r="F3" s="240">
        <f>'12ME Jun18 Cal Bill Freq'!F3</f>
        <v>43040</v>
      </c>
      <c r="G3" s="240">
        <f>'12ME Jun18 Cal Bill Freq'!G3</f>
        <v>43070</v>
      </c>
      <c r="H3" s="240">
        <f>'12ME Jun18 Cal Bill Freq'!H3</f>
        <v>43101</v>
      </c>
      <c r="I3" s="240">
        <f>'12ME Jun18 Cal Bill Freq'!I3</f>
        <v>43132</v>
      </c>
      <c r="J3" s="240">
        <f>'12ME Jun18 Cal Bill Freq'!J3</f>
        <v>43160</v>
      </c>
      <c r="K3" s="240">
        <f>'12ME Jun18 Cal Bill Freq'!K3</f>
        <v>43191</v>
      </c>
      <c r="L3" s="240">
        <f>'12ME Jun18 Cal Bill Freq'!L3</f>
        <v>43221</v>
      </c>
      <c r="M3" s="240">
        <f>'12ME Jun18 Cal Bill Freq'!M3</f>
        <v>43252</v>
      </c>
      <c r="O3" s="216" t="s">
        <v>162</v>
      </c>
      <c r="P3" s="240">
        <f t="shared" ref="P3:AA3" si="0">B3</f>
        <v>42917</v>
      </c>
      <c r="Q3" s="240">
        <f t="shared" si="0"/>
        <v>42948</v>
      </c>
      <c r="R3" s="240">
        <f t="shared" si="0"/>
        <v>42979</v>
      </c>
      <c r="S3" s="240">
        <f t="shared" si="0"/>
        <v>43009</v>
      </c>
      <c r="T3" s="240">
        <f t="shared" si="0"/>
        <v>43040</v>
      </c>
      <c r="U3" s="240">
        <f t="shared" si="0"/>
        <v>43070</v>
      </c>
      <c r="V3" s="240">
        <f t="shared" si="0"/>
        <v>43101</v>
      </c>
      <c r="W3" s="240">
        <f t="shared" si="0"/>
        <v>43132</v>
      </c>
      <c r="X3" s="240">
        <f t="shared" si="0"/>
        <v>43160</v>
      </c>
      <c r="Y3" s="240">
        <f t="shared" si="0"/>
        <v>43191</v>
      </c>
      <c r="Z3" s="240">
        <f t="shared" si="0"/>
        <v>43221</v>
      </c>
      <c r="AA3" s="240">
        <f t="shared" si="0"/>
        <v>43252</v>
      </c>
      <c r="AB3" s="218" t="s">
        <v>190</v>
      </c>
    </row>
    <row r="4" spans="1:28" x14ac:dyDescent="0.2">
      <c r="A4" s="137"/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O4" s="137"/>
      <c r="AB4" s="207"/>
    </row>
    <row r="5" spans="1:28" x14ac:dyDescent="0.2">
      <c r="A5" s="137" t="s">
        <v>163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O5" s="137" t="s">
        <v>35</v>
      </c>
      <c r="AB5" s="207"/>
    </row>
    <row r="6" spans="1:28" x14ac:dyDescent="0.2">
      <c r="A6" s="137" t="s">
        <v>164</v>
      </c>
      <c r="B6" s="241">
        <f>'12ME Jun18 Cal Bill Freq'!B19</f>
        <v>61737.599999999999</v>
      </c>
      <c r="C6" s="241">
        <f>'12ME Jun18 Cal Bill Freq'!C19</f>
        <v>62165.19</v>
      </c>
      <c r="D6" s="241">
        <f>'12ME Jun18 Cal Bill Freq'!D19</f>
        <v>63433.68</v>
      </c>
      <c r="E6" s="241">
        <f>'12ME Jun18 Cal Bill Freq'!E19</f>
        <v>66525.899999999994</v>
      </c>
      <c r="F6" s="241">
        <f>'12ME Jun18 Cal Bill Freq'!F19</f>
        <v>67500</v>
      </c>
      <c r="G6" s="241">
        <f>'12ME Jun18 Cal Bill Freq'!G19</f>
        <v>67334.38</v>
      </c>
      <c r="H6" s="241">
        <f>'12ME Jun18 Cal Bill Freq'!H19</f>
        <v>69360</v>
      </c>
      <c r="I6" s="241">
        <f>'12ME Jun18 Cal Bill Freq'!I19</f>
        <v>70980</v>
      </c>
      <c r="J6" s="241">
        <f>'12ME Jun18 Cal Bill Freq'!J19</f>
        <v>71100</v>
      </c>
      <c r="K6" s="241">
        <f>'12ME Jun18 Cal Bill Freq'!K19</f>
        <v>72000</v>
      </c>
      <c r="L6" s="241">
        <f>'12ME Jun18 Cal Bill Freq'!L19</f>
        <v>70241.990000000005</v>
      </c>
      <c r="M6" s="241">
        <f>'12ME Jun18 Cal Bill Freq'!M19</f>
        <v>70979.11</v>
      </c>
      <c r="O6" s="137" t="s">
        <v>164</v>
      </c>
      <c r="P6" s="207">
        <f t="shared" ref="P6:AA9" si="1">B6+B13</f>
        <v>86037.6</v>
      </c>
      <c r="Q6" s="207">
        <f t="shared" si="1"/>
        <v>85565.19</v>
      </c>
      <c r="R6" s="207">
        <f t="shared" si="1"/>
        <v>86833.68</v>
      </c>
      <c r="S6" s="207">
        <f t="shared" si="1"/>
        <v>89682.709999999992</v>
      </c>
      <c r="T6" s="207">
        <f t="shared" si="1"/>
        <v>90900</v>
      </c>
      <c r="U6" s="207">
        <f t="shared" si="1"/>
        <v>90764.38</v>
      </c>
      <c r="V6" s="207">
        <f t="shared" si="1"/>
        <v>92790</v>
      </c>
      <c r="W6" s="207">
        <f t="shared" si="1"/>
        <v>94380</v>
      </c>
      <c r="X6" s="207">
        <f t="shared" si="1"/>
        <v>94500</v>
      </c>
      <c r="Y6" s="207">
        <f t="shared" si="1"/>
        <v>94500</v>
      </c>
      <c r="Z6" s="207">
        <f t="shared" si="1"/>
        <v>90041.99</v>
      </c>
      <c r="AA6" s="207">
        <f t="shared" si="1"/>
        <v>90779.11</v>
      </c>
      <c r="AB6" s="207">
        <f t="shared" ref="AB6:AB60" si="2">SUM(P6:AA6)</f>
        <v>1086774.6600000001</v>
      </c>
    </row>
    <row r="7" spans="1:28" x14ac:dyDescent="0.2">
      <c r="A7" s="137" t="s">
        <v>165</v>
      </c>
      <c r="B7" s="241">
        <f>'12ME Jun18 Cal Bill Freq'!B20</f>
        <v>190222.91</v>
      </c>
      <c r="C7" s="241">
        <f>'12ME Jun18 Cal Bill Freq'!C20</f>
        <v>188862.49</v>
      </c>
      <c r="D7" s="241">
        <f>'12ME Jun18 Cal Bill Freq'!D20</f>
        <v>196876.2</v>
      </c>
      <c r="E7" s="241">
        <f>'12ME Jun18 Cal Bill Freq'!E20</f>
        <v>241816.23</v>
      </c>
      <c r="F7" s="241">
        <f>'12ME Jun18 Cal Bill Freq'!F20</f>
        <v>260935.1</v>
      </c>
      <c r="G7" s="241">
        <f>'12ME Jun18 Cal Bill Freq'!G20</f>
        <v>276147.83</v>
      </c>
      <c r="H7" s="241">
        <f>'12ME Jun18 Cal Bill Freq'!H20</f>
        <v>278423.61</v>
      </c>
      <c r="I7" s="241">
        <f>'12ME Jun18 Cal Bill Freq'!I20</f>
        <v>284808.07</v>
      </c>
      <c r="J7" s="241">
        <f>'12ME Jun18 Cal Bill Freq'!J20</f>
        <v>280728.15999999997</v>
      </c>
      <c r="K7" s="241">
        <f>'12ME Jun18 Cal Bill Freq'!K20</f>
        <v>264094.78999999998</v>
      </c>
      <c r="L7" s="241">
        <f>'12ME Jun18 Cal Bill Freq'!L20</f>
        <v>232893.8</v>
      </c>
      <c r="M7" s="241">
        <f>'12ME Jun18 Cal Bill Freq'!M20</f>
        <v>224854.84</v>
      </c>
      <c r="O7" s="137" t="s">
        <v>165</v>
      </c>
      <c r="P7" s="207">
        <f t="shared" si="1"/>
        <v>297482.96000000002</v>
      </c>
      <c r="Q7" s="207">
        <f t="shared" si="1"/>
        <v>293093.45</v>
      </c>
      <c r="R7" s="207">
        <f t="shared" si="1"/>
        <v>300742.15000000002</v>
      </c>
      <c r="S7" s="207">
        <f t="shared" si="1"/>
        <v>342821.32</v>
      </c>
      <c r="T7" s="207">
        <f t="shared" si="1"/>
        <v>364995.47</v>
      </c>
      <c r="U7" s="207">
        <f t="shared" si="1"/>
        <v>381144.83</v>
      </c>
      <c r="V7" s="207">
        <f t="shared" si="1"/>
        <v>384305.32</v>
      </c>
      <c r="W7" s="207">
        <f t="shared" si="1"/>
        <v>389247.94</v>
      </c>
      <c r="X7" s="207">
        <f t="shared" si="1"/>
        <v>384967.23</v>
      </c>
      <c r="Y7" s="207">
        <f t="shared" si="1"/>
        <v>364273.51999999996</v>
      </c>
      <c r="Z7" s="207">
        <f t="shared" si="1"/>
        <v>320501.23</v>
      </c>
      <c r="AA7" s="207">
        <f t="shared" si="1"/>
        <v>310334.64</v>
      </c>
      <c r="AB7" s="207">
        <f t="shared" si="2"/>
        <v>4133910.06</v>
      </c>
    </row>
    <row r="8" spans="1:28" x14ac:dyDescent="0.2">
      <c r="A8" s="137" t="s">
        <v>166</v>
      </c>
      <c r="B8" s="207">
        <f>B9-SUM(B6:B7)</f>
        <v>590317.98</v>
      </c>
      <c r="C8" s="207">
        <f t="shared" ref="C8:M8" si="3">C9-SUM(C6:C7)</f>
        <v>668176.92000000016</v>
      </c>
      <c r="D8" s="207">
        <f t="shared" si="3"/>
        <v>614308.48</v>
      </c>
      <c r="E8" s="207">
        <f t="shared" si="3"/>
        <v>730283.55</v>
      </c>
      <c r="F8" s="207">
        <f t="shared" si="3"/>
        <v>823024.13900000008</v>
      </c>
      <c r="G8" s="207">
        <f t="shared" si="3"/>
        <v>894317.43000000017</v>
      </c>
      <c r="H8" s="207">
        <f t="shared" si="3"/>
        <v>962148.78000000014</v>
      </c>
      <c r="I8" s="207">
        <f t="shared" si="3"/>
        <v>831897.94</v>
      </c>
      <c r="J8" s="207">
        <f t="shared" si="3"/>
        <v>898639.7</v>
      </c>
      <c r="K8" s="207">
        <f t="shared" si="3"/>
        <v>797746.1399999999</v>
      </c>
      <c r="L8" s="207">
        <f t="shared" si="3"/>
        <v>720290.42999999993</v>
      </c>
      <c r="M8" s="207">
        <f t="shared" si="3"/>
        <v>517322.58</v>
      </c>
      <c r="O8" s="137" t="s">
        <v>166</v>
      </c>
      <c r="P8" s="207">
        <f t="shared" si="1"/>
        <v>1025675.5700000001</v>
      </c>
      <c r="Q8" s="207">
        <f t="shared" si="1"/>
        <v>1077324.1400000001</v>
      </c>
      <c r="R8" s="207">
        <f t="shared" si="1"/>
        <v>988563.73</v>
      </c>
      <c r="S8" s="207">
        <f t="shared" si="1"/>
        <v>1154896.0899999999</v>
      </c>
      <c r="T8" s="207">
        <f t="shared" si="1"/>
        <v>1226429.2390000001</v>
      </c>
      <c r="U8" s="207">
        <f t="shared" si="1"/>
        <v>1268246.7600000002</v>
      </c>
      <c r="V8" s="207">
        <f t="shared" si="1"/>
        <v>1419878.78</v>
      </c>
      <c r="W8" s="207">
        <f t="shared" si="1"/>
        <v>1264121.23</v>
      </c>
      <c r="X8" s="207">
        <f t="shared" si="1"/>
        <v>1424292.3099999998</v>
      </c>
      <c r="Y8" s="207">
        <f t="shared" si="1"/>
        <v>1237126.72</v>
      </c>
      <c r="Z8" s="207">
        <f t="shared" si="1"/>
        <v>1077994.51</v>
      </c>
      <c r="AA8" s="207">
        <f t="shared" si="1"/>
        <v>869015.72</v>
      </c>
      <c r="AB8" s="207">
        <f t="shared" si="2"/>
        <v>14033564.799000001</v>
      </c>
    </row>
    <row r="9" spans="1:28" s="207" customFormat="1" ht="15" x14ac:dyDescent="0.25">
      <c r="A9" s="137" t="s">
        <v>6</v>
      </c>
      <c r="B9" s="242">
        <f>'12ME Jun18 Weather Adj'!D173</f>
        <v>842278.49</v>
      </c>
      <c r="C9" s="242">
        <f>'12ME Jun18 Weather Adj'!E173</f>
        <v>919204.60000000009</v>
      </c>
      <c r="D9" s="242">
        <f>'12ME Jun18 Weather Adj'!F173</f>
        <v>874618.36</v>
      </c>
      <c r="E9" s="242">
        <f>'12ME Jun18 Weather Adj'!G173</f>
        <v>1038625.68</v>
      </c>
      <c r="F9" s="242">
        <f>'12ME Jun18 Weather Adj'!H173</f>
        <v>1151459.2390000001</v>
      </c>
      <c r="G9" s="242">
        <f>'12ME Jun18 Weather Adj'!I173</f>
        <v>1237799.6400000001</v>
      </c>
      <c r="H9" s="242">
        <f>'12ME Jun18 Weather Adj'!J173</f>
        <v>1309932.3900000001</v>
      </c>
      <c r="I9" s="242">
        <f>'12ME Jun18 Weather Adj'!K173</f>
        <v>1187686.01</v>
      </c>
      <c r="J9" s="242">
        <f>'12ME Jun18 Weather Adj'!L173</f>
        <v>1250467.8599999999</v>
      </c>
      <c r="K9" s="242">
        <f>'12ME Jun18 Weather Adj'!M173</f>
        <v>1133840.93</v>
      </c>
      <c r="L9" s="242">
        <f>'12ME Jun18 Weather Adj'!N173</f>
        <v>1023426.22</v>
      </c>
      <c r="M9" s="242">
        <f>'12ME Jun18 Weather Adj'!O173</f>
        <v>813156.53</v>
      </c>
      <c r="O9" s="137" t="s">
        <v>6</v>
      </c>
      <c r="P9" s="207">
        <f t="shared" si="1"/>
        <v>1409196.13</v>
      </c>
      <c r="Q9" s="207">
        <f t="shared" si="1"/>
        <v>1455982.78</v>
      </c>
      <c r="R9" s="207">
        <f t="shared" si="1"/>
        <v>1376139.56</v>
      </c>
      <c r="S9" s="207">
        <f t="shared" si="1"/>
        <v>1587400.12</v>
      </c>
      <c r="T9" s="207">
        <f t="shared" si="1"/>
        <v>1682324.709</v>
      </c>
      <c r="U9" s="207">
        <f t="shared" si="1"/>
        <v>1740155.9700000002</v>
      </c>
      <c r="V9" s="207">
        <f t="shared" si="1"/>
        <v>1896974.1</v>
      </c>
      <c r="W9" s="207">
        <f t="shared" si="1"/>
        <v>1747749.17</v>
      </c>
      <c r="X9" s="207">
        <f t="shared" si="1"/>
        <v>1903759.5399999998</v>
      </c>
      <c r="Y9" s="207">
        <f t="shared" si="1"/>
        <v>1695900.24</v>
      </c>
      <c r="Z9" s="207">
        <f t="shared" si="1"/>
        <v>1488537.73</v>
      </c>
      <c r="AA9" s="207">
        <f t="shared" si="1"/>
        <v>1270129.47</v>
      </c>
      <c r="AB9" s="207">
        <f t="shared" si="2"/>
        <v>19254249.518999998</v>
      </c>
    </row>
    <row r="10" spans="1:28" ht="15" x14ac:dyDescent="0.25">
      <c r="A10" s="207"/>
      <c r="B10" s="208"/>
      <c r="C10" s="208"/>
      <c r="D10" s="208"/>
      <c r="E10" s="208"/>
      <c r="F10" s="208"/>
      <c r="G10" s="208"/>
      <c r="H10" s="208"/>
      <c r="I10" s="208"/>
      <c r="J10" s="208"/>
      <c r="K10" s="208"/>
      <c r="L10" s="208"/>
      <c r="M10" s="208"/>
      <c r="O10" s="207" t="s">
        <v>49</v>
      </c>
      <c r="AB10" s="207"/>
    </row>
    <row r="11" spans="1:28" ht="15" x14ac:dyDescent="0.25">
      <c r="A11" s="137"/>
      <c r="B11" s="208"/>
      <c r="C11" s="208"/>
      <c r="D11" s="208"/>
      <c r="E11" s="208"/>
      <c r="F11" s="208"/>
      <c r="G11" s="208"/>
      <c r="H11" s="208"/>
      <c r="I11" s="208"/>
      <c r="J11" s="208"/>
      <c r="K11" s="208"/>
      <c r="L11" s="208"/>
      <c r="M11" s="208"/>
      <c r="O11" s="137"/>
      <c r="AB11" s="207"/>
    </row>
    <row r="12" spans="1:28" ht="15" x14ac:dyDescent="0.25">
      <c r="A12" s="137" t="s">
        <v>167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8"/>
      <c r="O12" s="137" t="s">
        <v>37</v>
      </c>
      <c r="AB12" s="207"/>
    </row>
    <row r="13" spans="1:28" x14ac:dyDescent="0.2">
      <c r="A13" s="137" t="s">
        <v>164</v>
      </c>
      <c r="B13" s="241">
        <f>'12ME Jun18 Cal Bill Freq'!B26</f>
        <v>24300</v>
      </c>
      <c r="C13" s="241">
        <f>'12ME Jun18 Cal Bill Freq'!C26</f>
        <v>23400</v>
      </c>
      <c r="D13" s="241">
        <f>'12ME Jun18 Cal Bill Freq'!D26</f>
        <v>23400</v>
      </c>
      <c r="E13" s="241">
        <f>'12ME Jun18 Cal Bill Freq'!E26</f>
        <v>23156.81</v>
      </c>
      <c r="F13" s="241">
        <f>'12ME Jun18 Cal Bill Freq'!F26</f>
        <v>23400</v>
      </c>
      <c r="G13" s="241">
        <f>'12ME Jun18 Cal Bill Freq'!G26</f>
        <v>23430</v>
      </c>
      <c r="H13" s="241">
        <f>'12ME Jun18 Cal Bill Freq'!H26</f>
        <v>23430</v>
      </c>
      <c r="I13" s="241">
        <f>'12ME Jun18 Cal Bill Freq'!I26</f>
        <v>23400</v>
      </c>
      <c r="J13" s="241">
        <f>'12ME Jun18 Cal Bill Freq'!J26</f>
        <v>23400</v>
      </c>
      <c r="K13" s="241">
        <f>'12ME Jun18 Cal Bill Freq'!K26</f>
        <v>22500</v>
      </c>
      <c r="L13" s="241">
        <f>'12ME Jun18 Cal Bill Freq'!L26</f>
        <v>19800</v>
      </c>
      <c r="M13" s="241">
        <f>'12ME Jun18 Cal Bill Freq'!M26</f>
        <v>19800</v>
      </c>
      <c r="O13" s="137" t="s">
        <v>88</v>
      </c>
      <c r="P13" s="207">
        <f t="shared" ref="P13:AA16" si="4">B20+B27</f>
        <v>2328417.6</v>
      </c>
      <c r="Q13" s="207">
        <f t="shared" si="4"/>
        <v>2322185.65</v>
      </c>
      <c r="R13" s="207">
        <f t="shared" si="4"/>
        <v>2367419.2400000002</v>
      </c>
      <c r="S13" s="207">
        <f t="shared" si="4"/>
        <v>2425541.4</v>
      </c>
      <c r="T13" s="207">
        <f t="shared" si="4"/>
        <v>2371790.25</v>
      </c>
      <c r="U13" s="207">
        <f t="shared" si="4"/>
        <v>2311510.6</v>
      </c>
      <c r="V13" s="207">
        <f t="shared" si="4"/>
        <v>2257763.54</v>
      </c>
      <c r="W13" s="207">
        <f t="shared" si="4"/>
        <v>2273689.6000000001</v>
      </c>
      <c r="X13" s="207">
        <f t="shared" si="4"/>
        <v>2390713.04</v>
      </c>
      <c r="Y13" s="207">
        <f t="shared" si="4"/>
        <v>2373528.6799999997</v>
      </c>
      <c r="Z13" s="207">
        <f t="shared" si="4"/>
        <v>2379584.1800000002</v>
      </c>
      <c r="AA13" s="207">
        <f t="shared" si="4"/>
        <v>2390162.7599999998</v>
      </c>
      <c r="AB13" s="207">
        <f t="shared" si="2"/>
        <v>28192306.539999999</v>
      </c>
    </row>
    <row r="14" spans="1:28" x14ac:dyDescent="0.2">
      <c r="A14" s="137" t="s">
        <v>165</v>
      </c>
      <c r="B14" s="241">
        <f>'12ME Jun18 Cal Bill Freq'!B27</f>
        <v>107260.05</v>
      </c>
      <c r="C14" s="241">
        <f>'12ME Jun18 Cal Bill Freq'!C27</f>
        <v>104230.96</v>
      </c>
      <c r="D14" s="241">
        <f>'12ME Jun18 Cal Bill Freq'!D27</f>
        <v>103865.95</v>
      </c>
      <c r="E14" s="241">
        <f>'12ME Jun18 Cal Bill Freq'!E27</f>
        <v>101005.09</v>
      </c>
      <c r="F14" s="241">
        <f>'12ME Jun18 Cal Bill Freq'!F27</f>
        <v>104060.37</v>
      </c>
      <c r="G14" s="241">
        <f>'12ME Jun18 Cal Bill Freq'!G27</f>
        <v>104997</v>
      </c>
      <c r="H14" s="241">
        <f>'12ME Jun18 Cal Bill Freq'!H27</f>
        <v>105881.71</v>
      </c>
      <c r="I14" s="241">
        <f>'12ME Jun18 Cal Bill Freq'!I27</f>
        <v>104439.87</v>
      </c>
      <c r="J14" s="241">
        <f>'12ME Jun18 Cal Bill Freq'!J27</f>
        <v>104239.07</v>
      </c>
      <c r="K14" s="241">
        <f>'12ME Jun18 Cal Bill Freq'!K27</f>
        <v>100178.73</v>
      </c>
      <c r="L14" s="241">
        <f>'12ME Jun18 Cal Bill Freq'!L27</f>
        <v>87607.43</v>
      </c>
      <c r="M14" s="241">
        <f>'12ME Jun18 Cal Bill Freq'!M27</f>
        <v>85479.8</v>
      </c>
      <c r="O14" s="137" t="s">
        <v>89</v>
      </c>
      <c r="P14" s="207">
        <f t="shared" si="4"/>
        <v>1548589.53</v>
      </c>
      <c r="Q14" s="207">
        <f t="shared" si="4"/>
        <v>1590971.9500000002</v>
      </c>
      <c r="R14" s="207">
        <f t="shared" si="4"/>
        <v>1502046.5</v>
      </c>
      <c r="S14" s="207">
        <f t="shared" si="4"/>
        <v>1717137.41</v>
      </c>
      <c r="T14" s="207">
        <f t="shared" si="4"/>
        <v>1580826.13</v>
      </c>
      <c r="U14" s="207">
        <f t="shared" si="4"/>
        <v>1603065.85</v>
      </c>
      <c r="V14" s="207">
        <f t="shared" si="4"/>
        <v>1581926.17</v>
      </c>
      <c r="W14" s="207">
        <f t="shared" si="4"/>
        <v>1469267.01</v>
      </c>
      <c r="X14" s="207">
        <f t="shared" si="4"/>
        <v>1651151.94</v>
      </c>
      <c r="Y14" s="207">
        <f t="shared" si="4"/>
        <v>1564145.3699999999</v>
      </c>
      <c r="Z14" s="207">
        <f t="shared" si="4"/>
        <v>1648965.45</v>
      </c>
      <c r="AA14" s="207">
        <f t="shared" si="4"/>
        <v>1566657.23</v>
      </c>
      <c r="AB14" s="207">
        <f t="shared" si="2"/>
        <v>19024750.539999999</v>
      </c>
    </row>
    <row r="15" spans="1:28" x14ac:dyDescent="0.2">
      <c r="A15" s="137" t="s">
        <v>166</v>
      </c>
      <c r="B15" s="207">
        <f>B16-SUM(B13:B14)</f>
        <v>435357.59</v>
      </c>
      <c r="C15" s="207">
        <f t="shared" ref="C15:M15" si="5">C16-SUM(C13:C14)</f>
        <v>409147.21999999991</v>
      </c>
      <c r="D15" s="207">
        <f t="shared" si="5"/>
        <v>374255.25</v>
      </c>
      <c r="E15" s="207">
        <f t="shared" si="5"/>
        <v>424612.53999999992</v>
      </c>
      <c r="F15" s="207">
        <f t="shared" si="5"/>
        <v>403405.1</v>
      </c>
      <c r="G15" s="207">
        <f t="shared" si="5"/>
        <v>373929.32999999996</v>
      </c>
      <c r="H15" s="207">
        <f t="shared" si="5"/>
        <v>457729.99999999994</v>
      </c>
      <c r="I15" s="207">
        <f t="shared" si="5"/>
        <v>432223.28999999992</v>
      </c>
      <c r="J15" s="207">
        <f t="shared" si="5"/>
        <v>525652.60999999987</v>
      </c>
      <c r="K15" s="207">
        <f t="shared" si="5"/>
        <v>439380.58000000007</v>
      </c>
      <c r="L15" s="207">
        <f t="shared" si="5"/>
        <v>357704.08</v>
      </c>
      <c r="M15" s="207">
        <f t="shared" si="5"/>
        <v>351693.14</v>
      </c>
      <c r="O15" s="137" t="s">
        <v>169</v>
      </c>
      <c r="P15" s="207">
        <f t="shared" si="4"/>
        <v>1974756.5600000003</v>
      </c>
      <c r="Q15" s="207">
        <f t="shared" si="4"/>
        <v>2454692.9699999997</v>
      </c>
      <c r="R15" s="207">
        <f t="shared" si="4"/>
        <v>2325306.0700000003</v>
      </c>
      <c r="S15" s="207">
        <f t="shared" si="4"/>
        <v>2805782.4099999997</v>
      </c>
      <c r="T15" s="207">
        <f t="shared" si="4"/>
        <v>2504609.5600000005</v>
      </c>
      <c r="U15" s="207">
        <f t="shared" si="4"/>
        <v>2833956.17</v>
      </c>
      <c r="V15" s="207">
        <f t="shared" si="4"/>
        <v>2837928.33</v>
      </c>
      <c r="W15" s="207">
        <f t="shared" si="4"/>
        <v>2338605</v>
      </c>
      <c r="X15" s="207">
        <f t="shared" si="4"/>
        <v>2935429.37</v>
      </c>
      <c r="Y15" s="207">
        <f t="shared" si="4"/>
        <v>2235208.8700000006</v>
      </c>
      <c r="Z15" s="207">
        <f t="shared" si="4"/>
        <v>2091580.86</v>
      </c>
      <c r="AA15" s="207">
        <f t="shared" si="4"/>
        <v>2027673.8699999996</v>
      </c>
      <c r="AB15" s="207">
        <f t="shared" si="2"/>
        <v>29365530.040000003</v>
      </c>
    </row>
    <row r="16" spans="1:28" s="207" customFormat="1" ht="15" x14ac:dyDescent="0.25">
      <c r="A16" s="137" t="s">
        <v>6</v>
      </c>
      <c r="B16" s="242">
        <f>'12ME Jun18 Weather Adj'!D191</f>
        <v>566917.64</v>
      </c>
      <c r="C16" s="242">
        <f>'12ME Jun18 Weather Adj'!E191</f>
        <v>536778.17999999993</v>
      </c>
      <c r="D16" s="242">
        <f>'12ME Jun18 Weather Adj'!F191</f>
        <v>501521.2</v>
      </c>
      <c r="E16" s="242">
        <f>'12ME Jun18 Weather Adj'!G191</f>
        <v>548774.43999999994</v>
      </c>
      <c r="F16" s="242">
        <f>'12ME Jun18 Weather Adj'!H191</f>
        <v>530865.47</v>
      </c>
      <c r="G16" s="242">
        <f>'12ME Jun18 Weather Adj'!I191</f>
        <v>502356.32999999996</v>
      </c>
      <c r="H16" s="242">
        <f>'12ME Jun18 Weather Adj'!J191</f>
        <v>587041.71</v>
      </c>
      <c r="I16" s="242">
        <f>'12ME Jun18 Weather Adj'!K191</f>
        <v>560063.15999999992</v>
      </c>
      <c r="J16" s="242">
        <f>'12ME Jun18 Weather Adj'!L191</f>
        <v>653291.67999999993</v>
      </c>
      <c r="K16" s="242">
        <f>'12ME Jun18 Weather Adj'!M191</f>
        <v>562059.31000000006</v>
      </c>
      <c r="L16" s="242">
        <f>'12ME Jun18 Weather Adj'!N191</f>
        <v>465111.51</v>
      </c>
      <c r="M16" s="242">
        <f>'12ME Jun18 Weather Adj'!O191</f>
        <v>456972.94</v>
      </c>
      <c r="O16" s="137" t="s">
        <v>6</v>
      </c>
      <c r="P16" s="207">
        <f t="shared" si="4"/>
        <v>5851763.6900000004</v>
      </c>
      <c r="Q16" s="207">
        <f t="shared" si="4"/>
        <v>6367850.5700000003</v>
      </c>
      <c r="R16" s="207">
        <f t="shared" si="4"/>
        <v>6194771.8100000005</v>
      </c>
      <c r="S16" s="207">
        <f t="shared" si="4"/>
        <v>6948461.2199999997</v>
      </c>
      <c r="T16" s="207">
        <f t="shared" si="4"/>
        <v>6457225.9400000004</v>
      </c>
      <c r="U16" s="207">
        <f t="shared" si="4"/>
        <v>6748532.6200000001</v>
      </c>
      <c r="V16" s="207">
        <f t="shared" si="4"/>
        <v>6677618.04</v>
      </c>
      <c r="W16" s="207">
        <f t="shared" si="4"/>
        <v>6081561.6100000003</v>
      </c>
      <c r="X16" s="207">
        <f t="shared" si="4"/>
        <v>6977294.3499999996</v>
      </c>
      <c r="Y16" s="207">
        <f t="shared" si="4"/>
        <v>6172882.9199999999</v>
      </c>
      <c r="Z16" s="207">
        <f t="shared" si="4"/>
        <v>6120130.4900000002</v>
      </c>
      <c r="AA16" s="207">
        <f t="shared" si="4"/>
        <v>5984493.8599999994</v>
      </c>
      <c r="AB16" s="207">
        <f t="shared" si="2"/>
        <v>76582587.120000005</v>
      </c>
    </row>
    <row r="17" spans="1:28" ht="15" x14ac:dyDescent="0.25">
      <c r="A17" s="137"/>
      <c r="B17" s="208"/>
      <c r="C17" s="208"/>
      <c r="D17" s="208"/>
      <c r="E17" s="208"/>
      <c r="F17" s="208"/>
      <c r="G17" s="208"/>
      <c r="H17" s="208"/>
      <c r="I17" s="208"/>
      <c r="J17" s="208"/>
      <c r="K17" s="208"/>
      <c r="L17" s="208"/>
      <c r="M17" s="208"/>
      <c r="O17" s="137" t="s">
        <v>49</v>
      </c>
      <c r="AB17" s="207"/>
    </row>
    <row r="18" spans="1:28" ht="15" x14ac:dyDescent="0.25">
      <c r="A18" s="137"/>
      <c r="B18" s="208"/>
      <c r="C18" s="208"/>
      <c r="D18" s="208"/>
      <c r="E18" s="208"/>
      <c r="F18" s="208"/>
      <c r="G18" s="208"/>
      <c r="H18" s="208"/>
      <c r="I18" s="208"/>
      <c r="J18" s="208"/>
      <c r="K18" s="208"/>
      <c r="L18" s="208"/>
      <c r="M18" s="208"/>
      <c r="O18" s="137"/>
      <c r="AB18" s="207"/>
    </row>
    <row r="19" spans="1:28" ht="15" x14ac:dyDescent="0.25">
      <c r="A19" s="137" t="s">
        <v>168</v>
      </c>
      <c r="B19" s="208"/>
      <c r="C19" s="208"/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O19" s="207" t="s">
        <v>39</v>
      </c>
      <c r="AB19" s="207"/>
    </row>
    <row r="20" spans="1:28" x14ac:dyDescent="0.2">
      <c r="A20" s="137" t="s">
        <v>88</v>
      </c>
      <c r="B20" s="241">
        <f>'12ME Jun18 Cal Bill Freq'!B47</f>
        <v>766888.77</v>
      </c>
      <c r="C20" s="241">
        <f>'12ME Jun18 Cal Bill Freq'!C47</f>
        <v>765804.68</v>
      </c>
      <c r="D20" s="241">
        <f>'12ME Jun18 Cal Bill Freq'!D47</f>
        <v>768877.91</v>
      </c>
      <c r="E20" s="241">
        <f>'12ME Jun18 Cal Bill Freq'!E47</f>
        <v>786959.22</v>
      </c>
      <c r="F20" s="241">
        <f>'12ME Jun18 Cal Bill Freq'!F47</f>
        <v>782983.73</v>
      </c>
      <c r="G20" s="241">
        <f>'12ME Jun18 Cal Bill Freq'!G47</f>
        <v>806226.5</v>
      </c>
      <c r="H20" s="241">
        <f>'12ME Jun18 Cal Bill Freq'!H47</f>
        <v>795648.58</v>
      </c>
      <c r="I20" s="241">
        <f>'12ME Jun18 Cal Bill Freq'!I47</f>
        <v>769515.8</v>
      </c>
      <c r="J20" s="241">
        <f>'12ME Jun18 Cal Bill Freq'!J47</f>
        <v>788760.82</v>
      </c>
      <c r="K20" s="241">
        <f>'12ME Jun18 Cal Bill Freq'!K47</f>
        <v>775878.28</v>
      </c>
      <c r="L20" s="241">
        <f>'12ME Jun18 Cal Bill Freq'!L47</f>
        <v>779542.12</v>
      </c>
      <c r="M20" s="241">
        <f>'12ME Jun18 Cal Bill Freq'!M47</f>
        <v>782090.09</v>
      </c>
      <c r="O20" s="137" t="s">
        <v>94</v>
      </c>
      <c r="P20" s="207">
        <f t="shared" ref="P20:AA22" si="6">B34</f>
        <v>2000</v>
      </c>
      <c r="Q20" s="207">
        <f t="shared" si="6"/>
        <v>2000</v>
      </c>
      <c r="R20" s="207">
        <f t="shared" si="6"/>
        <v>2000</v>
      </c>
      <c r="S20" s="207">
        <f t="shared" si="6"/>
        <v>2000</v>
      </c>
      <c r="T20" s="207">
        <f t="shared" si="6"/>
        <v>2000</v>
      </c>
      <c r="U20" s="207">
        <f t="shared" si="6"/>
        <v>2000</v>
      </c>
      <c r="V20" s="207">
        <f t="shared" si="6"/>
        <v>2000</v>
      </c>
      <c r="W20" s="207">
        <f t="shared" si="6"/>
        <v>2000</v>
      </c>
      <c r="X20" s="207">
        <f t="shared" si="6"/>
        <v>2000</v>
      </c>
      <c r="Y20" s="207">
        <f t="shared" si="6"/>
        <v>2000</v>
      </c>
      <c r="Z20" s="207">
        <f t="shared" si="6"/>
        <v>2000</v>
      </c>
      <c r="AA20" s="207">
        <f t="shared" si="6"/>
        <v>1930.91</v>
      </c>
      <c r="AB20" s="207">
        <f t="shared" si="2"/>
        <v>23930.91</v>
      </c>
    </row>
    <row r="21" spans="1:28" x14ac:dyDescent="0.2">
      <c r="A21" s="137" t="s">
        <v>89</v>
      </c>
      <c r="B21" s="241">
        <f>'12ME Jun18 Cal Bill Freq'!B48</f>
        <v>443250.74</v>
      </c>
      <c r="C21" s="241">
        <f>'12ME Jun18 Cal Bill Freq'!C48</f>
        <v>463829.1</v>
      </c>
      <c r="D21" s="241">
        <f>'12ME Jun18 Cal Bill Freq'!D48</f>
        <v>429032.8</v>
      </c>
      <c r="E21" s="241">
        <f>'12ME Jun18 Cal Bill Freq'!E48</f>
        <v>504504.02</v>
      </c>
      <c r="F21" s="241">
        <f>'12ME Jun18 Cal Bill Freq'!F48</f>
        <v>536322.56000000006</v>
      </c>
      <c r="G21" s="241">
        <f>'12ME Jun18 Cal Bill Freq'!G48</f>
        <v>534661.91</v>
      </c>
      <c r="H21" s="241">
        <f>'12ME Jun18 Cal Bill Freq'!H48</f>
        <v>542927.29</v>
      </c>
      <c r="I21" s="241">
        <f>'12ME Jun18 Cal Bill Freq'!I48</f>
        <v>521896.28</v>
      </c>
      <c r="J21" s="241">
        <f>'12ME Jun18 Cal Bill Freq'!J48</f>
        <v>553130.56999999995</v>
      </c>
      <c r="K21" s="241">
        <f>'12ME Jun18 Cal Bill Freq'!K48</f>
        <v>502540.24</v>
      </c>
      <c r="L21" s="241">
        <f>'12ME Jun18 Cal Bill Freq'!L48</f>
        <v>489533.2</v>
      </c>
      <c r="M21" s="241">
        <f>'12ME Jun18 Cal Bill Freq'!M48</f>
        <v>495352.57</v>
      </c>
      <c r="O21" s="137" t="s">
        <v>172</v>
      </c>
      <c r="P21" s="207">
        <f t="shared" si="6"/>
        <v>22835.61</v>
      </c>
      <c r="Q21" s="207">
        <f t="shared" si="6"/>
        <v>16950.099999999999</v>
      </c>
      <c r="R21" s="207">
        <f t="shared" si="6"/>
        <v>12249</v>
      </c>
      <c r="S21" s="207">
        <f t="shared" si="6"/>
        <v>29358.14</v>
      </c>
      <c r="T21" s="207">
        <f t="shared" si="6"/>
        <v>26587.62</v>
      </c>
      <c r="U21" s="207">
        <f t="shared" si="6"/>
        <v>27791.48</v>
      </c>
      <c r="V21" s="207">
        <f t="shared" si="6"/>
        <v>47343.94</v>
      </c>
      <c r="W21" s="207">
        <f t="shared" si="6"/>
        <v>50603.87</v>
      </c>
      <c r="X21" s="207">
        <f t="shared" si="6"/>
        <v>38825.67</v>
      </c>
      <c r="Y21" s="207">
        <f t="shared" si="6"/>
        <v>22785.5</v>
      </c>
      <c r="Z21" s="207">
        <f t="shared" si="6"/>
        <v>16363.18</v>
      </c>
      <c r="AA21" s="207">
        <f t="shared" si="6"/>
        <v>19011.68</v>
      </c>
      <c r="AB21" s="207">
        <f t="shared" si="2"/>
        <v>330705.78999999998</v>
      </c>
    </row>
    <row r="22" spans="1:28" x14ac:dyDescent="0.2">
      <c r="A22" s="137" t="s">
        <v>169</v>
      </c>
      <c r="B22" s="207">
        <f>B23-SUM(B20:B21)</f>
        <v>360795.61999999988</v>
      </c>
      <c r="C22" s="207">
        <f t="shared" ref="C22:M22" si="7">C23-SUM(C20:C21)</f>
        <v>422867</v>
      </c>
      <c r="D22" s="207">
        <f t="shared" si="7"/>
        <v>365541.03</v>
      </c>
      <c r="E22" s="207">
        <f t="shared" si="7"/>
        <v>530082.54</v>
      </c>
      <c r="F22" s="207">
        <f t="shared" si="7"/>
        <v>659720.83000000007</v>
      </c>
      <c r="G22" s="207">
        <f t="shared" si="7"/>
        <v>812383.87000000011</v>
      </c>
      <c r="H22" s="207">
        <f t="shared" si="7"/>
        <v>875409.04999999981</v>
      </c>
      <c r="I22" s="207">
        <f t="shared" si="7"/>
        <v>673378.37000000011</v>
      </c>
      <c r="J22" s="207">
        <f t="shared" si="7"/>
        <v>763922.19000000018</v>
      </c>
      <c r="K22" s="207">
        <f t="shared" si="7"/>
        <v>574527.58000000007</v>
      </c>
      <c r="L22" s="207">
        <f t="shared" si="7"/>
        <v>594287.80000000005</v>
      </c>
      <c r="M22" s="207">
        <f t="shared" si="7"/>
        <v>473268.68999999994</v>
      </c>
      <c r="O22" s="137" t="s">
        <v>6</v>
      </c>
      <c r="P22" s="207">
        <f t="shared" si="6"/>
        <v>24835.61</v>
      </c>
      <c r="Q22" s="207">
        <f t="shared" si="6"/>
        <v>18950.099999999999</v>
      </c>
      <c r="R22" s="207">
        <f t="shared" si="6"/>
        <v>14249</v>
      </c>
      <c r="S22" s="207">
        <f t="shared" si="6"/>
        <v>31358.14</v>
      </c>
      <c r="T22" s="207">
        <f t="shared" si="6"/>
        <v>28587.62</v>
      </c>
      <c r="U22" s="207">
        <f t="shared" si="6"/>
        <v>29791.48</v>
      </c>
      <c r="V22" s="207">
        <f t="shared" si="6"/>
        <v>49343.94</v>
      </c>
      <c r="W22" s="207">
        <f t="shared" si="6"/>
        <v>52603.87</v>
      </c>
      <c r="X22" s="207">
        <f t="shared" si="6"/>
        <v>40825.67</v>
      </c>
      <c r="Y22" s="207">
        <f t="shared" si="6"/>
        <v>24785.5</v>
      </c>
      <c r="Z22" s="207">
        <f t="shared" si="6"/>
        <v>18363.18</v>
      </c>
      <c r="AA22" s="207">
        <f t="shared" si="6"/>
        <v>20942.59</v>
      </c>
      <c r="AB22" s="207">
        <f t="shared" si="2"/>
        <v>354636.7</v>
      </c>
    </row>
    <row r="23" spans="1:28" s="207" customFormat="1" ht="15" x14ac:dyDescent="0.25">
      <c r="A23" s="137" t="s">
        <v>6</v>
      </c>
      <c r="B23" s="242">
        <f>'12ME Jun18 Weather Adj'!D174</f>
        <v>1570935.13</v>
      </c>
      <c r="C23" s="242">
        <f>'12ME Jun18 Weather Adj'!E174</f>
        <v>1652500.78</v>
      </c>
      <c r="D23" s="242">
        <f>'12ME Jun18 Weather Adj'!F174</f>
        <v>1563451.74</v>
      </c>
      <c r="E23" s="242">
        <f>'12ME Jun18 Weather Adj'!G174</f>
        <v>1821545.78</v>
      </c>
      <c r="F23" s="242">
        <f>'12ME Jun18 Weather Adj'!H174</f>
        <v>1979027.12</v>
      </c>
      <c r="G23" s="242">
        <f>'12ME Jun18 Weather Adj'!I174</f>
        <v>2153272.2800000003</v>
      </c>
      <c r="H23" s="242">
        <f>'12ME Jun18 Weather Adj'!J174</f>
        <v>2213984.92</v>
      </c>
      <c r="I23" s="242">
        <f>'12ME Jun18 Weather Adj'!K174</f>
        <v>1964790.4500000002</v>
      </c>
      <c r="J23" s="242">
        <f>'12ME Jun18 Weather Adj'!L174</f>
        <v>2105813.58</v>
      </c>
      <c r="K23" s="242">
        <f>'12ME Jun18 Weather Adj'!M174</f>
        <v>1852946.1</v>
      </c>
      <c r="L23" s="242">
        <f>'12ME Jun18 Weather Adj'!N174</f>
        <v>1863363.12</v>
      </c>
      <c r="M23" s="242">
        <f>'12ME Jun18 Weather Adj'!O174</f>
        <v>1750711.3499999999</v>
      </c>
      <c r="O23" s="137" t="s">
        <v>49</v>
      </c>
    </row>
    <row r="24" spans="1:28" ht="15" x14ac:dyDescent="0.25">
      <c r="A24" s="137"/>
      <c r="B24" s="208"/>
      <c r="C24" s="208"/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O24" s="137"/>
      <c r="AB24" s="207"/>
    </row>
    <row r="25" spans="1:28" ht="15" x14ac:dyDescent="0.25">
      <c r="A25" s="137"/>
      <c r="B25" s="208"/>
      <c r="C25" s="208"/>
      <c r="D25" s="208"/>
      <c r="E25" s="208"/>
      <c r="F25" s="208"/>
      <c r="G25" s="208"/>
      <c r="H25" s="208"/>
      <c r="I25" s="208"/>
      <c r="J25" s="208"/>
      <c r="K25" s="208"/>
      <c r="L25" s="208"/>
      <c r="M25" s="208"/>
      <c r="O25" s="137" t="s">
        <v>41</v>
      </c>
      <c r="AB25" s="207"/>
    </row>
    <row r="26" spans="1:28" ht="15" x14ac:dyDescent="0.25">
      <c r="A26" s="137" t="s">
        <v>170</v>
      </c>
      <c r="B26" s="208"/>
      <c r="C26" s="208"/>
      <c r="D26" s="208"/>
      <c r="E26" s="208"/>
      <c r="F26" s="208"/>
      <c r="G26" s="208"/>
      <c r="H26" s="208"/>
      <c r="I26" s="208"/>
      <c r="J26" s="208"/>
      <c r="K26" s="208"/>
      <c r="L26" s="208"/>
      <c r="M26" s="208"/>
      <c r="O26" s="137" t="s">
        <v>88</v>
      </c>
      <c r="P26" s="207">
        <f t="shared" ref="P26:AA32" si="8">B40+B50</f>
        <v>250000</v>
      </c>
      <c r="Q26" s="207">
        <f t="shared" si="8"/>
        <v>250000</v>
      </c>
      <c r="R26" s="207">
        <f t="shared" si="8"/>
        <v>250000</v>
      </c>
      <c r="S26" s="207">
        <f t="shared" si="8"/>
        <v>250000</v>
      </c>
      <c r="T26" s="207">
        <f t="shared" si="8"/>
        <v>250000</v>
      </c>
      <c r="U26" s="207">
        <f t="shared" si="8"/>
        <v>250000</v>
      </c>
      <c r="V26" s="207">
        <f t="shared" si="8"/>
        <v>250000</v>
      </c>
      <c r="W26" s="207">
        <f t="shared" si="8"/>
        <v>250000</v>
      </c>
      <c r="X26" s="207">
        <f t="shared" si="8"/>
        <v>250000</v>
      </c>
      <c r="Y26" s="207">
        <f t="shared" si="8"/>
        <v>250000</v>
      </c>
      <c r="Z26" s="207">
        <f t="shared" si="8"/>
        <v>250000</v>
      </c>
      <c r="AA26" s="207">
        <f t="shared" si="8"/>
        <v>250000</v>
      </c>
      <c r="AB26" s="207">
        <f t="shared" si="2"/>
        <v>3000000</v>
      </c>
    </row>
    <row r="27" spans="1:28" x14ac:dyDescent="0.2">
      <c r="A27" s="137" t="s">
        <v>88</v>
      </c>
      <c r="B27" s="241">
        <f>'12ME Jun18 Cal Bill Freq'!B54</f>
        <v>1561528.83</v>
      </c>
      <c r="C27" s="241">
        <f>'12ME Jun18 Cal Bill Freq'!C54</f>
        <v>1556380.97</v>
      </c>
      <c r="D27" s="241">
        <f>'12ME Jun18 Cal Bill Freq'!D54</f>
        <v>1598541.33</v>
      </c>
      <c r="E27" s="241">
        <f>'12ME Jun18 Cal Bill Freq'!E54</f>
        <v>1638582.18</v>
      </c>
      <c r="F27" s="241">
        <f>'12ME Jun18 Cal Bill Freq'!F54</f>
        <v>1588806.52</v>
      </c>
      <c r="G27" s="241">
        <f>'12ME Jun18 Cal Bill Freq'!G54</f>
        <v>1505284.1</v>
      </c>
      <c r="H27" s="241">
        <f>'12ME Jun18 Cal Bill Freq'!H54</f>
        <v>1462114.96</v>
      </c>
      <c r="I27" s="241">
        <f>'12ME Jun18 Cal Bill Freq'!I54</f>
        <v>1504173.8</v>
      </c>
      <c r="J27" s="241">
        <f>'12ME Jun18 Cal Bill Freq'!J54</f>
        <v>1601952.22</v>
      </c>
      <c r="K27" s="241">
        <f>'12ME Jun18 Cal Bill Freq'!K54</f>
        <v>1597650.4</v>
      </c>
      <c r="L27" s="241">
        <f>'12ME Jun18 Cal Bill Freq'!L54</f>
        <v>1600042.06</v>
      </c>
      <c r="M27" s="241">
        <f>'12ME Jun18 Cal Bill Freq'!M54</f>
        <v>1608072.67</v>
      </c>
      <c r="O27" s="137" t="s">
        <v>89</v>
      </c>
      <c r="P27" s="207">
        <f t="shared" si="8"/>
        <v>250000</v>
      </c>
      <c r="Q27" s="207">
        <f t="shared" si="8"/>
        <v>250000</v>
      </c>
      <c r="R27" s="207">
        <f t="shared" si="8"/>
        <v>250000</v>
      </c>
      <c r="S27" s="207">
        <f t="shared" si="8"/>
        <v>250000</v>
      </c>
      <c r="T27" s="207">
        <f t="shared" si="8"/>
        <v>250000</v>
      </c>
      <c r="U27" s="207">
        <f t="shared" si="8"/>
        <v>250000</v>
      </c>
      <c r="V27" s="207">
        <f t="shared" si="8"/>
        <v>250000</v>
      </c>
      <c r="W27" s="207">
        <f t="shared" si="8"/>
        <v>250000</v>
      </c>
      <c r="X27" s="207">
        <f t="shared" si="8"/>
        <v>250000</v>
      </c>
      <c r="Y27" s="207">
        <f t="shared" si="8"/>
        <v>250000</v>
      </c>
      <c r="Z27" s="207">
        <f t="shared" si="8"/>
        <v>250000</v>
      </c>
      <c r="AA27" s="207">
        <f t="shared" si="8"/>
        <v>250000</v>
      </c>
      <c r="AB27" s="207">
        <f t="shared" si="2"/>
        <v>3000000</v>
      </c>
    </row>
    <row r="28" spans="1:28" x14ac:dyDescent="0.2">
      <c r="A28" s="137" t="s">
        <v>89</v>
      </c>
      <c r="B28" s="241">
        <f>'12ME Jun18 Cal Bill Freq'!B55</f>
        <v>1105338.79</v>
      </c>
      <c r="C28" s="241">
        <f>'12ME Jun18 Cal Bill Freq'!C55</f>
        <v>1127142.8500000001</v>
      </c>
      <c r="D28" s="241">
        <f>'12ME Jun18 Cal Bill Freq'!D55</f>
        <v>1073013.7</v>
      </c>
      <c r="E28" s="241">
        <f>'12ME Jun18 Cal Bill Freq'!E55</f>
        <v>1212633.3899999999</v>
      </c>
      <c r="F28" s="241">
        <f>'12ME Jun18 Cal Bill Freq'!F55</f>
        <v>1044503.57</v>
      </c>
      <c r="G28" s="241">
        <f>'12ME Jun18 Cal Bill Freq'!G55</f>
        <v>1068403.94</v>
      </c>
      <c r="H28" s="241">
        <f>'12ME Jun18 Cal Bill Freq'!H55</f>
        <v>1038998.88</v>
      </c>
      <c r="I28" s="241">
        <f>'12ME Jun18 Cal Bill Freq'!I55</f>
        <v>947370.73</v>
      </c>
      <c r="J28" s="241">
        <f>'12ME Jun18 Cal Bill Freq'!J55</f>
        <v>1098021.3700000001</v>
      </c>
      <c r="K28" s="241">
        <f>'12ME Jun18 Cal Bill Freq'!K55</f>
        <v>1061605.1299999999</v>
      </c>
      <c r="L28" s="241">
        <f>'12ME Jun18 Cal Bill Freq'!L55</f>
        <v>1159432.25</v>
      </c>
      <c r="M28" s="241">
        <f>'12ME Jun18 Cal Bill Freq'!M55</f>
        <v>1071304.6599999999</v>
      </c>
      <c r="O28" s="137" t="s">
        <v>99</v>
      </c>
      <c r="P28" s="207">
        <f t="shared" si="8"/>
        <v>500000</v>
      </c>
      <c r="Q28" s="207">
        <f t="shared" si="8"/>
        <v>500000</v>
      </c>
      <c r="R28" s="207">
        <f t="shared" si="8"/>
        <v>500000</v>
      </c>
      <c r="S28" s="207">
        <f t="shared" si="8"/>
        <v>500000</v>
      </c>
      <c r="T28" s="207">
        <f t="shared" si="8"/>
        <v>500000</v>
      </c>
      <c r="U28" s="207">
        <f t="shared" si="8"/>
        <v>500000</v>
      </c>
      <c r="V28" s="207">
        <f t="shared" si="8"/>
        <v>500000</v>
      </c>
      <c r="W28" s="207">
        <f t="shared" si="8"/>
        <v>500000</v>
      </c>
      <c r="X28" s="207">
        <f t="shared" si="8"/>
        <v>500000</v>
      </c>
      <c r="Y28" s="207">
        <f t="shared" si="8"/>
        <v>500000</v>
      </c>
      <c r="Z28" s="207">
        <f t="shared" si="8"/>
        <v>500000</v>
      </c>
      <c r="AA28" s="207">
        <f t="shared" si="8"/>
        <v>500000</v>
      </c>
      <c r="AB28" s="207">
        <f t="shared" si="2"/>
        <v>6000000</v>
      </c>
    </row>
    <row r="29" spans="1:28" x14ac:dyDescent="0.2">
      <c r="A29" s="137" t="s">
        <v>169</v>
      </c>
      <c r="B29" s="207">
        <f>B30-SUM(B27:B28)</f>
        <v>1613960.9400000004</v>
      </c>
      <c r="C29" s="207">
        <f t="shared" ref="C29:M29" si="9">C30-SUM(C27:C28)</f>
        <v>2031825.9699999997</v>
      </c>
      <c r="D29" s="207">
        <f t="shared" si="9"/>
        <v>1959765.04</v>
      </c>
      <c r="E29" s="207">
        <f t="shared" si="9"/>
        <v>2275699.8699999996</v>
      </c>
      <c r="F29" s="207">
        <f t="shared" si="9"/>
        <v>1844888.7300000004</v>
      </c>
      <c r="G29" s="207">
        <f t="shared" si="9"/>
        <v>2021572.2999999998</v>
      </c>
      <c r="H29" s="207">
        <f t="shared" si="9"/>
        <v>1962519.2800000003</v>
      </c>
      <c r="I29" s="207">
        <f t="shared" si="9"/>
        <v>1665226.63</v>
      </c>
      <c r="J29" s="207">
        <f t="shared" si="9"/>
        <v>2171507.1799999997</v>
      </c>
      <c r="K29" s="207">
        <f t="shared" si="9"/>
        <v>1660681.2900000005</v>
      </c>
      <c r="L29" s="207">
        <f t="shared" si="9"/>
        <v>1497293.06</v>
      </c>
      <c r="M29" s="207">
        <f t="shared" si="9"/>
        <v>1554405.1799999997</v>
      </c>
      <c r="O29" s="137" t="s">
        <v>100</v>
      </c>
      <c r="P29" s="207">
        <f t="shared" si="8"/>
        <v>944453.73</v>
      </c>
      <c r="Q29" s="207">
        <f t="shared" si="8"/>
        <v>934340.92999999993</v>
      </c>
      <c r="R29" s="207">
        <f t="shared" si="8"/>
        <v>957608.69</v>
      </c>
      <c r="S29" s="207">
        <f t="shared" si="8"/>
        <v>1000000</v>
      </c>
      <c r="T29" s="207">
        <f t="shared" si="8"/>
        <v>1000000</v>
      </c>
      <c r="U29" s="207">
        <f t="shared" si="8"/>
        <v>988420.19</v>
      </c>
      <c r="V29" s="207">
        <f t="shared" si="8"/>
        <v>1000000</v>
      </c>
      <c r="W29" s="207">
        <f t="shared" si="8"/>
        <v>985133.58000000007</v>
      </c>
      <c r="X29" s="207">
        <f t="shared" si="8"/>
        <v>1000000</v>
      </c>
      <c r="Y29" s="207">
        <f t="shared" si="8"/>
        <v>998043.53</v>
      </c>
      <c r="Z29" s="207">
        <f t="shared" si="8"/>
        <v>996265.65999999992</v>
      </c>
      <c r="AA29" s="207">
        <f t="shared" si="8"/>
        <v>973725.57000000007</v>
      </c>
      <c r="AB29" s="207">
        <f t="shared" si="2"/>
        <v>11777991.879999999</v>
      </c>
    </row>
    <row r="30" spans="1:28" s="207" customFormat="1" ht="15" x14ac:dyDescent="0.25">
      <c r="A30" s="137" t="s">
        <v>6</v>
      </c>
      <c r="B30" s="242">
        <f>'12ME Jun18 Weather Adj'!D192</f>
        <v>4280828.5600000005</v>
      </c>
      <c r="C30" s="242">
        <f>'12ME Jun18 Weather Adj'!E192</f>
        <v>4715349.79</v>
      </c>
      <c r="D30" s="242">
        <f>'12ME Jun18 Weather Adj'!F192</f>
        <v>4631320.07</v>
      </c>
      <c r="E30" s="242">
        <f>'12ME Jun18 Weather Adj'!G192</f>
        <v>5126915.4399999995</v>
      </c>
      <c r="F30" s="242">
        <f>'12ME Jun18 Weather Adj'!H192</f>
        <v>4478198.82</v>
      </c>
      <c r="G30" s="242">
        <f>'12ME Jun18 Weather Adj'!I192</f>
        <v>4595260.34</v>
      </c>
      <c r="H30" s="242">
        <f>'12ME Jun18 Weather Adj'!J192</f>
        <v>4463633.12</v>
      </c>
      <c r="I30" s="242">
        <f>'12ME Jun18 Weather Adj'!K192</f>
        <v>4116771.16</v>
      </c>
      <c r="J30" s="242">
        <f>'12ME Jun18 Weather Adj'!L192</f>
        <v>4871480.7699999996</v>
      </c>
      <c r="K30" s="242">
        <f>'12ME Jun18 Weather Adj'!M192</f>
        <v>4319936.82</v>
      </c>
      <c r="L30" s="242">
        <f>'12ME Jun18 Weather Adj'!N192</f>
        <v>4256767.37</v>
      </c>
      <c r="M30" s="242">
        <f>'12ME Jun18 Weather Adj'!O192</f>
        <v>4233782.51</v>
      </c>
      <c r="O30" s="137" t="s">
        <v>101</v>
      </c>
      <c r="P30" s="207">
        <f t="shared" si="8"/>
        <v>2147549.08</v>
      </c>
      <c r="Q30" s="207">
        <f t="shared" si="8"/>
        <v>2163526.9500000002</v>
      </c>
      <c r="R30" s="207">
        <f t="shared" si="8"/>
        <v>2108009.21</v>
      </c>
      <c r="S30" s="207">
        <f t="shared" si="8"/>
        <v>2191426.15</v>
      </c>
      <c r="T30" s="207">
        <f t="shared" si="8"/>
        <v>2067325.52</v>
      </c>
      <c r="U30" s="207">
        <f t="shared" si="8"/>
        <v>2310390.67</v>
      </c>
      <c r="V30" s="207">
        <f t="shared" si="8"/>
        <v>2271239.0499999998</v>
      </c>
      <c r="W30" s="207">
        <f t="shared" si="8"/>
        <v>2252069.77</v>
      </c>
      <c r="X30" s="207">
        <f t="shared" si="8"/>
        <v>2256120.16</v>
      </c>
      <c r="Y30" s="207">
        <f t="shared" si="8"/>
        <v>2203003.6</v>
      </c>
      <c r="Z30" s="207">
        <f t="shared" si="8"/>
        <v>2147919.81</v>
      </c>
      <c r="AA30" s="207">
        <f t="shared" si="8"/>
        <v>2135013.5500000003</v>
      </c>
      <c r="AB30" s="207">
        <f t="shared" si="2"/>
        <v>26253593.52</v>
      </c>
    </row>
    <row r="31" spans="1:28" ht="15" x14ac:dyDescent="0.25">
      <c r="A31" s="137"/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O31" s="137" t="s">
        <v>174</v>
      </c>
      <c r="P31" s="207">
        <f t="shared" si="8"/>
        <v>4590424.5299999993</v>
      </c>
      <c r="Q31" s="207">
        <f t="shared" si="8"/>
        <v>4713329.1900000004</v>
      </c>
      <c r="R31" s="207">
        <f t="shared" si="8"/>
        <v>4403527.43</v>
      </c>
      <c r="S31" s="207">
        <f t="shared" si="8"/>
        <v>4745574.2700000005</v>
      </c>
      <c r="T31" s="207">
        <f t="shared" si="8"/>
        <v>4044242.0200000005</v>
      </c>
      <c r="U31" s="207">
        <f t="shared" si="8"/>
        <v>5545065.1299999999</v>
      </c>
      <c r="V31" s="207">
        <f t="shared" si="8"/>
        <v>4165359.47</v>
      </c>
      <c r="W31" s="207">
        <f t="shared" si="8"/>
        <v>4540152.04</v>
      </c>
      <c r="X31" s="207">
        <f t="shared" si="8"/>
        <v>5289243</v>
      </c>
      <c r="Y31" s="207">
        <f t="shared" si="8"/>
        <v>4051592.3499999996</v>
      </c>
      <c r="Z31" s="207">
        <f t="shared" si="8"/>
        <v>4197604.3899999997</v>
      </c>
      <c r="AA31" s="207">
        <f t="shared" si="8"/>
        <v>3566622.0300000003</v>
      </c>
      <c r="AB31" s="207">
        <f t="shared" si="2"/>
        <v>53852735.850000001</v>
      </c>
    </row>
    <row r="32" spans="1:28" ht="15" x14ac:dyDescent="0.25">
      <c r="A32" s="137"/>
      <c r="B32" s="208"/>
      <c r="C32" s="208"/>
      <c r="D32" s="208"/>
      <c r="E32" s="208"/>
      <c r="F32" s="208"/>
      <c r="G32" s="208"/>
      <c r="H32" s="208"/>
      <c r="I32" s="208"/>
      <c r="J32" s="208"/>
      <c r="K32" s="208"/>
      <c r="L32" s="208"/>
      <c r="M32" s="208"/>
      <c r="O32" s="137" t="s">
        <v>6</v>
      </c>
      <c r="P32" s="207">
        <f t="shared" si="8"/>
        <v>8682427.3399999999</v>
      </c>
      <c r="Q32" s="207">
        <f t="shared" si="8"/>
        <v>8811197.0700000003</v>
      </c>
      <c r="R32" s="207">
        <f t="shared" si="8"/>
        <v>8469145.3300000001</v>
      </c>
      <c r="S32" s="207">
        <f t="shared" si="8"/>
        <v>8937000.4199999999</v>
      </c>
      <c r="T32" s="207">
        <f t="shared" si="8"/>
        <v>8111567.540000001</v>
      </c>
      <c r="U32" s="207">
        <f t="shared" si="8"/>
        <v>9843875.9900000002</v>
      </c>
      <c r="V32" s="207">
        <f t="shared" si="8"/>
        <v>8436598.5199999996</v>
      </c>
      <c r="W32" s="207">
        <f t="shared" si="8"/>
        <v>8777355.3900000006</v>
      </c>
      <c r="X32" s="207">
        <f t="shared" si="8"/>
        <v>9545363.1600000001</v>
      </c>
      <c r="Y32" s="207">
        <f t="shared" si="8"/>
        <v>8252639.4799999995</v>
      </c>
      <c r="Z32" s="207">
        <f t="shared" si="8"/>
        <v>8341789.8599999994</v>
      </c>
      <c r="AA32" s="207">
        <f t="shared" si="8"/>
        <v>7675361.1500000004</v>
      </c>
      <c r="AB32" s="207">
        <f t="shared" si="2"/>
        <v>103884321.25000001</v>
      </c>
    </row>
    <row r="33" spans="1:28" ht="15" x14ac:dyDescent="0.25">
      <c r="A33" s="207" t="s">
        <v>171</v>
      </c>
      <c r="B33" s="208"/>
      <c r="C33" s="208"/>
      <c r="D33" s="208"/>
      <c r="E33" s="208"/>
      <c r="F33" s="208"/>
      <c r="G33" s="208"/>
      <c r="H33" s="208"/>
      <c r="I33" s="208"/>
      <c r="J33" s="208"/>
      <c r="K33" s="208"/>
      <c r="L33" s="208"/>
      <c r="M33" s="208"/>
      <c r="O33" s="137" t="s">
        <v>49</v>
      </c>
      <c r="AB33" s="207"/>
    </row>
    <row r="34" spans="1:28" x14ac:dyDescent="0.2">
      <c r="A34" s="137" t="s">
        <v>94</v>
      </c>
      <c r="B34" s="241">
        <f>'12ME Jun18 Cal Bill Freq'!B73</f>
        <v>2000</v>
      </c>
      <c r="C34" s="241">
        <f>'12ME Jun18 Cal Bill Freq'!C73</f>
        <v>2000</v>
      </c>
      <c r="D34" s="241">
        <f>'12ME Jun18 Cal Bill Freq'!D73</f>
        <v>2000</v>
      </c>
      <c r="E34" s="241">
        <f>'12ME Jun18 Cal Bill Freq'!E73</f>
        <v>2000</v>
      </c>
      <c r="F34" s="241">
        <f>'12ME Jun18 Cal Bill Freq'!F73</f>
        <v>2000</v>
      </c>
      <c r="G34" s="241">
        <f>'12ME Jun18 Cal Bill Freq'!G73</f>
        <v>2000</v>
      </c>
      <c r="H34" s="241">
        <f>'12ME Jun18 Cal Bill Freq'!H73</f>
        <v>2000</v>
      </c>
      <c r="I34" s="241">
        <f>'12ME Jun18 Cal Bill Freq'!I73</f>
        <v>2000</v>
      </c>
      <c r="J34" s="241">
        <f>'12ME Jun18 Cal Bill Freq'!J73</f>
        <v>2000</v>
      </c>
      <c r="K34" s="241">
        <f>'12ME Jun18 Cal Bill Freq'!K73</f>
        <v>2000</v>
      </c>
      <c r="L34" s="241">
        <f>'12ME Jun18 Cal Bill Freq'!L73</f>
        <v>2000</v>
      </c>
      <c r="M34" s="241">
        <f>'12ME Jun18 Cal Bill Freq'!M73</f>
        <v>1930.91</v>
      </c>
      <c r="O34" s="137"/>
      <c r="AB34" s="207"/>
    </row>
    <row r="35" spans="1:28" x14ac:dyDescent="0.2">
      <c r="A35" s="137" t="s">
        <v>172</v>
      </c>
      <c r="B35" s="207">
        <f>B36-B34</f>
        <v>22835.61</v>
      </c>
      <c r="C35" s="207">
        <f t="shared" ref="C35:M35" si="10">C36-C34</f>
        <v>16950.099999999999</v>
      </c>
      <c r="D35" s="207">
        <f t="shared" si="10"/>
        <v>12249</v>
      </c>
      <c r="E35" s="207">
        <f t="shared" si="10"/>
        <v>29358.14</v>
      </c>
      <c r="F35" s="207">
        <f t="shared" si="10"/>
        <v>26587.62</v>
      </c>
      <c r="G35" s="207">
        <f t="shared" si="10"/>
        <v>27791.48</v>
      </c>
      <c r="H35" s="207">
        <f t="shared" si="10"/>
        <v>47343.94</v>
      </c>
      <c r="I35" s="207">
        <f t="shared" si="10"/>
        <v>50603.87</v>
      </c>
      <c r="J35" s="207">
        <f t="shared" si="10"/>
        <v>38825.67</v>
      </c>
      <c r="K35" s="207">
        <f t="shared" si="10"/>
        <v>22785.5</v>
      </c>
      <c r="L35" s="207">
        <f t="shared" si="10"/>
        <v>16363.18</v>
      </c>
      <c r="M35" s="207">
        <f t="shared" si="10"/>
        <v>19011.68</v>
      </c>
      <c r="O35" s="142" t="s">
        <v>186</v>
      </c>
      <c r="AB35" s="207"/>
    </row>
    <row r="36" spans="1:28" ht="15" x14ac:dyDescent="0.25">
      <c r="A36" s="137" t="s">
        <v>6</v>
      </c>
      <c r="B36" s="242">
        <f>'12ME Jun18 Weather Adj'!D193</f>
        <v>24835.61</v>
      </c>
      <c r="C36" s="242">
        <f>'12ME Jun18 Weather Adj'!E193</f>
        <v>18950.099999999999</v>
      </c>
      <c r="D36" s="242">
        <f>'12ME Jun18 Weather Adj'!F193</f>
        <v>14249</v>
      </c>
      <c r="E36" s="242">
        <f>'12ME Jun18 Weather Adj'!G193</f>
        <v>31358.14</v>
      </c>
      <c r="F36" s="242">
        <f>'12ME Jun18 Weather Adj'!H193</f>
        <v>28587.62</v>
      </c>
      <c r="G36" s="242">
        <f>'12ME Jun18 Weather Adj'!I193</f>
        <v>29791.48</v>
      </c>
      <c r="H36" s="242">
        <f>'12ME Jun18 Weather Adj'!J193</f>
        <v>49343.94</v>
      </c>
      <c r="I36" s="242">
        <f>'12ME Jun18 Weather Adj'!K193</f>
        <v>52603.87</v>
      </c>
      <c r="J36" s="242">
        <f>'12ME Jun18 Weather Adj'!L193</f>
        <v>40825.67</v>
      </c>
      <c r="K36" s="242">
        <f>'12ME Jun18 Weather Adj'!M193</f>
        <v>24785.5</v>
      </c>
      <c r="L36" s="242">
        <f>'12ME Jun18 Weather Adj'!N193</f>
        <v>18363.18</v>
      </c>
      <c r="M36" s="242">
        <f>'12ME Jun18 Weather Adj'!O193</f>
        <v>20942.59</v>
      </c>
      <c r="O36" s="137" t="s">
        <v>177</v>
      </c>
      <c r="P36" s="207">
        <f t="shared" ref="P36:AA39" si="11">B60+B67</f>
        <v>953288.50800000003</v>
      </c>
      <c r="Q36" s="207">
        <f t="shared" si="11"/>
        <v>950250.45299999998</v>
      </c>
      <c r="R36" s="207">
        <f t="shared" si="11"/>
        <v>1039025.5199999999</v>
      </c>
      <c r="S36" s="207">
        <f t="shared" si="11"/>
        <v>1211367.1910000001</v>
      </c>
      <c r="T36" s="207">
        <f t="shared" si="11"/>
        <v>1175281.9450000001</v>
      </c>
      <c r="U36" s="207">
        <f t="shared" si="11"/>
        <v>1229028.8540000001</v>
      </c>
      <c r="V36" s="207">
        <f t="shared" si="11"/>
        <v>1223530.061</v>
      </c>
      <c r="W36" s="207">
        <f t="shared" si="11"/>
        <v>1124991.9350000001</v>
      </c>
      <c r="X36" s="207">
        <f t="shared" si="11"/>
        <v>1257997.4469999999</v>
      </c>
      <c r="Y36" s="207">
        <f t="shared" si="11"/>
        <v>1217220.6359999999</v>
      </c>
      <c r="Z36" s="207">
        <f t="shared" si="11"/>
        <v>1134459.845</v>
      </c>
      <c r="AA36" s="207">
        <f t="shared" si="11"/>
        <v>652322.52300000004</v>
      </c>
      <c r="AB36" s="207">
        <f t="shared" si="2"/>
        <v>13168764.918000001</v>
      </c>
    </row>
    <row r="37" spans="1:28" ht="15" x14ac:dyDescent="0.25">
      <c r="A37" s="137"/>
      <c r="B37" s="208"/>
      <c r="C37" s="208"/>
      <c r="D37" s="208"/>
      <c r="E37" s="208"/>
      <c r="F37" s="208"/>
      <c r="G37" s="208"/>
      <c r="H37" s="208"/>
      <c r="I37" s="208"/>
      <c r="J37" s="208"/>
      <c r="K37" s="208"/>
      <c r="L37" s="208"/>
      <c r="M37" s="208"/>
      <c r="O37" s="137" t="s">
        <v>165</v>
      </c>
      <c r="P37" s="207">
        <f t="shared" si="11"/>
        <v>1289850.871</v>
      </c>
      <c r="Q37" s="207">
        <f t="shared" si="11"/>
        <v>1243543.676</v>
      </c>
      <c r="R37" s="207">
        <f t="shared" si="11"/>
        <v>1537455.7560000001</v>
      </c>
      <c r="S37" s="207">
        <f t="shared" si="11"/>
        <v>2541899.1869999999</v>
      </c>
      <c r="T37" s="207">
        <f t="shared" si="11"/>
        <v>3161661.0610000002</v>
      </c>
      <c r="U37" s="207">
        <f t="shared" si="11"/>
        <v>3670349.912</v>
      </c>
      <c r="V37" s="207">
        <f t="shared" si="11"/>
        <v>3554236.7339999997</v>
      </c>
      <c r="W37" s="207">
        <f t="shared" si="11"/>
        <v>3376959.6930000004</v>
      </c>
      <c r="X37" s="207">
        <f t="shared" si="11"/>
        <v>3412985.1459999997</v>
      </c>
      <c r="Y37" s="207">
        <f t="shared" si="11"/>
        <v>2686382.6550000003</v>
      </c>
      <c r="Z37" s="207">
        <f t="shared" si="11"/>
        <v>1838107.0430000001</v>
      </c>
      <c r="AA37" s="207">
        <f t="shared" si="11"/>
        <v>872551.97199999995</v>
      </c>
      <c r="AB37" s="207">
        <f t="shared" si="2"/>
        <v>29185983.706</v>
      </c>
    </row>
    <row r="38" spans="1:28" ht="15" x14ac:dyDescent="0.25">
      <c r="A38" s="137"/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O38" s="137" t="s">
        <v>166</v>
      </c>
      <c r="P38" s="207">
        <f t="shared" si="11"/>
        <v>909238.37099999981</v>
      </c>
      <c r="Q38" s="207">
        <f t="shared" si="11"/>
        <v>834581.83100000024</v>
      </c>
      <c r="R38" s="207">
        <f t="shared" si="11"/>
        <v>1013882.4849999999</v>
      </c>
      <c r="S38" s="207">
        <f t="shared" si="11"/>
        <v>1584527.3280000004</v>
      </c>
      <c r="T38" s="207">
        <f t="shared" si="11"/>
        <v>2368599.39</v>
      </c>
      <c r="U38" s="207">
        <f t="shared" si="11"/>
        <v>2871701.4219999993</v>
      </c>
      <c r="V38" s="207">
        <f t="shared" si="11"/>
        <v>3421488.0619999999</v>
      </c>
      <c r="W38" s="207">
        <f t="shared" si="11"/>
        <v>2372328.4780000006</v>
      </c>
      <c r="X38" s="207">
        <f t="shared" si="11"/>
        <v>2511901.7170000006</v>
      </c>
      <c r="Y38" s="207">
        <f t="shared" si="11"/>
        <v>1842384.94</v>
      </c>
      <c r="Z38" s="207">
        <f t="shared" si="11"/>
        <v>1509184.7940000002</v>
      </c>
      <c r="AA38" s="207">
        <f t="shared" si="11"/>
        <v>372300.57499999995</v>
      </c>
      <c r="AB38" s="207">
        <f t="shared" si="2"/>
        <v>21612119.392999999</v>
      </c>
    </row>
    <row r="39" spans="1:28" ht="15" x14ac:dyDescent="0.25">
      <c r="A39" s="137" t="s">
        <v>173</v>
      </c>
      <c r="B39" s="208"/>
      <c r="C39" s="208"/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O39" s="137" t="s">
        <v>6</v>
      </c>
      <c r="P39" s="207">
        <f t="shared" si="11"/>
        <v>3152377.75</v>
      </c>
      <c r="Q39" s="207">
        <f t="shared" si="11"/>
        <v>3028375.96</v>
      </c>
      <c r="R39" s="207">
        <f t="shared" si="11"/>
        <v>3590363.7609999999</v>
      </c>
      <c r="S39" s="207">
        <f t="shared" si="11"/>
        <v>5337793.7060000002</v>
      </c>
      <c r="T39" s="207">
        <f t="shared" si="11"/>
        <v>6705542.3960000006</v>
      </c>
      <c r="U39" s="207">
        <f t="shared" si="11"/>
        <v>7771080.1879999992</v>
      </c>
      <c r="V39" s="207">
        <f t="shared" si="11"/>
        <v>8199254.8569999998</v>
      </c>
      <c r="W39" s="207">
        <f t="shared" si="11"/>
        <v>6874280.1060000006</v>
      </c>
      <c r="X39" s="207">
        <f t="shared" si="11"/>
        <v>7182884.3100000005</v>
      </c>
      <c r="Y39" s="207">
        <f t="shared" si="11"/>
        <v>5745988.2310000006</v>
      </c>
      <c r="Z39" s="207">
        <f t="shared" si="11"/>
        <v>4481751.682</v>
      </c>
      <c r="AA39" s="207">
        <f t="shared" si="11"/>
        <v>1897175.0699999998</v>
      </c>
      <c r="AB39" s="207">
        <f t="shared" si="2"/>
        <v>63966868.016999997</v>
      </c>
    </row>
    <row r="40" spans="1:28" x14ac:dyDescent="0.2">
      <c r="A40" s="137" t="s">
        <v>88</v>
      </c>
      <c r="B40" s="241">
        <f>'12ME Jun18 Cal Bill Freq'!B98</f>
        <v>75000</v>
      </c>
      <c r="C40" s="241">
        <f>'12ME Jun18 Cal Bill Freq'!C98</f>
        <v>75000</v>
      </c>
      <c r="D40" s="241">
        <f>'12ME Jun18 Cal Bill Freq'!D98</f>
        <v>75000</v>
      </c>
      <c r="E40" s="241">
        <f>'12ME Jun18 Cal Bill Freq'!E98</f>
        <v>75000</v>
      </c>
      <c r="F40" s="241">
        <f>'12ME Jun18 Cal Bill Freq'!F98</f>
        <v>75000</v>
      </c>
      <c r="G40" s="241">
        <f>'12ME Jun18 Cal Bill Freq'!G98</f>
        <v>75000</v>
      </c>
      <c r="H40" s="241">
        <f>'12ME Jun18 Cal Bill Freq'!H98</f>
        <v>75000</v>
      </c>
      <c r="I40" s="241">
        <f>'12ME Jun18 Cal Bill Freq'!I98</f>
        <v>75000</v>
      </c>
      <c r="J40" s="241">
        <f>'12ME Jun18 Cal Bill Freq'!J98</f>
        <v>75000</v>
      </c>
      <c r="K40" s="241">
        <f>'12ME Jun18 Cal Bill Freq'!K98</f>
        <v>75000</v>
      </c>
      <c r="L40" s="241">
        <f>'12ME Jun18 Cal Bill Freq'!L98</f>
        <v>75000</v>
      </c>
      <c r="M40" s="241">
        <f>'12ME Jun18 Cal Bill Freq'!M98</f>
        <v>75000</v>
      </c>
      <c r="O40" s="137" t="s">
        <v>49</v>
      </c>
      <c r="AB40" s="207"/>
    </row>
    <row r="41" spans="1:28" x14ac:dyDescent="0.2">
      <c r="A41" s="137" t="s">
        <v>89</v>
      </c>
      <c r="B41" s="241">
        <f>'12ME Jun18 Cal Bill Freq'!B99</f>
        <v>75000</v>
      </c>
      <c r="C41" s="241">
        <f>'12ME Jun18 Cal Bill Freq'!C99</f>
        <v>75000</v>
      </c>
      <c r="D41" s="241">
        <f>'12ME Jun18 Cal Bill Freq'!D99</f>
        <v>75000</v>
      </c>
      <c r="E41" s="241">
        <f>'12ME Jun18 Cal Bill Freq'!E99</f>
        <v>75000</v>
      </c>
      <c r="F41" s="241">
        <f>'12ME Jun18 Cal Bill Freq'!F99</f>
        <v>75000</v>
      </c>
      <c r="G41" s="241">
        <f>'12ME Jun18 Cal Bill Freq'!G99</f>
        <v>75000</v>
      </c>
      <c r="H41" s="241">
        <f>'12ME Jun18 Cal Bill Freq'!H99</f>
        <v>75000</v>
      </c>
      <c r="I41" s="241">
        <f>'12ME Jun18 Cal Bill Freq'!I99</f>
        <v>75000</v>
      </c>
      <c r="J41" s="241">
        <f>'12ME Jun18 Cal Bill Freq'!J99</f>
        <v>75000</v>
      </c>
      <c r="K41" s="241">
        <f>'12ME Jun18 Cal Bill Freq'!K99</f>
        <v>75000</v>
      </c>
      <c r="L41" s="241">
        <f>'12ME Jun18 Cal Bill Freq'!L99</f>
        <v>75000</v>
      </c>
      <c r="M41" s="241">
        <f>'12ME Jun18 Cal Bill Freq'!M99</f>
        <v>75000</v>
      </c>
      <c r="O41" s="137"/>
      <c r="AB41" s="207"/>
    </row>
    <row r="42" spans="1:28" x14ac:dyDescent="0.2">
      <c r="A42" s="137" t="s">
        <v>99</v>
      </c>
      <c r="B42" s="241">
        <f>'12ME Jun18 Cal Bill Freq'!B100</f>
        <v>150000</v>
      </c>
      <c r="C42" s="241">
        <f>'12ME Jun18 Cal Bill Freq'!C100</f>
        <v>150000</v>
      </c>
      <c r="D42" s="241">
        <f>'12ME Jun18 Cal Bill Freq'!D100</f>
        <v>150000</v>
      </c>
      <c r="E42" s="241">
        <f>'12ME Jun18 Cal Bill Freq'!E100</f>
        <v>150000</v>
      </c>
      <c r="F42" s="241">
        <f>'12ME Jun18 Cal Bill Freq'!F100</f>
        <v>150000</v>
      </c>
      <c r="G42" s="241">
        <f>'12ME Jun18 Cal Bill Freq'!G100</f>
        <v>150000</v>
      </c>
      <c r="H42" s="241">
        <f>'12ME Jun18 Cal Bill Freq'!H100</f>
        <v>150000</v>
      </c>
      <c r="I42" s="241">
        <f>'12ME Jun18 Cal Bill Freq'!I100</f>
        <v>150000</v>
      </c>
      <c r="J42" s="241">
        <f>'12ME Jun18 Cal Bill Freq'!J100</f>
        <v>150000</v>
      </c>
      <c r="K42" s="241">
        <f>'12ME Jun18 Cal Bill Freq'!K100</f>
        <v>150000</v>
      </c>
      <c r="L42" s="241">
        <f>'12ME Jun18 Cal Bill Freq'!L100</f>
        <v>150000</v>
      </c>
      <c r="M42" s="241">
        <f>'12ME Jun18 Cal Bill Freq'!M100</f>
        <v>150000</v>
      </c>
      <c r="O42" s="218" t="s">
        <v>187</v>
      </c>
      <c r="AB42" s="207"/>
    </row>
    <row r="43" spans="1:28" x14ac:dyDescent="0.2">
      <c r="A43" s="137" t="s">
        <v>100</v>
      </c>
      <c r="B43" s="241">
        <f>'12ME Jun18 Cal Bill Freq'!B101</f>
        <v>244453.73</v>
      </c>
      <c r="C43" s="241">
        <f>'12ME Jun18 Cal Bill Freq'!C101</f>
        <v>234340.93</v>
      </c>
      <c r="D43" s="241">
        <f>'12ME Jun18 Cal Bill Freq'!D101</f>
        <v>257608.69</v>
      </c>
      <c r="E43" s="241">
        <f>'12ME Jun18 Cal Bill Freq'!E101</f>
        <v>300000</v>
      </c>
      <c r="F43" s="241">
        <f>'12ME Jun18 Cal Bill Freq'!F101</f>
        <v>300000</v>
      </c>
      <c r="G43" s="241">
        <f>'12ME Jun18 Cal Bill Freq'!G101</f>
        <v>288420.19</v>
      </c>
      <c r="H43" s="241">
        <f>'12ME Jun18 Cal Bill Freq'!H101</f>
        <v>300000</v>
      </c>
      <c r="I43" s="241">
        <f>'12ME Jun18 Cal Bill Freq'!I101</f>
        <v>285133.58</v>
      </c>
      <c r="J43" s="241">
        <f>'12ME Jun18 Cal Bill Freq'!J101</f>
        <v>300000</v>
      </c>
      <c r="K43" s="241">
        <f>'12ME Jun18 Cal Bill Freq'!K101</f>
        <v>298043.53000000003</v>
      </c>
      <c r="L43" s="241">
        <f>'12ME Jun18 Cal Bill Freq'!L101</f>
        <v>296265.65999999997</v>
      </c>
      <c r="M43" s="241">
        <f>'12ME Jun18 Cal Bill Freq'!M101</f>
        <v>273725.57</v>
      </c>
      <c r="O43" s="137" t="s">
        <v>88</v>
      </c>
      <c r="P43" s="207">
        <f t="shared" ref="P43:AA46" si="12">B74+B81</f>
        <v>570202.24899999995</v>
      </c>
      <c r="Q43" s="207">
        <f t="shared" si="12"/>
        <v>544581.85600000003</v>
      </c>
      <c r="R43" s="207">
        <f t="shared" si="12"/>
        <v>564443.64300000004</v>
      </c>
      <c r="S43" s="207">
        <f t="shared" si="12"/>
        <v>682757.18200000003</v>
      </c>
      <c r="T43" s="207">
        <f t="shared" si="12"/>
        <v>709340.53499999992</v>
      </c>
      <c r="U43" s="207">
        <f t="shared" si="12"/>
        <v>726402.17699999991</v>
      </c>
      <c r="V43" s="207">
        <f t="shared" si="12"/>
        <v>719890.61199999996</v>
      </c>
      <c r="W43" s="207">
        <f t="shared" si="12"/>
        <v>692842.14</v>
      </c>
      <c r="X43" s="207">
        <f t="shared" si="12"/>
        <v>727976.48900000006</v>
      </c>
      <c r="Y43" s="207">
        <f t="shared" si="12"/>
        <v>690550.60700000008</v>
      </c>
      <c r="Z43" s="207">
        <f t="shared" si="12"/>
        <v>626700.098</v>
      </c>
      <c r="AA43" s="207">
        <f t="shared" si="12"/>
        <v>540896.245</v>
      </c>
      <c r="AB43" s="207">
        <f t="shared" si="2"/>
        <v>7796583.8329999996</v>
      </c>
    </row>
    <row r="44" spans="1:28" x14ac:dyDescent="0.2">
      <c r="A44" s="137" t="s">
        <v>101</v>
      </c>
      <c r="B44" s="241">
        <f>'12ME Jun18 Cal Bill Freq'!B102</f>
        <v>300000</v>
      </c>
      <c r="C44" s="241">
        <f>'12ME Jun18 Cal Bill Freq'!C102</f>
        <v>316042.11</v>
      </c>
      <c r="D44" s="241">
        <f>'12ME Jun18 Cal Bill Freq'!D102</f>
        <v>300786.53999999998</v>
      </c>
      <c r="E44" s="241">
        <f>'12ME Jun18 Cal Bill Freq'!E102</f>
        <v>338474.39</v>
      </c>
      <c r="F44" s="241">
        <f>'12ME Jun18 Cal Bill Freq'!F102</f>
        <v>379525.37</v>
      </c>
      <c r="G44" s="241">
        <f>'12ME Jun18 Cal Bill Freq'!G102</f>
        <v>441377.2</v>
      </c>
      <c r="H44" s="241">
        <f>'12ME Jun18 Cal Bill Freq'!H102</f>
        <v>400382.23</v>
      </c>
      <c r="I44" s="241">
        <f>'12ME Jun18 Cal Bill Freq'!I102</f>
        <v>416073.24</v>
      </c>
      <c r="J44" s="241">
        <f>'12ME Jun18 Cal Bill Freq'!J102</f>
        <v>403591.12</v>
      </c>
      <c r="K44" s="241">
        <f>'12ME Jun18 Cal Bill Freq'!K102</f>
        <v>353892.31</v>
      </c>
      <c r="L44" s="241">
        <f>'12ME Jun18 Cal Bill Freq'!L102</f>
        <v>308957.49</v>
      </c>
      <c r="M44" s="241">
        <f>'12ME Jun18 Cal Bill Freq'!M102</f>
        <v>305164.2</v>
      </c>
      <c r="O44" s="137" t="s">
        <v>89</v>
      </c>
      <c r="P44" s="207">
        <f t="shared" si="12"/>
        <v>232496.76200000002</v>
      </c>
      <c r="Q44" s="207">
        <f t="shared" si="12"/>
        <v>210220.845</v>
      </c>
      <c r="R44" s="207">
        <f t="shared" si="12"/>
        <v>256037.62700000001</v>
      </c>
      <c r="S44" s="207">
        <f t="shared" si="12"/>
        <v>364653.49400000001</v>
      </c>
      <c r="T44" s="207">
        <f t="shared" si="12"/>
        <v>435715.91599999997</v>
      </c>
      <c r="U44" s="207">
        <f t="shared" si="12"/>
        <v>531370.179</v>
      </c>
      <c r="V44" s="207">
        <f t="shared" si="12"/>
        <v>500903.495</v>
      </c>
      <c r="W44" s="207">
        <f t="shared" si="12"/>
        <v>436696.24900000001</v>
      </c>
      <c r="X44" s="207">
        <f t="shared" si="12"/>
        <v>451199.37699999998</v>
      </c>
      <c r="Y44" s="207">
        <f t="shared" si="12"/>
        <v>342953.239</v>
      </c>
      <c r="Z44" s="207">
        <f t="shared" si="12"/>
        <v>286850.00899999996</v>
      </c>
      <c r="AA44" s="207">
        <f t="shared" si="12"/>
        <v>233391.30000000002</v>
      </c>
      <c r="AB44" s="207">
        <f t="shared" si="2"/>
        <v>4282488.4919999996</v>
      </c>
    </row>
    <row r="45" spans="1:28" x14ac:dyDescent="0.2">
      <c r="A45" s="137" t="s">
        <v>174</v>
      </c>
      <c r="B45" s="207">
        <f>B46-SUM(B40:B44)</f>
        <v>239677.47999999998</v>
      </c>
      <c r="C45" s="207">
        <f t="shared" ref="C45:M45" si="13">C46-SUM(C40:C44)</f>
        <v>225878.71000000008</v>
      </c>
      <c r="D45" s="207">
        <f t="shared" si="13"/>
        <v>245931.93999999994</v>
      </c>
      <c r="E45" s="207">
        <f t="shared" si="13"/>
        <v>553542.63</v>
      </c>
      <c r="F45" s="207">
        <f t="shared" si="13"/>
        <v>864729.69000000006</v>
      </c>
      <c r="G45" s="207">
        <f t="shared" si="13"/>
        <v>1047081.2500000002</v>
      </c>
      <c r="H45" s="207">
        <f t="shared" si="13"/>
        <v>1118934.6400000001</v>
      </c>
      <c r="I45" s="207">
        <f t="shared" si="13"/>
        <v>869902.13000000012</v>
      </c>
      <c r="J45" s="207">
        <f t="shared" si="13"/>
        <v>856600.52999999991</v>
      </c>
      <c r="K45" s="207">
        <f t="shared" si="13"/>
        <v>685076.04</v>
      </c>
      <c r="L45" s="207">
        <f t="shared" si="13"/>
        <v>483052.69999999995</v>
      </c>
      <c r="M45" s="207">
        <f t="shared" si="13"/>
        <v>314098.17999999993</v>
      </c>
      <c r="O45" s="137" t="s">
        <v>169</v>
      </c>
      <c r="P45" s="207">
        <f t="shared" si="12"/>
        <v>33590.434000000008</v>
      </c>
      <c r="Q45" s="207">
        <f t="shared" si="12"/>
        <v>17665.422999999952</v>
      </c>
      <c r="R45" s="207">
        <f t="shared" si="12"/>
        <v>89193.548999999999</v>
      </c>
      <c r="S45" s="207">
        <f t="shared" si="12"/>
        <v>334825.20200000005</v>
      </c>
      <c r="T45" s="207">
        <f t="shared" si="12"/>
        <v>560001.54800000018</v>
      </c>
      <c r="U45" s="207">
        <f t="shared" si="12"/>
        <v>771612.01600000006</v>
      </c>
      <c r="V45" s="207">
        <f t="shared" si="12"/>
        <v>712814.16200000001</v>
      </c>
      <c r="W45" s="207">
        <f t="shared" si="12"/>
        <v>550985.64500000014</v>
      </c>
      <c r="X45" s="207">
        <f t="shared" si="12"/>
        <v>610211.88099999982</v>
      </c>
      <c r="Y45" s="207">
        <f t="shared" si="12"/>
        <v>366948.06699999992</v>
      </c>
      <c r="Z45" s="207">
        <f t="shared" si="12"/>
        <v>133398.27900000001</v>
      </c>
      <c r="AA45" s="207">
        <f t="shared" si="12"/>
        <v>47470.895000000019</v>
      </c>
      <c r="AB45" s="207">
        <f t="shared" si="2"/>
        <v>4228717.1009999998</v>
      </c>
    </row>
    <row r="46" spans="1:28" s="207" customFormat="1" ht="15" x14ac:dyDescent="0.25">
      <c r="A46" s="137" t="s">
        <v>6</v>
      </c>
      <c r="B46" s="242">
        <f>'12ME Jun18 Weather Adj'!D175</f>
        <v>1084131.21</v>
      </c>
      <c r="C46" s="242">
        <f>'12ME Jun18 Weather Adj'!E175</f>
        <v>1076261.75</v>
      </c>
      <c r="D46" s="242">
        <f>'12ME Jun18 Weather Adj'!F175</f>
        <v>1104327.17</v>
      </c>
      <c r="E46" s="242">
        <f>'12ME Jun18 Weather Adj'!G175</f>
        <v>1492017.02</v>
      </c>
      <c r="F46" s="242">
        <f>'12ME Jun18 Weather Adj'!H175</f>
        <v>1844255.06</v>
      </c>
      <c r="G46" s="242">
        <f>'12ME Jun18 Weather Adj'!I175</f>
        <v>2076878.6400000001</v>
      </c>
      <c r="H46" s="242">
        <f>'12ME Jun18 Weather Adj'!J175</f>
        <v>2119316.87</v>
      </c>
      <c r="I46" s="242">
        <f>'12ME Jun18 Weather Adj'!K175</f>
        <v>1871108.9500000002</v>
      </c>
      <c r="J46" s="242">
        <f>'12ME Jun18 Weather Adj'!L175</f>
        <v>1860191.65</v>
      </c>
      <c r="K46" s="242">
        <f>'12ME Jun18 Weather Adj'!M175</f>
        <v>1637011.8800000001</v>
      </c>
      <c r="L46" s="242">
        <f>'12ME Jun18 Weather Adj'!N175</f>
        <v>1388275.8499999999</v>
      </c>
      <c r="M46" s="242">
        <f>'12ME Jun18 Weather Adj'!O175</f>
        <v>1192987.95</v>
      </c>
      <c r="O46" s="137" t="s">
        <v>6</v>
      </c>
      <c r="P46" s="207">
        <f t="shared" si="12"/>
        <v>836289.44500000007</v>
      </c>
      <c r="Q46" s="207">
        <f t="shared" si="12"/>
        <v>772468.12399999984</v>
      </c>
      <c r="R46" s="207">
        <f t="shared" si="12"/>
        <v>909674.81900000002</v>
      </c>
      <c r="S46" s="207">
        <f t="shared" si="12"/>
        <v>1382235.878</v>
      </c>
      <c r="T46" s="207">
        <f t="shared" si="12"/>
        <v>1705057.9990000001</v>
      </c>
      <c r="U46" s="207">
        <f t="shared" si="12"/>
        <v>2029384.3720000002</v>
      </c>
      <c r="V46" s="207">
        <f t="shared" si="12"/>
        <v>1933608.2690000001</v>
      </c>
      <c r="W46" s="207">
        <f t="shared" si="12"/>
        <v>1680524.0340000002</v>
      </c>
      <c r="X46" s="207">
        <f t="shared" si="12"/>
        <v>1789387.747</v>
      </c>
      <c r="Y46" s="207">
        <f t="shared" si="12"/>
        <v>1400451.9129999999</v>
      </c>
      <c r="Z46" s="207">
        <f t="shared" si="12"/>
        <v>1046948.3860000001</v>
      </c>
      <c r="AA46" s="207">
        <f t="shared" si="12"/>
        <v>821758.44000000006</v>
      </c>
      <c r="AB46" s="207">
        <f t="shared" si="2"/>
        <v>16307789.425999999</v>
      </c>
    </row>
    <row r="47" spans="1:28" ht="15" x14ac:dyDescent="0.25">
      <c r="A47" s="137"/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O47" s="137" t="s">
        <v>49</v>
      </c>
      <c r="AB47" s="207"/>
    </row>
    <row r="48" spans="1:28" ht="15" x14ac:dyDescent="0.25">
      <c r="A48" s="137"/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O48" s="137"/>
      <c r="AB48" s="207"/>
    </row>
    <row r="49" spans="1:28" ht="15" x14ac:dyDescent="0.25">
      <c r="A49" s="137" t="s">
        <v>175</v>
      </c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O49" s="137" t="s">
        <v>188</v>
      </c>
      <c r="AB49" s="207"/>
    </row>
    <row r="50" spans="1:28" x14ac:dyDescent="0.2">
      <c r="A50" s="137" t="s">
        <v>88</v>
      </c>
      <c r="B50" s="241">
        <f>'12ME Jun18 Cal Bill Freq'!B108</f>
        <v>175000</v>
      </c>
      <c r="C50" s="241">
        <f>'12ME Jun18 Cal Bill Freq'!C108</f>
        <v>175000</v>
      </c>
      <c r="D50" s="241">
        <f>'12ME Jun18 Cal Bill Freq'!D108</f>
        <v>175000</v>
      </c>
      <c r="E50" s="241">
        <f>'12ME Jun18 Cal Bill Freq'!E108</f>
        <v>175000</v>
      </c>
      <c r="F50" s="241">
        <f>'12ME Jun18 Cal Bill Freq'!F108</f>
        <v>175000</v>
      </c>
      <c r="G50" s="241">
        <f>'12ME Jun18 Cal Bill Freq'!G108</f>
        <v>175000</v>
      </c>
      <c r="H50" s="241">
        <f>'12ME Jun18 Cal Bill Freq'!H108</f>
        <v>175000</v>
      </c>
      <c r="I50" s="241">
        <f>'12ME Jun18 Cal Bill Freq'!I108</f>
        <v>175000</v>
      </c>
      <c r="J50" s="241">
        <f>'12ME Jun18 Cal Bill Freq'!J108</f>
        <v>175000</v>
      </c>
      <c r="K50" s="241">
        <f>'12ME Jun18 Cal Bill Freq'!K108</f>
        <v>175000</v>
      </c>
      <c r="L50" s="241">
        <f>'12ME Jun18 Cal Bill Freq'!L108</f>
        <v>175000</v>
      </c>
      <c r="M50" s="241">
        <f>'12ME Jun18 Cal Bill Freq'!M108</f>
        <v>175000</v>
      </c>
      <c r="O50" s="137" t="s">
        <v>94</v>
      </c>
      <c r="P50" s="207">
        <f t="shared" ref="P50:AA52" si="14">B88+B94</f>
        <v>90399.523000000001</v>
      </c>
      <c r="Q50" s="207">
        <f t="shared" si="14"/>
        <v>87177.735000000001</v>
      </c>
      <c r="R50" s="207">
        <f t="shared" si="14"/>
        <v>129215.466</v>
      </c>
      <c r="S50" s="207">
        <f t="shared" si="14"/>
        <v>198938.24600000001</v>
      </c>
      <c r="T50" s="207">
        <f t="shared" si="14"/>
        <v>205507.77100000001</v>
      </c>
      <c r="U50" s="207">
        <f t="shared" si="14"/>
        <v>214397.20699999999</v>
      </c>
      <c r="V50" s="207">
        <f t="shared" si="14"/>
        <v>214075.91</v>
      </c>
      <c r="W50" s="207">
        <f t="shared" si="14"/>
        <v>197196.86900000001</v>
      </c>
      <c r="X50" s="207">
        <f t="shared" si="14"/>
        <v>221515.51699999999</v>
      </c>
      <c r="Y50" s="207">
        <f t="shared" si="14"/>
        <v>209204.679</v>
      </c>
      <c r="Z50" s="207">
        <f t="shared" si="14"/>
        <v>167622.016</v>
      </c>
      <c r="AA50" s="207">
        <f t="shared" si="14"/>
        <v>125135.076</v>
      </c>
      <c r="AB50" s="207">
        <f t="shared" si="2"/>
        <v>2060386.0149999997</v>
      </c>
    </row>
    <row r="51" spans="1:28" x14ac:dyDescent="0.2">
      <c r="A51" s="137" t="s">
        <v>89</v>
      </c>
      <c r="B51" s="241">
        <f>'12ME Jun18 Cal Bill Freq'!B109</f>
        <v>175000</v>
      </c>
      <c r="C51" s="241">
        <f>'12ME Jun18 Cal Bill Freq'!C109</f>
        <v>175000</v>
      </c>
      <c r="D51" s="241">
        <f>'12ME Jun18 Cal Bill Freq'!D109</f>
        <v>175000</v>
      </c>
      <c r="E51" s="241">
        <f>'12ME Jun18 Cal Bill Freq'!E109</f>
        <v>175000</v>
      </c>
      <c r="F51" s="241">
        <f>'12ME Jun18 Cal Bill Freq'!F109</f>
        <v>175000</v>
      </c>
      <c r="G51" s="241">
        <f>'12ME Jun18 Cal Bill Freq'!G109</f>
        <v>175000</v>
      </c>
      <c r="H51" s="241">
        <f>'12ME Jun18 Cal Bill Freq'!H109</f>
        <v>175000</v>
      </c>
      <c r="I51" s="241">
        <f>'12ME Jun18 Cal Bill Freq'!I109</f>
        <v>175000</v>
      </c>
      <c r="J51" s="241">
        <f>'12ME Jun18 Cal Bill Freq'!J109</f>
        <v>175000</v>
      </c>
      <c r="K51" s="241">
        <f>'12ME Jun18 Cal Bill Freq'!K109</f>
        <v>175000</v>
      </c>
      <c r="L51" s="241">
        <f>'12ME Jun18 Cal Bill Freq'!L109</f>
        <v>175000</v>
      </c>
      <c r="M51" s="241">
        <f>'12ME Jun18 Cal Bill Freq'!M109</f>
        <v>175000</v>
      </c>
      <c r="O51" s="137" t="s">
        <v>172</v>
      </c>
      <c r="P51" s="207">
        <f t="shared" si="14"/>
        <v>125397.75199999998</v>
      </c>
      <c r="Q51" s="207">
        <f t="shared" si="14"/>
        <v>112865.526</v>
      </c>
      <c r="R51" s="207">
        <f t="shared" si="14"/>
        <v>250545.55100000001</v>
      </c>
      <c r="S51" s="207">
        <f t="shared" si="14"/>
        <v>617303.34200000006</v>
      </c>
      <c r="T51" s="207">
        <f t="shared" si="14"/>
        <v>843319.46600000001</v>
      </c>
      <c r="U51" s="207">
        <f t="shared" si="14"/>
        <v>1086625.1459999999</v>
      </c>
      <c r="V51" s="207">
        <f t="shared" si="14"/>
        <v>1062351.7660000001</v>
      </c>
      <c r="W51" s="207">
        <f t="shared" si="14"/>
        <v>871265.40000000014</v>
      </c>
      <c r="X51" s="207">
        <f t="shared" si="14"/>
        <v>906108.10200000007</v>
      </c>
      <c r="Y51" s="207">
        <f t="shared" si="14"/>
        <v>659063.97600000014</v>
      </c>
      <c r="Z51" s="207">
        <f t="shared" si="14"/>
        <v>320748.92300000001</v>
      </c>
      <c r="AA51" s="207">
        <f t="shared" si="14"/>
        <v>191287.57700000002</v>
      </c>
      <c r="AB51" s="207">
        <f t="shared" si="2"/>
        <v>7046882.5269999998</v>
      </c>
    </row>
    <row r="52" spans="1:28" x14ac:dyDescent="0.2">
      <c r="A52" s="137" t="s">
        <v>99</v>
      </c>
      <c r="B52" s="241">
        <f>'12ME Jun18 Cal Bill Freq'!B110</f>
        <v>350000</v>
      </c>
      <c r="C52" s="241">
        <f>'12ME Jun18 Cal Bill Freq'!C110</f>
        <v>350000</v>
      </c>
      <c r="D52" s="241">
        <f>'12ME Jun18 Cal Bill Freq'!D110</f>
        <v>350000</v>
      </c>
      <c r="E52" s="241">
        <f>'12ME Jun18 Cal Bill Freq'!E110</f>
        <v>350000</v>
      </c>
      <c r="F52" s="241">
        <f>'12ME Jun18 Cal Bill Freq'!F110</f>
        <v>350000</v>
      </c>
      <c r="G52" s="241">
        <f>'12ME Jun18 Cal Bill Freq'!G110</f>
        <v>350000</v>
      </c>
      <c r="H52" s="241">
        <f>'12ME Jun18 Cal Bill Freq'!H110</f>
        <v>350000</v>
      </c>
      <c r="I52" s="241">
        <f>'12ME Jun18 Cal Bill Freq'!I110</f>
        <v>350000</v>
      </c>
      <c r="J52" s="241">
        <f>'12ME Jun18 Cal Bill Freq'!J110</f>
        <v>350000</v>
      </c>
      <c r="K52" s="241">
        <f>'12ME Jun18 Cal Bill Freq'!K110</f>
        <v>350000</v>
      </c>
      <c r="L52" s="241">
        <f>'12ME Jun18 Cal Bill Freq'!L110</f>
        <v>350000</v>
      </c>
      <c r="M52" s="241">
        <f>'12ME Jun18 Cal Bill Freq'!M110</f>
        <v>350000</v>
      </c>
      <c r="O52" s="137" t="s">
        <v>6</v>
      </c>
      <c r="P52" s="207">
        <f t="shared" si="14"/>
        <v>215797.27499999999</v>
      </c>
      <c r="Q52" s="207">
        <f t="shared" si="14"/>
        <v>200043.261</v>
      </c>
      <c r="R52" s="207">
        <f t="shared" si="14"/>
        <v>379761.01699999999</v>
      </c>
      <c r="S52" s="207">
        <f t="shared" si="14"/>
        <v>816241.58800000011</v>
      </c>
      <c r="T52" s="207">
        <f t="shared" si="14"/>
        <v>1048827.237</v>
      </c>
      <c r="U52" s="207">
        <f t="shared" si="14"/>
        <v>1301022.3529999999</v>
      </c>
      <c r="V52" s="207">
        <f t="shared" si="14"/>
        <v>1276427.676</v>
      </c>
      <c r="W52" s="207">
        <f t="shared" si="14"/>
        <v>1068462.2690000001</v>
      </c>
      <c r="X52" s="207">
        <f t="shared" si="14"/>
        <v>1127623.6189999999</v>
      </c>
      <c r="Y52" s="207">
        <f t="shared" si="14"/>
        <v>868268.65500000014</v>
      </c>
      <c r="Z52" s="207">
        <f t="shared" si="14"/>
        <v>488370.93900000007</v>
      </c>
      <c r="AA52" s="207">
        <f t="shared" si="14"/>
        <v>316422.65299999999</v>
      </c>
      <c r="AB52" s="207">
        <f t="shared" si="2"/>
        <v>9107268.5420000013</v>
      </c>
    </row>
    <row r="53" spans="1:28" x14ac:dyDescent="0.2">
      <c r="A53" s="137" t="s">
        <v>100</v>
      </c>
      <c r="B53" s="241">
        <f>'12ME Jun18 Cal Bill Freq'!B111</f>
        <v>700000</v>
      </c>
      <c r="C53" s="241">
        <f>'12ME Jun18 Cal Bill Freq'!C111</f>
        <v>700000</v>
      </c>
      <c r="D53" s="241">
        <f>'12ME Jun18 Cal Bill Freq'!D111</f>
        <v>700000</v>
      </c>
      <c r="E53" s="241">
        <f>'12ME Jun18 Cal Bill Freq'!E111</f>
        <v>700000</v>
      </c>
      <c r="F53" s="241">
        <f>'12ME Jun18 Cal Bill Freq'!F111</f>
        <v>700000</v>
      </c>
      <c r="G53" s="241">
        <f>'12ME Jun18 Cal Bill Freq'!G111</f>
        <v>700000</v>
      </c>
      <c r="H53" s="241">
        <f>'12ME Jun18 Cal Bill Freq'!H111</f>
        <v>700000</v>
      </c>
      <c r="I53" s="241">
        <f>'12ME Jun18 Cal Bill Freq'!I111</f>
        <v>700000</v>
      </c>
      <c r="J53" s="241">
        <f>'12ME Jun18 Cal Bill Freq'!J111</f>
        <v>700000</v>
      </c>
      <c r="K53" s="241">
        <f>'12ME Jun18 Cal Bill Freq'!K111</f>
        <v>700000</v>
      </c>
      <c r="L53" s="241">
        <f>'12ME Jun18 Cal Bill Freq'!L111</f>
        <v>700000</v>
      </c>
      <c r="M53" s="241">
        <f>'12ME Jun18 Cal Bill Freq'!M111</f>
        <v>700000</v>
      </c>
      <c r="O53" s="137" t="s">
        <v>49</v>
      </c>
      <c r="AB53" s="207"/>
    </row>
    <row r="54" spans="1:28" x14ac:dyDescent="0.2">
      <c r="A54" s="137" t="s">
        <v>101</v>
      </c>
      <c r="B54" s="241">
        <f>'12ME Jun18 Cal Bill Freq'!B112</f>
        <v>1847549.08</v>
      </c>
      <c r="C54" s="241">
        <f>'12ME Jun18 Cal Bill Freq'!C112</f>
        <v>1847484.84</v>
      </c>
      <c r="D54" s="241">
        <f>'12ME Jun18 Cal Bill Freq'!D112</f>
        <v>1807222.67</v>
      </c>
      <c r="E54" s="241">
        <f>'12ME Jun18 Cal Bill Freq'!E112</f>
        <v>1852951.76</v>
      </c>
      <c r="F54" s="241">
        <f>'12ME Jun18 Cal Bill Freq'!F112</f>
        <v>1687800.15</v>
      </c>
      <c r="G54" s="241">
        <f>'12ME Jun18 Cal Bill Freq'!G112</f>
        <v>1869013.47</v>
      </c>
      <c r="H54" s="241">
        <f>'12ME Jun18 Cal Bill Freq'!H112</f>
        <v>1870856.82</v>
      </c>
      <c r="I54" s="241">
        <f>'12ME Jun18 Cal Bill Freq'!I112</f>
        <v>1835996.53</v>
      </c>
      <c r="J54" s="241">
        <f>'12ME Jun18 Cal Bill Freq'!J112</f>
        <v>1852529.04</v>
      </c>
      <c r="K54" s="241">
        <f>'12ME Jun18 Cal Bill Freq'!K112</f>
        <v>1849111.29</v>
      </c>
      <c r="L54" s="241">
        <f>'12ME Jun18 Cal Bill Freq'!L112</f>
        <v>1838962.32</v>
      </c>
      <c r="M54" s="241">
        <f>'12ME Jun18 Cal Bill Freq'!M112</f>
        <v>1829849.35</v>
      </c>
      <c r="O54" s="137"/>
      <c r="AB54" s="207"/>
    </row>
    <row r="55" spans="1:28" x14ac:dyDescent="0.2">
      <c r="A55" s="137" t="s">
        <v>174</v>
      </c>
      <c r="B55" s="207">
        <f>B56-SUM(B50:B54)</f>
        <v>4350747.05</v>
      </c>
      <c r="C55" s="207">
        <f t="shared" ref="C55:M55" si="15">C56-SUM(C50:C54)</f>
        <v>4487450.4800000004</v>
      </c>
      <c r="D55" s="207">
        <f t="shared" si="15"/>
        <v>4157595.49</v>
      </c>
      <c r="E55" s="207">
        <f t="shared" si="15"/>
        <v>4192031.6400000006</v>
      </c>
      <c r="F55" s="207">
        <f t="shared" si="15"/>
        <v>3179512.3300000005</v>
      </c>
      <c r="G55" s="207">
        <f t="shared" si="15"/>
        <v>4497983.88</v>
      </c>
      <c r="H55" s="207">
        <f t="shared" si="15"/>
        <v>3046424.83</v>
      </c>
      <c r="I55" s="207">
        <f t="shared" si="15"/>
        <v>3670249.91</v>
      </c>
      <c r="J55" s="207">
        <f t="shared" si="15"/>
        <v>4432642.47</v>
      </c>
      <c r="K55" s="207">
        <f t="shared" si="15"/>
        <v>3366516.3099999996</v>
      </c>
      <c r="L55" s="207">
        <f t="shared" si="15"/>
        <v>3714551.6899999995</v>
      </c>
      <c r="M55" s="207">
        <f t="shared" si="15"/>
        <v>3252523.85</v>
      </c>
      <c r="O55" s="218" t="s">
        <v>189</v>
      </c>
      <c r="AB55" s="207"/>
    </row>
    <row r="56" spans="1:28" ht="15" x14ac:dyDescent="0.25">
      <c r="A56" s="137" t="s">
        <v>6</v>
      </c>
      <c r="B56" s="242">
        <f>'12ME Jun18 Weather Adj'!D194</f>
        <v>7598296.1299999999</v>
      </c>
      <c r="C56" s="242">
        <f>'12ME Jun18 Weather Adj'!E194</f>
        <v>7734935.3200000003</v>
      </c>
      <c r="D56" s="242">
        <f>'12ME Jun18 Weather Adj'!F194</f>
        <v>7364818.1600000001</v>
      </c>
      <c r="E56" s="242">
        <f>'12ME Jun18 Weather Adj'!G194</f>
        <v>7444983.4000000004</v>
      </c>
      <c r="F56" s="242">
        <f>'12ME Jun18 Weather Adj'!H194</f>
        <v>6267312.4800000004</v>
      </c>
      <c r="G56" s="242">
        <f>'12ME Jun18 Weather Adj'!I194</f>
        <v>7766997.3499999996</v>
      </c>
      <c r="H56" s="242">
        <f>'12ME Jun18 Weather Adj'!J194</f>
        <v>6317281.6500000004</v>
      </c>
      <c r="I56" s="242">
        <f>'12ME Jun18 Weather Adj'!K194</f>
        <v>6906246.4400000004</v>
      </c>
      <c r="J56" s="242">
        <f>'12ME Jun18 Weather Adj'!L194</f>
        <v>7685171.5099999998</v>
      </c>
      <c r="K56" s="242">
        <f>'12ME Jun18 Weather Adj'!M194</f>
        <v>6615627.5999999996</v>
      </c>
      <c r="L56" s="242">
        <f>'12ME Jun18 Weather Adj'!N194</f>
        <v>6953514.0099999998</v>
      </c>
      <c r="M56" s="242">
        <f>'12ME Jun18 Weather Adj'!O194</f>
        <v>6482373.2000000002</v>
      </c>
      <c r="O56" s="137" t="s">
        <v>88</v>
      </c>
      <c r="P56" s="207">
        <f t="shared" ref="P56:AA62" si="16">B100+B110</f>
        <v>125326.542</v>
      </c>
      <c r="Q56" s="207">
        <f t="shared" si="16"/>
        <v>129371.92</v>
      </c>
      <c r="R56" s="207">
        <f t="shared" si="16"/>
        <v>122529.114</v>
      </c>
      <c r="S56" s="207">
        <f t="shared" si="16"/>
        <v>124392</v>
      </c>
      <c r="T56" s="207">
        <f t="shared" si="16"/>
        <v>127709.428</v>
      </c>
      <c r="U56" s="207">
        <f t="shared" si="16"/>
        <v>128095.38800000001</v>
      </c>
      <c r="V56" s="207">
        <f t="shared" si="16"/>
        <v>126044.556</v>
      </c>
      <c r="W56" s="207">
        <f t="shared" si="16"/>
        <v>121455.628</v>
      </c>
      <c r="X56" s="207">
        <f t="shared" si="16"/>
        <v>125000</v>
      </c>
      <c r="Y56" s="207">
        <f t="shared" si="16"/>
        <v>124138</v>
      </c>
      <c r="Z56" s="207">
        <f t="shared" si="16"/>
        <v>127528.666</v>
      </c>
      <c r="AA56" s="207">
        <f t="shared" si="16"/>
        <v>121720.43</v>
      </c>
      <c r="AB56" s="207">
        <f t="shared" si="2"/>
        <v>1503311.6719999998</v>
      </c>
    </row>
    <row r="57" spans="1:28" ht="15" x14ac:dyDescent="0.25">
      <c r="A57" s="137"/>
      <c r="B57" s="208"/>
      <c r="C57" s="208"/>
      <c r="D57" s="208"/>
      <c r="E57" s="208"/>
      <c r="F57" s="208"/>
      <c r="G57" s="208"/>
      <c r="H57" s="208"/>
      <c r="I57" s="208"/>
      <c r="J57" s="208"/>
      <c r="K57" s="208"/>
      <c r="L57" s="208"/>
      <c r="M57" s="208"/>
      <c r="O57" s="137" t="s">
        <v>89</v>
      </c>
      <c r="P57" s="207">
        <f t="shared" si="16"/>
        <v>114592.44500000001</v>
      </c>
      <c r="Q57" s="207">
        <f t="shared" si="16"/>
        <v>109307.538</v>
      </c>
      <c r="R57" s="207">
        <f t="shared" si="16"/>
        <v>114463.791</v>
      </c>
      <c r="S57" s="207">
        <f t="shared" si="16"/>
        <v>124390</v>
      </c>
      <c r="T57" s="207">
        <f t="shared" si="16"/>
        <v>127709.428</v>
      </c>
      <c r="U57" s="207">
        <f t="shared" si="16"/>
        <v>128094.939</v>
      </c>
      <c r="V57" s="207">
        <f t="shared" si="16"/>
        <v>126044.005</v>
      </c>
      <c r="W57" s="207">
        <f t="shared" si="16"/>
        <v>121455.628</v>
      </c>
      <c r="X57" s="207">
        <f t="shared" si="16"/>
        <v>125000</v>
      </c>
      <c r="Y57" s="207">
        <f t="shared" si="16"/>
        <v>124138</v>
      </c>
      <c r="Z57" s="207">
        <f t="shared" si="16"/>
        <v>127528.666</v>
      </c>
      <c r="AA57" s="207">
        <f t="shared" si="16"/>
        <v>112863.99</v>
      </c>
      <c r="AB57" s="207">
        <f t="shared" si="2"/>
        <v>1455588.43</v>
      </c>
    </row>
    <row r="58" spans="1:28" x14ac:dyDescent="0.2">
      <c r="B58" s="207"/>
      <c r="C58" s="207"/>
      <c r="D58" s="207"/>
      <c r="E58" s="207"/>
      <c r="F58" s="207"/>
      <c r="G58" s="207"/>
      <c r="H58" s="207"/>
      <c r="I58" s="207"/>
      <c r="J58" s="207"/>
      <c r="K58" s="207"/>
      <c r="L58" s="207"/>
      <c r="M58" s="207"/>
      <c r="O58" s="137" t="s">
        <v>99</v>
      </c>
      <c r="P58" s="207">
        <f t="shared" si="16"/>
        <v>180356.14300000001</v>
      </c>
      <c r="Q58" s="207">
        <f t="shared" si="16"/>
        <v>176480.61199999999</v>
      </c>
      <c r="R58" s="207">
        <f t="shared" si="16"/>
        <v>173372.95800000001</v>
      </c>
      <c r="S58" s="207">
        <f t="shared" si="16"/>
        <v>232697.61600000001</v>
      </c>
      <c r="T58" s="207">
        <f t="shared" si="16"/>
        <v>255418.85800000001</v>
      </c>
      <c r="U58" s="207">
        <f t="shared" si="16"/>
        <v>256190.77499999999</v>
      </c>
      <c r="V58" s="207">
        <f t="shared" si="16"/>
        <v>252089.111</v>
      </c>
      <c r="W58" s="207">
        <f t="shared" si="16"/>
        <v>242911.25599999999</v>
      </c>
      <c r="X58" s="207">
        <f t="shared" si="16"/>
        <v>250000</v>
      </c>
      <c r="Y58" s="207">
        <f t="shared" si="16"/>
        <v>248276</v>
      </c>
      <c r="Z58" s="207">
        <f t="shared" si="16"/>
        <v>197462.139</v>
      </c>
      <c r="AA58" s="207">
        <f t="shared" si="16"/>
        <v>175211.476</v>
      </c>
      <c r="AB58" s="207">
        <f t="shared" si="2"/>
        <v>2640466.9439999997</v>
      </c>
    </row>
    <row r="59" spans="1:28" ht="15" x14ac:dyDescent="0.25">
      <c r="A59" s="142" t="s">
        <v>176</v>
      </c>
      <c r="B59" s="208"/>
      <c r="C59" s="208"/>
      <c r="D59" s="208"/>
      <c r="E59" s="208"/>
      <c r="F59" s="208"/>
      <c r="G59" s="208"/>
      <c r="H59" s="208"/>
      <c r="I59" s="208"/>
      <c r="J59" s="208"/>
      <c r="K59" s="208"/>
      <c r="L59" s="208"/>
      <c r="M59" s="208"/>
      <c r="O59" s="137" t="s">
        <v>100</v>
      </c>
      <c r="P59" s="207">
        <f t="shared" si="16"/>
        <v>114768.774</v>
      </c>
      <c r="Q59" s="207">
        <f t="shared" si="16"/>
        <v>103785.11</v>
      </c>
      <c r="R59" s="207">
        <f t="shared" si="16"/>
        <v>126069.992</v>
      </c>
      <c r="S59" s="207">
        <f t="shared" si="16"/>
        <v>242950.46100000001</v>
      </c>
      <c r="T59" s="207">
        <f t="shared" si="16"/>
        <v>336625.147</v>
      </c>
      <c r="U59" s="207">
        <f t="shared" si="16"/>
        <v>422860.33600000001</v>
      </c>
      <c r="V59" s="207">
        <f t="shared" si="16"/>
        <v>394483.83799999999</v>
      </c>
      <c r="W59" s="207">
        <f t="shared" si="16"/>
        <v>439683.32199999999</v>
      </c>
      <c r="X59" s="207">
        <f t="shared" si="16"/>
        <v>443482.08899999998</v>
      </c>
      <c r="Y59" s="207">
        <f t="shared" si="16"/>
        <v>318372.07799999998</v>
      </c>
      <c r="Z59" s="207">
        <f t="shared" si="16"/>
        <v>167686.50099999999</v>
      </c>
      <c r="AA59" s="207">
        <f t="shared" si="16"/>
        <v>115520.219</v>
      </c>
      <c r="AB59" s="207">
        <f t="shared" si="2"/>
        <v>3226287.8670000001</v>
      </c>
    </row>
    <row r="60" spans="1:28" x14ac:dyDescent="0.2">
      <c r="A60" s="137" t="s">
        <v>177</v>
      </c>
      <c r="B60" s="241">
        <f>'12ME Jun18 Cal Bill Freq'!B5</f>
        <v>886832.65700000001</v>
      </c>
      <c r="C60" s="241">
        <f>'12ME Jun18 Cal Bill Freq'!C5</f>
        <v>884440.07</v>
      </c>
      <c r="D60" s="241">
        <f>'12ME Jun18 Cal Bill Freq'!D5</f>
        <v>973850.66299999994</v>
      </c>
      <c r="E60" s="241">
        <f>'12ME Jun18 Cal Bill Freq'!E5</f>
        <v>1142376.115</v>
      </c>
      <c r="F60" s="241">
        <f>'12ME Jun18 Cal Bill Freq'!F5</f>
        <v>1109547.08</v>
      </c>
      <c r="G60" s="241">
        <f>'12ME Jun18 Cal Bill Freq'!G5</f>
        <v>1160802.577</v>
      </c>
      <c r="H60" s="241">
        <f>'12ME Jun18 Cal Bill Freq'!H5</f>
        <v>1157860.787</v>
      </c>
      <c r="I60" s="241">
        <f>'12ME Jun18 Cal Bill Freq'!I5</f>
        <v>1062897.169</v>
      </c>
      <c r="J60" s="241">
        <f>'12ME Jun18 Cal Bill Freq'!J5</f>
        <v>1190628.3959999999</v>
      </c>
      <c r="K60" s="241">
        <f>'12ME Jun18 Cal Bill Freq'!K5</f>
        <v>1151326.18</v>
      </c>
      <c r="L60" s="241">
        <f>'12ME Jun18 Cal Bill Freq'!L5</f>
        <v>1069778.638</v>
      </c>
      <c r="M60" s="241">
        <f>'12ME Jun18 Cal Bill Freq'!M5</f>
        <v>624301.44700000004</v>
      </c>
      <c r="O60" s="137" t="s">
        <v>101</v>
      </c>
      <c r="P60" s="207">
        <f t="shared" si="16"/>
        <v>300000</v>
      </c>
      <c r="Q60" s="207">
        <f t="shared" si="16"/>
        <v>300000</v>
      </c>
      <c r="R60" s="207">
        <f t="shared" si="16"/>
        <v>300000</v>
      </c>
      <c r="S60" s="207">
        <f t="shared" si="16"/>
        <v>300000</v>
      </c>
      <c r="T60" s="207">
        <f t="shared" si="16"/>
        <v>331027.71000000002</v>
      </c>
      <c r="U60" s="207">
        <f t="shared" si="16"/>
        <v>360007.41399999999</v>
      </c>
      <c r="V60" s="207">
        <f t="shared" si="16"/>
        <v>336549.57699999999</v>
      </c>
      <c r="W60" s="207">
        <f t="shared" si="16"/>
        <v>311044.71799999999</v>
      </c>
      <c r="X60" s="207">
        <f t="shared" si="16"/>
        <v>310532.62800000003</v>
      </c>
      <c r="Y60" s="207">
        <f t="shared" si="16"/>
        <v>310431.10800000001</v>
      </c>
      <c r="Z60" s="207">
        <f t="shared" si="16"/>
        <v>300000</v>
      </c>
      <c r="AA60" s="207">
        <f t="shared" si="16"/>
        <v>300000</v>
      </c>
      <c r="AB60" s="207">
        <f t="shared" si="2"/>
        <v>3759593.1549999998</v>
      </c>
    </row>
    <row r="61" spans="1:28" x14ac:dyDescent="0.2">
      <c r="A61" s="137" t="s">
        <v>165</v>
      </c>
      <c r="B61" s="241">
        <f>'12ME Jun18 Cal Bill Freq'!B6</f>
        <v>1083303.8770000001</v>
      </c>
      <c r="C61" s="241">
        <f>'12ME Jun18 Cal Bill Freq'!C6</f>
        <v>1035590.325</v>
      </c>
      <c r="D61" s="241">
        <f>'12ME Jun18 Cal Bill Freq'!D6</f>
        <v>1324279.4210000001</v>
      </c>
      <c r="E61" s="241">
        <f>'12ME Jun18 Cal Bill Freq'!E6</f>
        <v>2293452.0189999999</v>
      </c>
      <c r="F61" s="241">
        <f>'12ME Jun18 Cal Bill Freq'!F6</f>
        <v>2912216.0520000001</v>
      </c>
      <c r="G61" s="241">
        <f>'12ME Jun18 Cal Bill Freq'!G6</f>
        <v>3410283.6340000001</v>
      </c>
      <c r="H61" s="241">
        <f>'12ME Jun18 Cal Bill Freq'!H6</f>
        <v>3303141.4559999998</v>
      </c>
      <c r="I61" s="241">
        <f>'12ME Jun18 Cal Bill Freq'!I6</f>
        <v>3137631.9730000002</v>
      </c>
      <c r="J61" s="241">
        <f>'12ME Jun18 Cal Bill Freq'!J6</f>
        <v>3158401.8859999999</v>
      </c>
      <c r="K61" s="241">
        <f>'12ME Jun18 Cal Bill Freq'!K6</f>
        <v>2445650.395</v>
      </c>
      <c r="L61" s="241">
        <f>'12ME Jun18 Cal Bill Freq'!L6</f>
        <v>1621469.713</v>
      </c>
      <c r="M61" s="241">
        <f>'12ME Jun18 Cal Bill Freq'!M6</f>
        <v>790567.19799999997</v>
      </c>
      <c r="O61" s="137" t="s">
        <v>174</v>
      </c>
      <c r="P61" s="207">
        <f t="shared" si="16"/>
        <v>370119.2300000001</v>
      </c>
      <c r="Q61" s="207">
        <f t="shared" si="16"/>
        <v>372287.80000000005</v>
      </c>
      <c r="R61" s="207">
        <f t="shared" si="16"/>
        <v>461018.16999999993</v>
      </c>
      <c r="S61" s="207">
        <f t="shared" si="16"/>
        <v>932432.81999999983</v>
      </c>
      <c r="T61" s="207">
        <f t="shared" si="16"/>
        <v>1167560.7799999998</v>
      </c>
      <c r="U61" s="207">
        <f t="shared" si="16"/>
        <v>1522228.63</v>
      </c>
      <c r="V61" s="207">
        <f t="shared" si="16"/>
        <v>1346884.32</v>
      </c>
      <c r="W61" s="207">
        <f t="shared" si="16"/>
        <v>1217319.21</v>
      </c>
      <c r="X61" s="207">
        <f t="shared" si="16"/>
        <v>1178005.6599999999</v>
      </c>
      <c r="Y61" s="207">
        <f t="shared" si="16"/>
        <v>949314.73</v>
      </c>
      <c r="Z61" s="207">
        <f t="shared" si="16"/>
        <v>565504.23</v>
      </c>
      <c r="AA61" s="207">
        <f t="shared" si="16"/>
        <v>605234.98</v>
      </c>
      <c r="AB61" s="207">
        <f t="shared" ref="AB61:AB62" si="17">SUM(P61:AA61)</f>
        <v>10687910.560000001</v>
      </c>
    </row>
    <row r="62" spans="1:28" x14ac:dyDescent="0.2">
      <c r="A62" s="137" t="s">
        <v>166</v>
      </c>
      <c r="B62" s="207">
        <f>B63-SUM(B60:B61)</f>
        <v>466554.56999999983</v>
      </c>
      <c r="C62" s="207">
        <f t="shared" ref="C62:M62" si="18">C63-SUM(C60:C61)</f>
        <v>385023.02100000018</v>
      </c>
      <c r="D62" s="207">
        <f t="shared" si="18"/>
        <v>570645.81799999997</v>
      </c>
      <c r="E62" s="207">
        <f t="shared" si="18"/>
        <v>1008265.2690000003</v>
      </c>
      <c r="F62" s="207">
        <f t="shared" si="18"/>
        <v>1781232.83</v>
      </c>
      <c r="G62" s="207">
        <f t="shared" si="18"/>
        <v>2232703.0239999993</v>
      </c>
      <c r="H62" s="207">
        <f t="shared" si="18"/>
        <v>2753328.693</v>
      </c>
      <c r="I62" s="207">
        <f t="shared" si="18"/>
        <v>1792421.9410000006</v>
      </c>
      <c r="J62" s="207">
        <f t="shared" si="18"/>
        <v>1912575.4010000005</v>
      </c>
      <c r="K62" s="207">
        <f t="shared" si="18"/>
        <v>1329123.5959999999</v>
      </c>
      <c r="L62" s="207">
        <f t="shared" si="18"/>
        <v>1065385.1720000003</v>
      </c>
      <c r="M62" s="207">
        <f t="shared" si="18"/>
        <v>273617.25099999993</v>
      </c>
      <c r="O62" s="137" t="s">
        <v>6</v>
      </c>
      <c r="P62" s="207">
        <f t="shared" si="16"/>
        <v>1205163.1340000001</v>
      </c>
      <c r="Q62" s="207">
        <f t="shared" si="16"/>
        <v>1191232.98</v>
      </c>
      <c r="R62" s="207">
        <f t="shared" si="16"/>
        <v>1297454.0249999999</v>
      </c>
      <c r="S62" s="207">
        <f t="shared" si="16"/>
        <v>1956862.8969999999</v>
      </c>
      <c r="T62" s="207">
        <f t="shared" si="16"/>
        <v>2346051.3509999998</v>
      </c>
      <c r="U62" s="207">
        <f t="shared" si="16"/>
        <v>2817477.4819999998</v>
      </c>
      <c r="V62" s="207">
        <f t="shared" si="16"/>
        <v>2582095.4070000001</v>
      </c>
      <c r="W62" s="207">
        <f t="shared" si="16"/>
        <v>2453869.7620000001</v>
      </c>
      <c r="X62" s="207">
        <f t="shared" si="16"/>
        <v>2432020.3769999999</v>
      </c>
      <c r="Y62" s="207">
        <f t="shared" si="16"/>
        <v>2074669.916</v>
      </c>
      <c r="Z62" s="207">
        <f t="shared" si="16"/>
        <v>1485710.202</v>
      </c>
      <c r="AA62" s="207">
        <f t="shared" si="16"/>
        <v>1430551.095</v>
      </c>
      <c r="AB62" s="207">
        <f t="shared" si="17"/>
        <v>23273158.627999999</v>
      </c>
    </row>
    <row r="63" spans="1:28" ht="15" x14ac:dyDescent="0.25">
      <c r="A63" s="137" t="s">
        <v>6</v>
      </c>
      <c r="B63" s="242">
        <f>'12ME Jun18 Weather Adj'!D172</f>
        <v>2436691.1039999998</v>
      </c>
      <c r="C63" s="242">
        <f>'12ME Jun18 Weather Adj'!E172</f>
        <v>2305053.4160000002</v>
      </c>
      <c r="D63" s="242">
        <f>'12ME Jun18 Weather Adj'!F172</f>
        <v>2868775.9019999998</v>
      </c>
      <c r="E63" s="242">
        <f>'12ME Jun18 Weather Adj'!G172</f>
        <v>4444093.4029999999</v>
      </c>
      <c r="F63" s="242">
        <f>'12ME Jun18 Weather Adj'!H172</f>
        <v>5802995.9620000003</v>
      </c>
      <c r="G63" s="242">
        <f>'12ME Jun18 Weather Adj'!I172</f>
        <v>6803789.2349999994</v>
      </c>
      <c r="H63" s="242">
        <f>'12ME Jun18 Weather Adj'!J172</f>
        <v>7214330.9359999998</v>
      </c>
      <c r="I63" s="242">
        <f>'12ME Jun18 Weather Adj'!K172</f>
        <v>5992951.0830000006</v>
      </c>
      <c r="J63" s="242">
        <f>'12ME Jun18 Weather Adj'!L172</f>
        <v>6261605.6830000002</v>
      </c>
      <c r="K63" s="242">
        <f>'12ME Jun18 Weather Adj'!M172</f>
        <v>4926100.1710000001</v>
      </c>
      <c r="L63" s="242">
        <f>'12ME Jun18 Weather Adj'!N172</f>
        <v>3756633.523</v>
      </c>
      <c r="M63" s="242">
        <f>'12ME Jun18 Weather Adj'!O172</f>
        <v>1688485.8959999999</v>
      </c>
      <c r="O63" s="137" t="s">
        <v>49</v>
      </c>
    </row>
    <row r="64" spans="1:28" ht="15" x14ac:dyDescent="0.25">
      <c r="A64" s="137"/>
      <c r="B64" s="208"/>
      <c r="C64" s="208"/>
      <c r="D64" s="208"/>
      <c r="E64" s="208"/>
      <c r="F64" s="208"/>
      <c r="G64" s="208"/>
      <c r="H64" s="208"/>
      <c r="I64" s="208"/>
      <c r="J64" s="208"/>
      <c r="K64" s="208"/>
      <c r="L64" s="208"/>
      <c r="M64" s="208"/>
      <c r="O64" s="137"/>
    </row>
    <row r="65" spans="1:27" ht="15" x14ac:dyDescent="0.25">
      <c r="A65" s="137"/>
      <c r="B65" s="208"/>
      <c r="C65" s="208"/>
      <c r="D65" s="208"/>
      <c r="E65" s="208"/>
      <c r="F65" s="208"/>
      <c r="G65" s="208"/>
      <c r="H65" s="208"/>
      <c r="I65" s="208"/>
      <c r="J65" s="208"/>
      <c r="K65" s="208"/>
      <c r="L65" s="208"/>
      <c r="M65" s="208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</row>
    <row r="66" spans="1:27" ht="15" x14ac:dyDescent="0.25">
      <c r="A66" s="142" t="s">
        <v>178</v>
      </c>
      <c r="B66" s="208"/>
      <c r="C66" s="208"/>
      <c r="D66" s="208"/>
      <c r="E66" s="208"/>
      <c r="F66" s="208"/>
      <c r="G66" s="208"/>
      <c r="H66" s="208"/>
      <c r="I66" s="208"/>
      <c r="J66" s="208"/>
      <c r="K66" s="208"/>
      <c r="L66" s="208"/>
      <c r="M66" s="208"/>
    </row>
    <row r="67" spans="1:27" x14ac:dyDescent="0.2">
      <c r="A67" s="137" t="s">
        <v>177</v>
      </c>
      <c r="B67" s="241">
        <f>'12ME Jun18 Cal Bill Freq'!B12</f>
        <v>66455.850999999995</v>
      </c>
      <c r="C67" s="241">
        <f>'12ME Jun18 Cal Bill Freq'!C12</f>
        <v>65810.383000000002</v>
      </c>
      <c r="D67" s="241">
        <f>'12ME Jun18 Cal Bill Freq'!D12</f>
        <v>65174.857000000004</v>
      </c>
      <c r="E67" s="241">
        <f>'12ME Jun18 Cal Bill Freq'!E12</f>
        <v>68991.076000000001</v>
      </c>
      <c r="F67" s="241">
        <f>'12ME Jun18 Cal Bill Freq'!F12</f>
        <v>65734.865000000005</v>
      </c>
      <c r="G67" s="241">
        <f>'12ME Jun18 Cal Bill Freq'!G12</f>
        <v>68226.277000000002</v>
      </c>
      <c r="H67" s="241">
        <f>'12ME Jun18 Cal Bill Freq'!H12</f>
        <v>65669.274000000005</v>
      </c>
      <c r="I67" s="241">
        <f>'12ME Jun18 Cal Bill Freq'!I12</f>
        <v>62094.766000000003</v>
      </c>
      <c r="J67" s="241">
        <f>'12ME Jun18 Cal Bill Freq'!J12</f>
        <v>67369.051000000007</v>
      </c>
      <c r="K67" s="241">
        <f>'12ME Jun18 Cal Bill Freq'!K12</f>
        <v>65894.456000000006</v>
      </c>
      <c r="L67" s="241">
        <f>'12ME Jun18 Cal Bill Freq'!L12</f>
        <v>64681.207000000002</v>
      </c>
      <c r="M67" s="241">
        <f>'12ME Jun18 Cal Bill Freq'!M12</f>
        <v>28021.076000000001</v>
      </c>
    </row>
    <row r="68" spans="1:27" x14ac:dyDescent="0.2">
      <c r="A68" s="137" t="s">
        <v>165</v>
      </c>
      <c r="B68" s="241">
        <f>'12ME Jun18 Cal Bill Freq'!B13</f>
        <v>206546.99400000001</v>
      </c>
      <c r="C68" s="241">
        <f>'12ME Jun18 Cal Bill Freq'!C13</f>
        <v>207953.351</v>
      </c>
      <c r="D68" s="241">
        <f>'12ME Jun18 Cal Bill Freq'!D13</f>
        <v>213176.33499999999</v>
      </c>
      <c r="E68" s="241">
        <f>'12ME Jun18 Cal Bill Freq'!E13</f>
        <v>248447.16800000001</v>
      </c>
      <c r="F68" s="241">
        <f>'12ME Jun18 Cal Bill Freq'!F13</f>
        <v>249445.00899999999</v>
      </c>
      <c r="G68" s="241">
        <f>'12ME Jun18 Cal Bill Freq'!G13</f>
        <v>260066.27799999999</v>
      </c>
      <c r="H68" s="241">
        <f>'12ME Jun18 Cal Bill Freq'!H13</f>
        <v>251095.27799999999</v>
      </c>
      <c r="I68" s="241">
        <f>'12ME Jun18 Cal Bill Freq'!I13</f>
        <v>239327.72</v>
      </c>
      <c r="J68" s="241">
        <f>'12ME Jun18 Cal Bill Freq'!J13</f>
        <v>254583.26</v>
      </c>
      <c r="K68" s="241">
        <f>'12ME Jun18 Cal Bill Freq'!K13</f>
        <v>240732.26</v>
      </c>
      <c r="L68" s="241">
        <f>'12ME Jun18 Cal Bill Freq'!L13</f>
        <v>216637.33</v>
      </c>
      <c r="M68" s="241">
        <f>'12ME Jun18 Cal Bill Freq'!M13</f>
        <v>81984.774000000005</v>
      </c>
    </row>
    <row r="69" spans="1:27" x14ac:dyDescent="0.2">
      <c r="A69" s="137" t="s">
        <v>166</v>
      </c>
      <c r="B69" s="207">
        <f>B70-SUM(B67:B68)</f>
        <v>442683.80099999998</v>
      </c>
      <c r="C69" s="207">
        <f t="shared" ref="C69:M69" si="19">C70-SUM(C67:C68)</f>
        <v>449558.81</v>
      </c>
      <c r="D69" s="207">
        <f t="shared" si="19"/>
        <v>443236.66699999996</v>
      </c>
      <c r="E69" s="207">
        <f t="shared" si="19"/>
        <v>576262.05900000012</v>
      </c>
      <c r="F69" s="207">
        <f t="shared" si="19"/>
        <v>587366.56000000006</v>
      </c>
      <c r="G69" s="207">
        <f t="shared" si="19"/>
        <v>638998.39800000004</v>
      </c>
      <c r="H69" s="207">
        <f t="shared" si="19"/>
        <v>668159.36899999995</v>
      </c>
      <c r="I69" s="207">
        <f t="shared" si="19"/>
        <v>579906.53700000001</v>
      </c>
      <c r="J69" s="207">
        <f t="shared" si="19"/>
        <v>599326.31599999999</v>
      </c>
      <c r="K69" s="207">
        <f t="shared" si="19"/>
        <v>513261.34400000004</v>
      </c>
      <c r="L69" s="207">
        <f t="shared" si="19"/>
        <v>443799.62199999997</v>
      </c>
      <c r="M69" s="207">
        <f t="shared" si="19"/>
        <v>98683.323999999993</v>
      </c>
    </row>
    <row r="70" spans="1:27" ht="15" x14ac:dyDescent="0.25">
      <c r="A70" s="137" t="s">
        <v>6</v>
      </c>
      <c r="B70" s="242">
        <f>'12ME Jun18 Weather Adj'!D181</f>
        <v>715686.64599999995</v>
      </c>
      <c r="C70" s="242">
        <f>'12ME Jun18 Weather Adj'!E181</f>
        <v>723322.54399999999</v>
      </c>
      <c r="D70" s="242">
        <f>'12ME Jun18 Weather Adj'!F181</f>
        <v>721587.85899999994</v>
      </c>
      <c r="E70" s="242">
        <f>'12ME Jun18 Weather Adj'!G181</f>
        <v>893700.30300000007</v>
      </c>
      <c r="F70" s="242">
        <f>'12ME Jun18 Weather Adj'!H181</f>
        <v>902546.43400000012</v>
      </c>
      <c r="G70" s="242">
        <f>'12ME Jun18 Weather Adj'!I181</f>
        <v>967290.95299999998</v>
      </c>
      <c r="H70" s="242">
        <f>'12ME Jun18 Weather Adj'!J181</f>
        <v>984923.92099999997</v>
      </c>
      <c r="I70" s="242">
        <f>'12ME Jun18 Weather Adj'!K181</f>
        <v>881329.02300000004</v>
      </c>
      <c r="J70" s="242">
        <f>'12ME Jun18 Weather Adj'!L181</f>
        <v>921278.62699999998</v>
      </c>
      <c r="K70" s="242">
        <f>'12ME Jun18 Weather Adj'!M181</f>
        <v>819888.06</v>
      </c>
      <c r="L70" s="242">
        <f>'12ME Jun18 Weather Adj'!N181</f>
        <v>725118.15899999999</v>
      </c>
      <c r="M70" s="242">
        <f>'12ME Jun18 Weather Adj'!O181</f>
        <v>208689.174</v>
      </c>
    </row>
    <row r="71" spans="1:27" ht="15" x14ac:dyDescent="0.25">
      <c r="A71" s="137"/>
      <c r="B71" s="208"/>
      <c r="C71" s="208"/>
      <c r="D71" s="208"/>
      <c r="E71" s="208"/>
      <c r="F71" s="208"/>
      <c r="G71" s="208"/>
      <c r="H71" s="208"/>
      <c r="I71" s="208"/>
      <c r="J71" s="208"/>
      <c r="K71" s="208"/>
      <c r="L71" s="208"/>
      <c r="M71" s="208"/>
    </row>
    <row r="72" spans="1:27" ht="15" x14ac:dyDescent="0.25">
      <c r="A72" s="137"/>
      <c r="B72" s="208"/>
      <c r="C72" s="208"/>
      <c r="D72" s="208"/>
      <c r="E72" s="208"/>
      <c r="F72" s="208"/>
      <c r="G72" s="208"/>
      <c r="H72" s="208"/>
      <c r="I72" s="208"/>
      <c r="J72" s="208"/>
      <c r="K72" s="208"/>
      <c r="L72" s="208"/>
      <c r="M72" s="208"/>
    </row>
    <row r="73" spans="1:27" ht="15" x14ac:dyDescent="0.25">
      <c r="A73" s="218" t="s">
        <v>179</v>
      </c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</row>
    <row r="74" spans="1:27" x14ac:dyDescent="0.2">
      <c r="A74" s="137" t="s">
        <v>88</v>
      </c>
      <c r="B74" s="241">
        <f>'12ME Jun18 Cal Bill Freq'!B33</f>
        <v>477465.83299999998</v>
      </c>
      <c r="C74" s="241">
        <f>'12ME Jun18 Cal Bill Freq'!C33</f>
        <v>455876.00099999999</v>
      </c>
      <c r="D74" s="241">
        <f>'12ME Jun18 Cal Bill Freq'!D33</f>
        <v>475597.31800000003</v>
      </c>
      <c r="E74" s="241">
        <f>'12ME Jun18 Cal Bill Freq'!E33</f>
        <v>585808.54399999999</v>
      </c>
      <c r="F74" s="241">
        <f>'12ME Jun18 Cal Bill Freq'!F33</f>
        <v>609730.79299999995</v>
      </c>
      <c r="G74" s="241">
        <f>'12ME Jun18 Cal Bill Freq'!G33</f>
        <v>627459.95499999996</v>
      </c>
      <c r="H74" s="241">
        <f>'12ME Jun18 Cal Bill Freq'!H33</f>
        <v>619196.05900000001</v>
      </c>
      <c r="I74" s="241">
        <f>'12ME Jun18 Cal Bill Freq'!I33</f>
        <v>596871.32700000005</v>
      </c>
      <c r="J74" s="241">
        <f>'12ME Jun18 Cal Bill Freq'!J33</f>
        <v>628194.80700000003</v>
      </c>
      <c r="K74" s="241">
        <f>'12ME Jun18 Cal Bill Freq'!K33</f>
        <v>590443.04700000002</v>
      </c>
      <c r="L74" s="241">
        <f>'12ME Jun18 Cal Bill Freq'!L33</f>
        <v>535177.755</v>
      </c>
      <c r="M74" s="241">
        <f>'12ME Jun18 Cal Bill Freq'!M33</f>
        <v>453570.95</v>
      </c>
    </row>
    <row r="75" spans="1:27" x14ac:dyDescent="0.2">
      <c r="A75" s="137" t="s">
        <v>89</v>
      </c>
      <c r="B75" s="241">
        <f>'12ME Jun18 Cal Bill Freq'!B34</f>
        <v>207016.51500000001</v>
      </c>
      <c r="C75" s="241">
        <f>'12ME Jun18 Cal Bill Freq'!C34</f>
        <v>190848.08100000001</v>
      </c>
      <c r="D75" s="241">
        <f>'12ME Jun18 Cal Bill Freq'!D34</f>
        <v>227262.685</v>
      </c>
      <c r="E75" s="241">
        <f>'12ME Jun18 Cal Bill Freq'!E34</f>
        <v>328943.587</v>
      </c>
      <c r="F75" s="241">
        <f>'12ME Jun18 Cal Bill Freq'!F34</f>
        <v>390519.83799999999</v>
      </c>
      <c r="G75" s="241">
        <f>'12ME Jun18 Cal Bill Freq'!G34</f>
        <v>478153.67599999998</v>
      </c>
      <c r="H75" s="241">
        <f>'12ME Jun18 Cal Bill Freq'!H34</f>
        <v>453670.63400000002</v>
      </c>
      <c r="I75" s="241">
        <f>'12ME Jun18 Cal Bill Freq'!I34</f>
        <v>395277.45</v>
      </c>
      <c r="J75" s="241">
        <f>'12ME Jun18 Cal Bill Freq'!J34</f>
        <v>414001.36099999998</v>
      </c>
      <c r="K75" s="241">
        <f>'12ME Jun18 Cal Bill Freq'!K34</f>
        <v>295900.73800000001</v>
      </c>
      <c r="L75" s="241">
        <f>'12ME Jun18 Cal Bill Freq'!L34</f>
        <v>251734.97399999999</v>
      </c>
      <c r="M75" s="241">
        <f>'12ME Jun18 Cal Bill Freq'!M34</f>
        <v>208698.899</v>
      </c>
    </row>
    <row r="76" spans="1:27" x14ac:dyDescent="0.2">
      <c r="A76" s="137" t="s">
        <v>169</v>
      </c>
      <c r="B76" s="207">
        <f>B77-SUM(B74:B75)</f>
        <v>33590.434000000008</v>
      </c>
      <c r="C76" s="207">
        <f t="shared" ref="C76:M76" si="20">C77-SUM(C74:C75)</f>
        <v>17665.422999999952</v>
      </c>
      <c r="D76" s="207">
        <f t="shared" si="20"/>
        <v>89193.548999999999</v>
      </c>
      <c r="E76" s="207">
        <f t="shared" si="20"/>
        <v>334825.20200000005</v>
      </c>
      <c r="F76" s="207">
        <f t="shared" si="20"/>
        <v>554231.34400000016</v>
      </c>
      <c r="G76" s="207">
        <f t="shared" si="20"/>
        <v>760828.57700000005</v>
      </c>
      <c r="H76" s="207">
        <f t="shared" si="20"/>
        <v>707958.24600000004</v>
      </c>
      <c r="I76" s="207">
        <f t="shared" si="20"/>
        <v>544230.76100000017</v>
      </c>
      <c r="J76" s="207">
        <f t="shared" si="20"/>
        <v>601794.96799999988</v>
      </c>
      <c r="K76" s="207">
        <f t="shared" si="20"/>
        <v>364419.35099999991</v>
      </c>
      <c r="L76" s="207">
        <f t="shared" si="20"/>
        <v>133322.15700000001</v>
      </c>
      <c r="M76" s="207">
        <f t="shared" si="20"/>
        <v>47470.895000000019</v>
      </c>
    </row>
    <row r="77" spans="1:27" ht="15" x14ac:dyDescent="0.25">
      <c r="A77" s="137" t="s">
        <v>6</v>
      </c>
      <c r="B77" s="242">
        <f>'12ME Jun18 Weather Adj'!D176</f>
        <v>718072.78200000001</v>
      </c>
      <c r="C77" s="242">
        <f>'12ME Jun18 Weather Adj'!E176</f>
        <v>664389.50499999989</v>
      </c>
      <c r="D77" s="242">
        <f>'12ME Jun18 Weather Adj'!F176</f>
        <v>792053.55200000003</v>
      </c>
      <c r="E77" s="242">
        <f>'12ME Jun18 Weather Adj'!G176</f>
        <v>1249577.3330000001</v>
      </c>
      <c r="F77" s="242">
        <f>'12ME Jun18 Weather Adj'!H176</f>
        <v>1554481.9750000001</v>
      </c>
      <c r="G77" s="242">
        <f>'12ME Jun18 Weather Adj'!I176</f>
        <v>1866442.2080000001</v>
      </c>
      <c r="H77" s="242">
        <f>'12ME Jun18 Weather Adj'!J176</f>
        <v>1780824.939</v>
      </c>
      <c r="I77" s="242">
        <f>'12ME Jun18 Weather Adj'!K176</f>
        <v>1536379.5380000002</v>
      </c>
      <c r="J77" s="242">
        <f>'12ME Jun18 Weather Adj'!L176</f>
        <v>1643991.1359999999</v>
      </c>
      <c r="K77" s="242">
        <f>'12ME Jun18 Weather Adj'!M176</f>
        <v>1250763.1359999999</v>
      </c>
      <c r="L77" s="242">
        <f>'12ME Jun18 Weather Adj'!N176</f>
        <v>920234.88600000006</v>
      </c>
      <c r="M77" s="242">
        <f>'12ME Jun18 Weather Adj'!O176</f>
        <v>709740.74400000006</v>
      </c>
    </row>
    <row r="78" spans="1:27" ht="15" x14ac:dyDescent="0.25">
      <c r="A78" s="137"/>
      <c r="B78" s="208"/>
      <c r="C78" s="208"/>
      <c r="D78" s="208"/>
      <c r="E78" s="208"/>
      <c r="F78" s="208"/>
      <c r="G78" s="208"/>
      <c r="H78" s="208"/>
      <c r="I78" s="208"/>
      <c r="J78" s="208"/>
      <c r="K78" s="208"/>
      <c r="L78" s="208"/>
      <c r="M78" s="208"/>
    </row>
    <row r="79" spans="1:27" ht="15" x14ac:dyDescent="0.25">
      <c r="A79" s="137"/>
      <c r="B79" s="208"/>
      <c r="C79" s="208"/>
      <c r="D79" s="208"/>
      <c r="E79" s="208"/>
      <c r="F79" s="208"/>
      <c r="G79" s="208"/>
      <c r="H79" s="208"/>
      <c r="I79" s="208"/>
      <c r="J79" s="208"/>
      <c r="K79" s="208"/>
      <c r="L79" s="208"/>
      <c r="M79" s="208"/>
    </row>
    <row r="80" spans="1:27" ht="15" x14ac:dyDescent="0.25">
      <c r="A80" s="218" t="s">
        <v>180</v>
      </c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</row>
    <row r="81" spans="1:13" x14ac:dyDescent="0.2">
      <c r="A81" s="137" t="s">
        <v>88</v>
      </c>
      <c r="B81" s="241">
        <f>'12ME Jun18 Cal Bill Freq'!B40</f>
        <v>92736.415999999997</v>
      </c>
      <c r="C81" s="241">
        <f>'12ME Jun18 Cal Bill Freq'!C40</f>
        <v>88705.854999999996</v>
      </c>
      <c r="D81" s="241">
        <f>'12ME Jun18 Cal Bill Freq'!D40</f>
        <v>88846.324999999997</v>
      </c>
      <c r="E81" s="241">
        <f>'12ME Jun18 Cal Bill Freq'!E40</f>
        <v>96948.638000000006</v>
      </c>
      <c r="F81" s="241">
        <f>'12ME Jun18 Cal Bill Freq'!F40</f>
        <v>99609.741999999998</v>
      </c>
      <c r="G81" s="241">
        <f>'12ME Jun18 Cal Bill Freq'!G40</f>
        <v>98942.221999999994</v>
      </c>
      <c r="H81" s="241">
        <f>'12ME Jun18 Cal Bill Freq'!H40</f>
        <v>100694.553</v>
      </c>
      <c r="I81" s="241">
        <f>'12ME Jun18 Cal Bill Freq'!I40</f>
        <v>95970.812999999995</v>
      </c>
      <c r="J81" s="241">
        <f>'12ME Jun18 Cal Bill Freq'!J40</f>
        <v>99781.682000000001</v>
      </c>
      <c r="K81" s="241">
        <f>'12ME Jun18 Cal Bill Freq'!K40</f>
        <v>100107.56</v>
      </c>
      <c r="L81" s="241">
        <f>'12ME Jun18 Cal Bill Freq'!L40</f>
        <v>91522.342999999993</v>
      </c>
      <c r="M81" s="241">
        <f>'12ME Jun18 Cal Bill Freq'!M40</f>
        <v>87325.294999999998</v>
      </c>
    </row>
    <row r="82" spans="1:13" x14ac:dyDescent="0.2">
      <c r="A82" s="137" t="s">
        <v>89</v>
      </c>
      <c r="B82" s="241">
        <f>'12ME Jun18 Cal Bill Freq'!B41</f>
        <v>25480.246999999999</v>
      </c>
      <c r="C82" s="241">
        <f>'12ME Jun18 Cal Bill Freq'!C41</f>
        <v>19372.763999999999</v>
      </c>
      <c r="D82" s="241">
        <f>'12ME Jun18 Cal Bill Freq'!D41</f>
        <v>28774.941999999999</v>
      </c>
      <c r="E82" s="241">
        <f>'12ME Jun18 Cal Bill Freq'!E41</f>
        <v>35709.906999999999</v>
      </c>
      <c r="F82" s="241">
        <f>'12ME Jun18 Cal Bill Freq'!F41</f>
        <v>45196.078000000001</v>
      </c>
      <c r="G82" s="241">
        <f>'12ME Jun18 Cal Bill Freq'!G41</f>
        <v>53216.502999999997</v>
      </c>
      <c r="H82" s="241">
        <f>'12ME Jun18 Cal Bill Freq'!H41</f>
        <v>47232.860999999997</v>
      </c>
      <c r="I82" s="241">
        <f>'12ME Jun18 Cal Bill Freq'!I41</f>
        <v>41418.798999999999</v>
      </c>
      <c r="J82" s="241">
        <f>'12ME Jun18 Cal Bill Freq'!J41</f>
        <v>37198.016000000003</v>
      </c>
      <c r="K82" s="241">
        <f>'12ME Jun18 Cal Bill Freq'!K41</f>
        <v>47052.500999999997</v>
      </c>
      <c r="L82" s="241">
        <f>'12ME Jun18 Cal Bill Freq'!L41</f>
        <v>35115.035000000003</v>
      </c>
      <c r="M82" s="241">
        <f>'12ME Jun18 Cal Bill Freq'!M41</f>
        <v>24692.401000000002</v>
      </c>
    </row>
    <row r="83" spans="1:13" x14ac:dyDescent="0.2">
      <c r="A83" s="137" t="s">
        <v>169</v>
      </c>
      <c r="B83" s="207">
        <f>B84-SUM(B81:B82)</f>
        <v>0</v>
      </c>
      <c r="C83" s="207">
        <f t="shared" ref="C83:M83" si="21">C84-SUM(C81:C82)</f>
        <v>0</v>
      </c>
      <c r="D83" s="207">
        <f t="shared" si="21"/>
        <v>0</v>
      </c>
      <c r="E83" s="207">
        <f t="shared" si="21"/>
        <v>0</v>
      </c>
      <c r="F83" s="207">
        <f t="shared" si="21"/>
        <v>5770.2039999999979</v>
      </c>
      <c r="G83" s="207">
        <f t="shared" si="21"/>
        <v>10783.439000000042</v>
      </c>
      <c r="H83" s="207">
        <f t="shared" si="21"/>
        <v>4855.9159999999974</v>
      </c>
      <c r="I83" s="207">
        <f t="shared" si="21"/>
        <v>6754.8839999999909</v>
      </c>
      <c r="J83" s="207">
        <f t="shared" si="21"/>
        <v>8416.9130000000005</v>
      </c>
      <c r="K83" s="207">
        <f t="shared" si="21"/>
        <v>2528.7159999999858</v>
      </c>
      <c r="L83" s="207">
        <f t="shared" si="21"/>
        <v>76.122000000003027</v>
      </c>
      <c r="M83" s="207">
        <f t="shared" si="21"/>
        <v>0</v>
      </c>
    </row>
    <row r="84" spans="1:13" ht="15" x14ac:dyDescent="0.25">
      <c r="A84" s="137" t="s">
        <v>6</v>
      </c>
      <c r="B84" s="242">
        <f>'12ME Jun18 Weather Adj'!D188</f>
        <v>118216.663</v>
      </c>
      <c r="C84" s="242">
        <f>'12ME Jun18 Weather Adj'!E188</f>
        <v>108078.61899999999</v>
      </c>
      <c r="D84" s="242">
        <f>'12ME Jun18 Weather Adj'!F188</f>
        <v>117621.26699999999</v>
      </c>
      <c r="E84" s="242">
        <f>'12ME Jun18 Weather Adj'!G188</f>
        <v>132658.54500000001</v>
      </c>
      <c r="F84" s="242">
        <f>'12ME Jun18 Weather Adj'!H188</f>
        <v>150576.024</v>
      </c>
      <c r="G84" s="242">
        <f>'12ME Jun18 Weather Adj'!I188</f>
        <v>162942.16400000002</v>
      </c>
      <c r="H84" s="242">
        <f>'12ME Jun18 Weather Adj'!J188</f>
        <v>152783.32999999999</v>
      </c>
      <c r="I84" s="242">
        <f>'12ME Jun18 Weather Adj'!K188</f>
        <v>144144.49599999998</v>
      </c>
      <c r="J84" s="242">
        <f>'12ME Jun18 Weather Adj'!L188</f>
        <v>145396.611</v>
      </c>
      <c r="K84" s="242">
        <f>'12ME Jun18 Weather Adj'!M188</f>
        <v>149688.77699999997</v>
      </c>
      <c r="L84" s="242">
        <f>'12ME Jun18 Weather Adj'!N188</f>
        <v>126713.5</v>
      </c>
      <c r="M84" s="242">
        <f>'12ME Jun18 Weather Adj'!O188</f>
        <v>112017.696</v>
      </c>
    </row>
    <row r="85" spans="1:13" ht="15" x14ac:dyDescent="0.25">
      <c r="A85" s="137"/>
      <c r="B85" s="208"/>
      <c r="C85" s="208"/>
      <c r="D85" s="208"/>
      <c r="E85" s="208"/>
      <c r="F85" s="208"/>
      <c r="G85" s="208"/>
      <c r="H85" s="208"/>
      <c r="I85" s="208"/>
      <c r="J85" s="208"/>
      <c r="K85" s="208"/>
      <c r="L85" s="208"/>
      <c r="M85" s="208"/>
    </row>
    <row r="86" spans="1:13" ht="15" x14ac:dyDescent="0.25">
      <c r="A86" s="137"/>
      <c r="B86" s="208"/>
      <c r="C86" s="208"/>
      <c r="D86" s="208"/>
      <c r="E86" s="208"/>
      <c r="F86" s="208"/>
      <c r="G86" s="208"/>
      <c r="H86" s="208"/>
      <c r="I86" s="208"/>
      <c r="J86" s="208"/>
      <c r="K86" s="208"/>
      <c r="L86" s="208"/>
      <c r="M86" s="208"/>
    </row>
    <row r="87" spans="1:13" ht="15" x14ac:dyDescent="0.25">
      <c r="A87" s="137" t="s">
        <v>181</v>
      </c>
      <c r="B87" s="208"/>
      <c r="C87" s="208"/>
      <c r="D87" s="208"/>
      <c r="E87" s="208"/>
      <c r="F87" s="208"/>
      <c r="G87" s="208"/>
      <c r="H87" s="208"/>
      <c r="I87" s="208"/>
      <c r="J87" s="208"/>
      <c r="K87" s="208"/>
      <c r="L87" s="208"/>
      <c r="M87" s="208"/>
    </row>
    <row r="88" spans="1:13" x14ac:dyDescent="0.2">
      <c r="A88" s="137" t="s">
        <v>94</v>
      </c>
      <c r="B88" s="241">
        <f>'12ME Jun18 Cal Bill Freq'!B61</f>
        <v>87597.444000000003</v>
      </c>
      <c r="C88" s="241">
        <f>'12ME Jun18 Cal Bill Freq'!C61</f>
        <v>84631.491999999998</v>
      </c>
      <c r="D88" s="241">
        <f>'12ME Jun18 Cal Bill Freq'!D61</f>
        <v>126225.602</v>
      </c>
      <c r="E88" s="241">
        <f>'12ME Jun18 Cal Bill Freq'!E61</f>
        <v>195108.80900000001</v>
      </c>
      <c r="F88" s="241">
        <f>'12ME Jun18 Cal Bill Freq'!F61</f>
        <v>201337.30300000001</v>
      </c>
      <c r="G88" s="241">
        <f>'12ME Jun18 Cal Bill Freq'!G61</f>
        <v>210305.31200000001</v>
      </c>
      <c r="H88" s="241">
        <f>'12ME Jun18 Cal Bill Freq'!H61</f>
        <v>210017.342</v>
      </c>
      <c r="I88" s="241">
        <f>'12ME Jun18 Cal Bill Freq'!I61</f>
        <v>192508.152</v>
      </c>
      <c r="J88" s="241">
        <f>'12ME Jun18 Cal Bill Freq'!J61</f>
        <v>216360.37599999999</v>
      </c>
      <c r="K88" s="241">
        <f>'12ME Jun18 Cal Bill Freq'!K61</f>
        <v>203989.42300000001</v>
      </c>
      <c r="L88" s="241">
        <f>'12ME Jun18 Cal Bill Freq'!L61</f>
        <v>163752.66</v>
      </c>
      <c r="M88" s="241">
        <f>'12ME Jun18 Cal Bill Freq'!M61</f>
        <v>121940.942</v>
      </c>
    </row>
    <row r="89" spans="1:13" x14ac:dyDescent="0.2">
      <c r="A89" s="137" t="s">
        <v>172</v>
      </c>
      <c r="B89" s="207">
        <f>B90-B88</f>
        <v>121149.11199999998</v>
      </c>
      <c r="C89" s="207">
        <f t="shared" ref="C89:M89" si="22">C90-C88</f>
        <v>108421.30499999999</v>
      </c>
      <c r="D89" s="207">
        <f t="shared" si="22"/>
        <v>194062.125</v>
      </c>
      <c r="E89" s="207">
        <f t="shared" si="22"/>
        <v>555854.17500000005</v>
      </c>
      <c r="F89" s="207">
        <f t="shared" si="22"/>
        <v>829237.08499999996</v>
      </c>
      <c r="G89" s="207">
        <f t="shared" si="22"/>
        <v>1072220.727</v>
      </c>
      <c r="H89" s="207">
        <f t="shared" si="22"/>
        <v>1048708.067</v>
      </c>
      <c r="I89" s="207">
        <f t="shared" si="22"/>
        <v>857230.8060000001</v>
      </c>
      <c r="J89" s="207">
        <f t="shared" si="22"/>
        <v>894232.78600000008</v>
      </c>
      <c r="K89" s="207">
        <f t="shared" si="22"/>
        <v>642308.30500000017</v>
      </c>
      <c r="L89" s="207">
        <f t="shared" si="22"/>
        <v>313486.36300000001</v>
      </c>
      <c r="M89" s="207">
        <f t="shared" si="22"/>
        <v>185910.36200000002</v>
      </c>
    </row>
    <row r="90" spans="1:13" ht="15" x14ac:dyDescent="0.25">
      <c r="A90" s="137" t="s">
        <v>6</v>
      </c>
      <c r="B90" s="242">
        <f>'12ME Jun18 Weather Adj'!D177</f>
        <v>208746.55599999998</v>
      </c>
      <c r="C90" s="242">
        <f>'12ME Jun18 Weather Adj'!E177</f>
        <v>193052.79699999999</v>
      </c>
      <c r="D90" s="242">
        <f>'12ME Jun18 Weather Adj'!F177</f>
        <v>320287.72700000001</v>
      </c>
      <c r="E90" s="242">
        <f>'12ME Jun18 Weather Adj'!G177</f>
        <v>750962.98400000005</v>
      </c>
      <c r="F90" s="242">
        <f>'12ME Jun18 Weather Adj'!H177</f>
        <v>1030574.388</v>
      </c>
      <c r="G90" s="242">
        <f>'12ME Jun18 Weather Adj'!I177</f>
        <v>1282526.0389999999</v>
      </c>
      <c r="H90" s="242">
        <f>'12ME Jun18 Weather Adj'!J177</f>
        <v>1258725.409</v>
      </c>
      <c r="I90" s="242">
        <f>'12ME Jun18 Weather Adj'!K177</f>
        <v>1049738.9580000001</v>
      </c>
      <c r="J90" s="242">
        <f>'12ME Jun18 Weather Adj'!L177</f>
        <v>1110593.162</v>
      </c>
      <c r="K90" s="242">
        <f>'12ME Jun18 Weather Adj'!M177</f>
        <v>846297.72800000012</v>
      </c>
      <c r="L90" s="242">
        <f>'12ME Jun18 Weather Adj'!N177</f>
        <v>477239.02300000004</v>
      </c>
      <c r="M90" s="242">
        <f>'12ME Jun18 Weather Adj'!O177</f>
        <v>307851.304</v>
      </c>
    </row>
    <row r="91" spans="1:13" ht="15" x14ac:dyDescent="0.25">
      <c r="A91" s="137"/>
      <c r="B91" s="208"/>
      <c r="C91" s="208"/>
      <c r="D91" s="208"/>
      <c r="E91" s="208"/>
      <c r="F91" s="208"/>
      <c r="G91" s="208"/>
      <c r="H91" s="208"/>
      <c r="I91" s="208"/>
      <c r="J91" s="208"/>
      <c r="K91" s="208"/>
      <c r="L91" s="208"/>
      <c r="M91" s="208"/>
    </row>
    <row r="92" spans="1:13" ht="15" x14ac:dyDescent="0.25">
      <c r="A92" s="137"/>
      <c r="B92" s="208"/>
      <c r="C92" s="208"/>
      <c r="D92" s="208"/>
      <c r="E92" s="208"/>
      <c r="F92" s="208"/>
      <c r="G92" s="208"/>
      <c r="H92" s="208"/>
      <c r="I92" s="208"/>
      <c r="J92" s="208"/>
      <c r="K92" s="208"/>
      <c r="L92" s="208"/>
      <c r="M92" s="208"/>
    </row>
    <row r="93" spans="1:13" ht="15" x14ac:dyDescent="0.25">
      <c r="A93" s="207" t="s">
        <v>182</v>
      </c>
      <c r="B93" s="208"/>
      <c r="C93" s="208"/>
      <c r="D93" s="208"/>
      <c r="E93" s="208"/>
      <c r="F93" s="208"/>
      <c r="G93" s="208"/>
      <c r="H93" s="208"/>
      <c r="I93" s="208"/>
      <c r="J93" s="208"/>
      <c r="K93" s="208"/>
      <c r="L93" s="208"/>
      <c r="M93" s="208"/>
    </row>
    <row r="94" spans="1:13" x14ac:dyDescent="0.2">
      <c r="A94" s="137" t="s">
        <v>94</v>
      </c>
      <c r="B94" s="241">
        <f>'12ME Jun18 Cal Bill Freq'!B67</f>
        <v>2802.0790000000002</v>
      </c>
      <c r="C94" s="241">
        <f>'12ME Jun18 Cal Bill Freq'!C67</f>
        <v>2546.2429999999999</v>
      </c>
      <c r="D94" s="241">
        <f>'12ME Jun18 Cal Bill Freq'!D67</f>
        <v>2989.864</v>
      </c>
      <c r="E94" s="241">
        <f>'12ME Jun18 Cal Bill Freq'!E67</f>
        <v>3829.4369999999999</v>
      </c>
      <c r="F94" s="241">
        <f>'12ME Jun18 Cal Bill Freq'!F67</f>
        <v>4170.4679999999998</v>
      </c>
      <c r="G94" s="241">
        <f>'12ME Jun18 Cal Bill Freq'!G67</f>
        <v>4091.895</v>
      </c>
      <c r="H94" s="241">
        <f>'12ME Jun18 Cal Bill Freq'!H67</f>
        <v>4058.5680000000002</v>
      </c>
      <c r="I94" s="241">
        <f>'12ME Jun18 Cal Bill Freq'!I67</f>
        <v>4688.7169999999996</v>
      </c>
      <c r="J94" s="241">
        <f>'12ME Jun18 Cal Bill Freq'!J67</f>
        <v>5155.1409999999996</v>
      </c>
      <c r="K94" s="241">
        <f>'12ME Jun18 Cal Bill Freq'!K67</f>
        <v>5215.2560000000003</v>
      </c>
      <c r="L94" s="241">
        <f>'12ME Jun18 Cal Bill Freq'!L67</f>
        <v>3869.3560000000002</v>
      </c>
      <c r="M94" s="241">
        <f>'12ME Jun18 Cal Bill Freq'!M67</f>
        <v>3194.134</v>
      </c>
    </row>
    <row r="95" spans="1:13" x14ac:dyDescent="0.2">
      <c r="A95" s="137" t="s">
        <v>172</v>
      </c>
      <c r="B95" s="207">
        <f>B96-B94</f>
        <v>4248.6400000000012</v>
      </c>
      <c r="C95" s="207">
        <f t="shared" ref="C95:M95" si="23">C96-C94</f>
        <v>4444.2209999999995</v>
      </c>
      <c r="D95" s="207">
        <f t="shared" si="23"/>
        <v>56483.425999999999</v>
      </c>
      <c r="E95" s="207">
        <f t="shared" si="23"/>
        <v>61449.167000000001</v>
      </c>
      <c r="F95" s="207">
        <f t="shared" si="23"/>
        <v>14082.380999999998</v>
      </c>
      <c r="G95" s="207">
        <f t="shared" si="23"/>
        <v>14404.418999999998</v>
      </c>
      <c r="H95" s="207">
        <f t="shared" si="23"/>
        <v>13643.699000000001</v>
      </c>
      <c r="I95" s="207">
        <f t="shared" si="23"/>
        <v>14034.593999999997</v>
      </c>
      <c r="J95" s="207">
        <f t="shared" si="23"/>
        <v>11875.316000000003</v>
      </c>
      <c r="K95" s="207">
        <f t="shared" si="23"/>
        <v>16755.670999999998</v>
      </c>
      <c r="L95" s="207">
        <f t="shared" si="23"/>
        <v>7262.5600000000013</v>
      </c>
      <c r="M95" s="207">
        <f t="shared" si="23"/>
        <v>5377.2150000000001</v>
      </c>
    </row>
    <row r="96" spans="1:13" ht="15" x14ac:dyDescent="0.25">
      <c r="A96" s="137" t="s">
        <v>6</v>
      </c>
      <c r="B96" s="242">
        <f>'12ME Jun18 Weather Adj'!D189</f>
        <v>7050.719000000001</v>
      </c>
      <c r="C96" s="242">
        <f>'12ME Jun18 Weather Adj'!E189</f>
        <v>6990.4639999999999</v>
      </c>
      <c r="D96" s="242">
        <f>'12ME Jun18 Weather Adj'!F189</f>
        <v>59473.29</v>
      </c>
      <c r="E96" s="242">
        <f>'12ME Jun18 Weather Adj'!G189</f>
        <v>65278.603999999999</v>
      </c>
      <c r="F96" s="242">
        <f>'12ME Jun18 Weather Adj'!H189</f>
        <v>18252.848999999998</v>
      </c>
      <c r="G96" s="242">
        <f>'12ME Jun18 Weather Adj'!I189</f>
        <v>18496.313999999998</v>
      </c>
      <c r="H96" s="242">
        <f>'12ME Jun18 Weather Adj'!J189</f>
        <v>17702.267</v>
      </c>
      <c r="I96" s="242">
        <f>'12ME Jun18 Weather Adj'!K189</f>
        <v>18723.310999999998</v>
      </c>
      <c r="J96" s="242">
        <f>'12ME Jun18 Weather Adj'!L189</f>
        <v>17030.457000000002</v>
      </c>
      <c r="K96" s="242">
        <f>'12ME Jun18 Weather Adj'!M189</f>
        <v>21970.927</v>
      </c>
      <c r="L96" s="242">
        <f>'12ME Jun18 Weather Adj'!N189</f>
        <v>11131.916000000001</v>
      </c>
      <c r="M96" s="242">
        <f>'12ME Jun18 Weather Adj'!O189</f>
        <v>8571.3490000000002</v>
      </c>
    </row>
    <row r="97" spans="1:13" ht="15" x14ac:dyDescent="0.25">
      <c r="A97" s="137"/>
      <c r="B97" s="208"/>
      <c r="C97" s="208"/>
      <c r="D97" s="208"/>
      <c r="E97" s="208"/>
      <c r="F97" s="208"/>
      <c r="G97" s="208"/>
      <c r="H97" s="208"/>
      <c r="I97" s="208"/>
      <c r="J97" s="208"/>
      <c r="K97" s="208"/>
      <c r="L97" s="208"/>
      <c r="M97" s="208"/>
    </row>
    <row r="98" spans="1:13" ht="15" x14ac:dyDescent="0.25">
      <c r="A98" s="137"/>
      <c r="B98" s="208"/>
      <c r="C98" s="208"/>
      <c r="D98" s="208"/>
      <c r="E98" s="208"/>
      <c r="F98" s="208"/>
      <c r="G98" s="208"/>
      <c r="H98" s="208"/>
      <c r="I98" s="208"/>
      <c r="J98" s="208"/>
      <c r="K98" s="208"/>
      <c r="L98" s="208"/>
      <c r="M98" s="208"/>
    </row>
    <row r="99" spans="1:13" ht="15" x14ac:dyDescent="0.25">
      <c r="A99" s="218" t="s">
        <v>183</v>
      </c>
      <c r="B99" s="208"/>
      <c r="C99" s="208"/>
      <c r="D99" s="208"/>
      <c r="E99" s="208"/>
      <c r="F99" s="208"/>
      <c r="G99" s="208"/>
      <c r="H99" s="208"/>
      <c r="I99" s="208"/>
      <c r="J99" s="208"/>
      <c r="K99" s="208"/>
      <c r="L99" s="208"/>
      <c r="M99" s="208"/>
    </row>
    <row r="100" spans="1:13" x14ac:dyDescent="0.2">
      <c r="A100" s="137" t="s">
        <v>88</v>
      </c>
      <c r="B100" s="241">
        <f>'12ME Jun18 Cal Bill Freq'!B79</f>
        <v>125326.542</v>
      </c>
      <c r="C100" s="241">
        <f>'12ME Jun18 Cal Bill Freq'!C79</f>
        <v>129371.92</v>
      </c>
      <c r="D100" s="241">
        <f>'12ME Jun18 Cal Bill Freq'!D79</f>
        <v>122529.114</v>
      </c>
      <c r="E100" s="241">
        <f>'12ME Jun18 Cal Bill Freq'!E79</f>
        <v>124392</v>
      </c>
      <c r="F100" s="241">
        <f>'12ME Jun18 Cal Bill Freq'!F79</f>
        <v>127709.428</v>
      </c>
      <c r="G100" s="241">
        <f>'12ME Jun18 Cal Bill Freq'!G79</f>
        <v>128095.38800000001</v>
      </c>
      <c r="H100" s="241">
        <f>'12ME Jun18 Cal Bill Freq'!H79</f>
        <v>126044.556</v>
      </c>
      <c r="I100" s="241">
        <f>'12ME Jun18 Cal Bill Freq'!I79</f>
        <v>121455.628</v>
      </c>
      <c r="J100" s="241">
        <f>'12ME Jun18 Cal Bill Freq'!J79</f>
        <v>125000</v>
      </c>
      <c r="K100" s="241">
        <f>'12ME Jun18 Cal Bill Freq'!K79</f>
        <v>124138</v>
      </c>
      <c r="L100" s="241">
        <f>'12ME Jun18 Cal Bill Freq'!L79</f>
        <v>127528.666</v>
      </c>
      <c r="M100" s="241">
        <f>'12ME Jun18 Cal Bill Freq'!M79</f>
        <v>121720.43</v>
      </c>
    </row>
    <row r="101" spans="1:13" x14ac:dyDescent="0.2">
      <c r="A101" s="137" t="s">
        <v>89</v>
      </c>
      <c r="B101" s="241">
        <f>'12ME Jun18 Cal Bill Freq'!B80</f>
        <v>114592.44500000001</v>
      </c>
      <c r="C101" s="241">
        <f>'12ME Jun18 Cal Bill Freq'!C80</f>
        <v>109307.538</v>
      </c>
      <c r="D101" s="241">
        <f>'12ME Jun18 Cal Bill Freq'!D80</f>
        <v>114463.791</v>
      </c>
      <c r="E101" s="241">
        <f>'12ME Jun18 Cal Bill Freq'!E80</f>
        <v>124390</v>
      </c>
      <c r="F101" s="241">
        <f>'12ME Jun18 Cal Bill Freq'!F80</f>
        <v>127709.428</v>
      </c>
      <c r="G101" s="241">
        <f>'12ME Jun18 Cal Bill Freq'!G80</f>
        <v>128094.939</v>
      </c>
      <c r="H101" s="241">
        <f>'12ME Jun18 Cal Bill Freq'!H80</f>
        <v>126044.005</v>
      </c>
      <c r="I101" s="241">
        <f>'12ME Jun18 Cal Bill Freq'!I80</f>
        <v>121455.628</v>
      </c>
      <c r="J101" s="241">
        <f>'12ME Jun18 Cal Bill Freq'!J80</f>
        <v>125000</v>
      </c>
      <c r="K101" s="241">
        <f>'12ME Jun18 Cal Bill Freq'!K80</f>
        <v>124138</v>
      </c>
      <c r="L101" s="241">
        <f>'12ME Jun18 Cal Bill Freq'!L80</f>
        <v>127528.666</v>
      </c>
      <c r="M101" s="241">
        <f>'12ME Jun18 Cal Bill Freq'!M80</f>
        <v>112863.99</v>
      </c>
    </row>
    <row r="102" spans="1:13" x14ac:dyDescent="0.2">
      <c r="A102" s="137" t="s">
        <v>99</v>
      </c>
      <c r="B102" s="241">
        <f>'12ME Jun18 Cal Bill Freq'!B81</f>
        <v>180356.14300000001</v>
      </c>
      <c r="C102" s="241">
        <f>'12ME Jun18 Cal Bill Freq'!C81</f>
        <v>176480.61199999999</v>
      </c>
      <c r="D102" s="241">
        <f>'12ME Jun18 Cal Bill Freq'!D81</f>
        <v>173372.95800000001</v>
      </c>
      <c r="E102" s="241">
        <f>'12ME Jun18 Cal Bill Freq'!E81</f>
        <v>232697.61600000001</v>
      </c>
      <c r="F102" s="241">
        <f>'12ME Jun18 Cal Bill Freq'!F81</f>
        <v>255418.85800000001</v>
      </c>
      <c r="G102" s="241">
        <f>'12ME Jun18 Cal Bill Freq'!G81</f>
        <v>256190.77499999999</v>
      </c>
      <c r="H102" s="241">
        <f>'12ME Jun18 Cal Bill Freq'!H81</f>
        <v>252089.111</v>
      </c>
      <c r="I102" s="241">
        <f>'12ME Jun18 Cal Bill Freq'!I81</f>
        <v>242911.25599999999</v>
      </c>
      <c r="J102" s="241">
        <f>'12ME Jun18 Cal Bill Freq'!J81</f>
        <v>250000</v>
      </c>
      <c r="K102" s="241">
        <f>'12ME Jun18 Cal Bill Freq'!K81</f>
        <v>248276</v>
      </c>
      <c r="L102" s="241">
        <f>'12ME Jun18 Cal Bill Freq'!L81</f>
        <v>197462.139</v>
      </c>
      <c r="M102" s="241">
        <f>'12ME Jun18 Cal Bill Freq'!M81</f>
        <v>175211.476</v>
      </c>
    </row>
    <row r="103" spans="1:13" x14ac:dyDescent="0.2">
      <c r="A103" s="137" t="s">
        <v>100</v>
      </c>
      <c r="B103" s="241">
        <f>'12ME Jun18 Cal Bill Freq'!B82</f>
        <v>114768.774</v>
      </c>
      <c r="C103" s="241">
        <f>'12ME Jun18 Cal Bill Freq'!C82</f>
        <v>103785.11</v>
      </c>
      <c r="D103" s="241">
        <f>'12ME Jun18 Cal Bill Freq'!D82</f>
        <v>126069.992</v>
      </c>
      <c r="E103" s="241">
        <f>'12ME Jun18 Cal Bill Freq'!E82</f>
        <v>242950.46100000001</v>
      </c>
      <c r="F103" s="241">
        <f>'12ME Jun18 Cal Bill Freq'!F82</f>
        <v>336625.147</v>
      </c>
      <c r="G103" s="241">
        <f>'12ME Jun18 Cal Bill Freq'!G82</f>
        <v>422860.33600000001</v>
      </c>
      <c r="H103" s="241">
        <f>'12ME Jun18 Cal Bill Freq'!H82</f>
        <v>394483.83799999999</v>
      </c>
      <c r="I103" s="241">
        <f>'12ME Jun18 Cal Bill Freq'!I82</f>
        <v>439683.32199999999</v>
      </c>
      <c r="J103" s="241">
        <f>'12ME Jun18 Cal Bill Freq'!J82</f>
        <v>443482.08899999998</v>
      </c>
      <c r="K103" s="241">
        <f>'12ME Jun18 Cal Bill Freq'!K82</f>
        <v>318372.07799999998</v>
      </c>
      <c r="L103" s="241">
        <f>'12ME Jun18 Cal Bill Freq'!L82</f>
        <v>167686.50099999999</v>
      </c>
      <c r="M103" s="241">
        <f>'12ME Jun18 Cal Bill Freq'!M82</f>
        <v>115520.219</v>
      </c>
    </row>
    <row r="104" spans="1:13" x14ac:dyDescent="0.2">
      <c r="A104" s="137" t="s">
        <v>101</v>
      </c>
      <c r="B104" s="241">
        <f>'12ME Jun18 Cal Bill Freq'!B83</f>
        <v>300000</v>
      </c>
      <c r="C104" s="241">
        <f>'12ME Jun18 Cal Bill Freq'!C83</f>
        <v>300000</v>
      </c>
      <c r="D104" s="241">
        <f>'12ME Jun18 Cal Bill Freq'!D83</f>
        <v>300000</v>
      </c>
      <c r="E104" s="241">
        <f>'12ME Jun18 Cal Bill Freq'!E83</f>
        <v>300000</v>
      </c>
      <c r="F104" s="241">
        <f>'12ME Jun18 Cal Bill Freq'!F83</f>
        <v>331027.71000000002</v>
      </c>
      <c r="G104" s="241">
        <f>'12ME Jun18 Cal Bill Freq'!G83</f>
        <v>360007.41399999999</v>
      </c>
      <c r="H104" s="241">
        <f>'12ME Jun18 Cal Bill Freq'!H83</f>
        <v>336549.57699999999</v>
      </c>
      <c r="I104" s="241">
        <f>'12ME Jun18 Cal Bill Freq'!I83</f>
        <v>311044.71799999999</v>
      </c>
      <c r="J104" s="241">
        <f>'12ME Jun18 Cal Bill Freq'!J83</f>
        <v>310532.62800000003</v>
      </c>
      <c r="K104" s="241">
        <f>'12ME Jun18 Cal Bill Freq'!K83</f>
        <v>310431.10800000001</v>
      </c>
      <c r="L104" s="241">
        <f>'12ME Jun18 Cal Bill Freq'!L83</f>
        <v>300000</v>
      </c>
      <c r="M104" s="241">
        <f>'12ME Jun18 Cal Bill Freq'!M83</f>
        <v>300000</v>
      </c>
    </row>
    <row r="105" spans="1:13" x14ac:dyDescent="0.2">
      <c r="A105" s="137" t="s">
        <v>174</v>
      </c>
      <c r="B105" s="207">
        <f>B106-SUM(B100:B104)</f>
        <v>370119.2300000001</v>
      </c>
      <c r="C105" s="207">
        <f t="shared" ref="C105:M105" si="24">C106-SUM(C100:C104)</f>
        <v>372287.80000000005</v>
      </c>
      <c r="D105" s="207">
        <f t="shared" si="24"/>
        <v>461018.16999999993</v>
      </c>
      <c r="E105" s="207">
        <f t="shared" si="24"/>
        <v>932432.81999999983</v>
      </c>
      <c r="F105" s="207">
        <f t="shared" si="24"/>
        <v>1167560.7799999998</v>
      </c>
      <c r="G105" s="207">
        <f t="shared" si="24"/>
        <v>1522228.63</v>
      </c>
      <c r="H105" s="207">
        <f t="shared" si="24"/>
        <v>1346884.32</v>
      </c>
      <c r="I105" s="207">
        <f t="shared" si="24"/>
        <v>1217319.21</v>
      </c>
      <c r="J105" s="207">
        <f t="shared" si="24"/>
        <v>1178005.6599999999</v>
      </c>
      <c r="K105" s="207">
        <f t="shared" si="24"/>
        <v>949314.73</v>
      </c>
      <c r="L105" s="207">
        <f t="shared" si="24"/>
        <v>565504.23</v>
      </c>
      <c r="M105" s="207">
        <f t="shared" si="24"/>
        <v>605234.98</v>
      </c>
    </row>
    <row r="106" spans="1:13" ht="15" x14ac:dyDescent="0.25">
      <c r="A106" s="137" t="s">
        <v>6</v>
      </c>
      <c r="B106" s="242">
        <f>'12ME Jun18 Weather Adj'!D178</f>
        <v>1205163.1340000001</v>
      </c>
      <c r="C106" s="242">
        <f>'12ME Jun18 Weather Adj'!E178</f>
        <v>1191232.98</v>
      </c>
      <c r="D106" s="242">
        <f>'12ME Jun18 Weather Adj'!F178</f>
        <v>1297454.0249999999</v>
      </c>
      <c r="E106" s="242">
        <f>'12ME Jun18 Weather Adj'!G178</f>
        <v>1956862.8969999999</v>
      </c>
      <c r="F106" s="242">
        <f>'12ME Jun18 Weather Adj'!H178</f>
        <v>2346051.3509999998</v>
      </c>
      <c r="G106" s="242">
        <f>'12ME Jun18 Weather Adj'!I178</f>
        <v>2817477.4819999998</v>
      </c>
      <c r="H106" s="242">
        <f>'12ME Jun18 Weather Adj'!J178</f>
        <v>2582095.4070000001</v>
      </c>
      <c r="I106" s="242">
        <f>'12ME Jun18 Weather Adj'!K178</f>
        <v>2453869.7620000001</v>
      </c>
      <c r="J106" s="242">
        <f>'12ME Jun18 Weather Adj'!L178</f>
        <v>2432020.3769999999</v>
      </c>
      <c r="K106" s="242">
        <f>'12ME Jun18 Weather Adj'!M178</f>
        <v>2074669.916</v>
      </c>
      <c r="L106" s="242">
        <f>'12ME Jun18 Weather Adj'!N178</f>
        <v>1485710.202</v>
      </c>
      <c r="M106" s="242">
        <f>'12ME Jun18 Weather Adj'!O178</f>
        <v>1430551.095</v>
      </c>
    </row>
    <row r="107" spans="1:13" ht="15" x14ac:dyDescent="0.25">
      <c r="A107" s="137"/>
      <c r="B107" s="208"/>
      <c r="C107" s="208"/>
      <c r="D107" s="208"/>
      <c r="E107" s="208"/>
      <c r="F107" s="208"/>
      <c r="G107" s="208"/>
      <c r="H107" s="208"/>
      <c r="I107" s="208"/>
      <c r="J107" s="208"/>
      <c r="K107" s="208"/>
      <c r="L107" s="208"/>
      <c r="M107" s="208"/>
    </row>
    <row r="108" spans="1:13" ht="15" x14ac:dyDescent="0.25">
      <c r="A108" s="137"/>
      <c r="B108" s="208"/>
      <c r="C108" s="208"/>
      <c r="D108" s="208"/>
      <c r="E108" s="208"/>
      <c r="F108" s="208"/>
      <c r="G108" s="208"/>
      <c r="H108" s="208"/>
      <c r="I108" s="208"/>
      <c r="J108" s="208"/>
      <c r="K108" s="208"/>
      <c r="L108" s="208"/>
      <c r="M108" s="208"/>
    </row>
    <row r="109" spans="1:13" ht="15" x14ac:dyDescent="0.25">
      <c r="A109" s="218" t="s">
        <v>184</v>
      </c>
      <c r="B109" s="208"/>
      <c r="C109" s="208"/>
      <c r="D109" s="208"/>
      <c r="E109" s="208"/>
      <c r="F109" s="208"/>
      <c r="G109" s="208"/>
      <c r="H109" s="208"/>
      <c r="I109" s="208"/>
      <c r="J109" s="208"/>
      <c r="K109" s="208"/>
      <c r="L109" s="208"/>
      <c r="M109" s="208"/>
    </row>
    <row r="110" spans="1:13" x14ac:dyDescent="0.2">
      <c r="A110" s="137" t="s">
        <v>88</v>
      </c>
      <c r="B110" s="207">
        <v>0</v>
      </c>
      <c r="C110" s="207">
        <v>0</v>
      </c>
      <c r="D110" s="207">
        <v>0</v>
      </c>
      <c r="E110" s="207">
        <v>0</v>
      </c>
      <c r="F110" s="207">
        <v>0</v>
      </c>
      <c r="G110" s="207">
        <v>0</v>
      </c>
      <c r="H110" s="207">
        <v>0</v>
      </c>
      <c r="I110" s="207">
        <v>0</v>
      </c>
      <c r="J110" s="207">
        <v>0</v>
      </c>
      <c r="K110" s="207">
        <v>0</v>
      </c>
      <c r="L110" s="207">
        <v>0</v>
      </c>
      <c r="M110" s="207">
        <v>0</v>
      </c>
    </row>
    <row r="111" spans="1:13" x14ac:dyDescent="0.2">
      <c r="A111" s="137" t="s">
        <v>89</v>
      </c>
      <c r="B111" s="207">
        <v>0</v>
      </c>
      <c r="C111" s="207">
        <v>0</v>
      </c>
      <c r="D111" s="207">
        <v>0</v>
      </c>
      <c r="E111" s="207">
        <v>0</v>
      </c>
      <c r="F111" s="207">
        <v>0</v>
      </c>
      <c r="G111" s="207">
        <v>0</v>
      </c>
      <c r="H111" s="207">
        <v>0</v>
      </c>
      <c r="I111" s="207">
        <v>0</v>
      </c>
      <c r="J111" s="207">
        <v>0</v>
      </c>
      <c r="K111" s="207">
        <v>0</v>
      </c>
      <c r="L111" s="207">
        <v>0</v>
      </c>
      <c r="M111" s="207">
        <v>0</v>
      </c>
    </row>
    <row r="112" spans="1:13" x14ac:dyDescent="0.2">
      <c r="A112" s="137" t="s">
        <v>99</v>
      </c>
      <c r="B112" s="207">
        <v>0</v>
      </c>
      <c r="C112" s="207">
        <v>0</v>
      </c>
      <c r="D112" s="207">
        <v>0</v>
      </c>
      <c r="E112" s="207">
        <v>0</v>
      </c>
      <c r="F112" s="207">
        <v>0</v>
      </c>
      <c r="G112" s="207">
        <v>0</v>
      </c>
      <c r="H112" s="207">
        <v>0</v>
      </c>
      <c r="I112" s="207">
        <v>0</v>
      </c>
      <c r="J112" s="207">
        <v>0</v>
      </c>
      <c r="K112" s="207">
        <v>0</v>
      </c>
      <c r="L112" s="207">
        <v>0</v>
      </c>
      <c r="M112" s="207">
        <v>0</v>
      </c>
    </row>
    <row r="113" spans="1:13" x14ac:dyDescent="0.2">
      <c r="A113" s="137" t="s">
        <v>100</v>
      </c>
      <c r="B113" s="207">
        <v>0</v>
      </c>
      <c r="C113" s="207">
        <v>0</v>
      </c>
      <c r="D113" s="207">
        <v>0</v>
      </c>
      <c r="E113" s="207">
        <v>0</v>
      </c>
      <c r="F113" s="207">
        <v>0</v>
      </c>
      <c r="G113" s="207">
        <v>0</v>
      </c>
      <c r="H113" s="207">
        <v>0</v>
      </c>
      <c r="I113" s="207">
        <v>0</v>
      </c>
      <c r="J113" s="207">
        <v>0</v>
      </c>
      <c r="K113" s="207">
        <v>0</v>
      </c>
      <c r="L113" s="207">
        <v>0</v>
      </c>
      <c r="M113" s="207">
        <v>0</v>
      </c>
    </row>
    <row r="114" spans="1:13" x14ac:dyDescent="0.2">
      <c r="A114" s="137" t="s">
        <v>101</v>
      </c>
      <c r="B114" s="207">
        <v>0</v>
      </c>
      <c r="C114" s="207">
        <v>0</v>
      </c>
      <c r="D114" s="207">
        <v>0</v>
      </c>
      <c r="E114" s="207">
        <v>0</v>
      </c>
      <c r="F114" s="207">
        <v>0</v>
      </c>
      <c r="G114" s="207">
        <v>0</v>
      </c>
      <c r="H114" s="207">
        <v>0</v>
      </c>
      <c r="I114" s="207">
        <v>0</v>
      </c>
      <c r="J114" s="207">
        <v>0</v>
      </c>
      <c r="K114" s="207">
        <v>0</v>
      </c>
      <c r="L114" s="207">
        <v>0</v>
      </c>
      <c r="M114" s="207">
        <v>0</v>
      </c>
    </row>
    <row r="115" spans="1:13" x14ac:dyDescent="0.2">
      <c r="A115" s="137" t="s">
        <v>174</v>
      </c>
      <c r="B115" s="207">
        <v>0</v>
      </c>
      <c r="C115" s="207">
        <v>0</v>
      </c>
      <c r="D115" s="207">
        <v>0</v>
      </c>
      <c r="E115" s="207">
        <v>0</v>
      </c>
      <c r="F115" s="207">
        <v>0</v>
      </c>
      <c r="G115" s="207">
        <v>0</v>
      </c>
      <c r="H115" s="207">
        <v>0</v>
      </c>
      <c r="I115" s="207">
        <v>0</v>
      </c>
      <c r="J115" s="207">
        <v>0</v>
      </c>
      <c r="K115" s="207">
        <v>0</v>
      </c>
      <c r="L115" s="207">
        <v>0</v>
      </c>
      <c r="M115" s="207">
        <v>0</v>
      </c>
    </row>
    <row r="116" spans="1:13" ht="15" x14ac:dyDescent="0.25">
      <c r="A116" s="137" t="s">
        <v>6</v>
      </c>
      <c r="B116" s="208">
        <f t="shared" ref="B116" si="25">SUM(B110:B115)</f>
        <v>0</v>
      </c>
      <c r="C116" s="208">
        <f t="shared" ref="C116:M116" si="26">SUM(C110:C115)</f>
        <v>0</v>
      </c>
      <c r="D116" s="208">
        <f t="shared" si="26"/>
        <v>0</v>
      </c>
      <c r="E116" s="208">
        <f t="shared" si="26"/>
        <v>0</v>
      </c>
      <c r="F116" s="208">
        <f t="shared" si="26"/>
        <v>0</v>
      </c>
      <c r="G116" s="208">
        <f t="shared" si="26"/>
        <v>0</v>
      </c>
      <c r="H116" s="208">
        <f t="shared" si="26"/>
        <v>0</v>
      </c>
      <c r="I116" s="208">
        <f t="shared" si="26"/>
        <v>0</v>
      </c>
      <c r="J116" s="208">
        <f t="shared" si="26"/>
        <v>0</v>
      </c>
      <c r="K116" s="208">
        <f t="shared" si="26"/>
        <v>0</v>
      </c>
      <c r="L116" s="208">
        <f t="shared" si="26"/>
        <v>0</v>
      </c>
      <c r="M116" s="208">
        <f t="shared" si="26"/>
        <v>0</v>
      </c>
    </row>
    <row r="118" spans="1:13" x14ac:dyDescent="0.2">
      <c r="A118" s="218" t="s">
        <v>49</v>
      </c>
      <c r="B118" s="207">
        <f>SUM(B116,B106,B96,B90,B84,B77,B70,B63,B56,B46,B36,B30,B23,B16,B9)-SUM('12ME Jun18 Weather Adj'!D220,'12ME Jun18 Weather Adj'!D222:D224,'12ME Jun18 Weather Adj'!D226:D229)</f>
        <v>0</v>
      </c>
      <c r="C118" s="207">
        <f>SUM(C116,C106,C96,C90,C84,C77,C70,C63,C56,C46,C36,C30,C23,C16,C9)-SUM('12ME Jun18 Weather Adj'!E220,'12ME Jun18 Weather Adj'!E222:E224,'12ME Jun18 Weather Adj'!E226:E229)</f>
        <v>0</v>
      </c>
      <c r="D118" s="207">
        <f>SUM(D116,D106,D96,D90,D84,D77,D70,D63,D56,D46,D36,D30,D23,D16,D9)-SUM('12ME Jun18 Weather Adj'!F220,'12ME Jun18 Weather Adj'!F222:F224,'12ME Jun18 Weather Adj'!F226:F229)</f>
        <v>0</v>
      </c>
      <c r="E118" s="207">
        <f>SUM(E116,E106,E96,E90,E84,E77,E70,E63,E56,E46,E36,E30,E23,E16,E9)-SUM('12ME Jun18 Weather Adj'!G220,'12ME Jun18 Weather Adj'!G222:G224,'12ME Jun18 Weather Adj'!G226:G229)</f>
        <v>0</v>
      </c>
      <c r="F118" s="207">
        <f>SUM(F116,F106,F96,F90,F84,F77,F70,F63,F56,F46,F36,F30,F23,F16,F9)-SUM('12ME Jun18 Weather Adj'!H220,'12ME Jun18 Weather Adj'!H222:H224,'12ME Jun18 Weather Adj'!H226:H229)</f>
        <v>0</v>
      </c>
      <c r="G118" s="207">
        <f>SUM(G116,G106,G96,G90,G84,G77,G70,G63,G56,G46,G36,G30,G23,G16,G9)-SUM('12ME Jun18 Weather Adj'!I220,'12ME Jun18 Weather Adj'!I222:I224,'12ME Jun18 Weather Adj'!I226:I229)</f>
        <v>0</v>
      </c>
      <c r="H118" s="207">
        <f>SUM(H116,H106,H96,H90,H84,H77,H70,H63,H56,H46,H36,H30,H23,H16,H9)-SUM('12ME Jun18 Weather Adj'!J220,'12ME Jun18 Weather Adj'!J222:J224,'12ME Jun18 Weather Adj'!J226:J229)</f>
        <v>0</v>
      </c>
      <c r="I118" s="207">
        <f>SUM(I116,I106,I96,I90,I84,I77,I70,I63,I56,I46,I36,I30,I23,I16,I9)-SUM('12ME Jun18 Weather Adj'!K220,'12ME Jun18 Weather Adj'!K222:K224,'12ME Jun18 Weather Adj'!K226:K229)</f>
        <v>0</v>
      </c>
      <c r="J118" s="207">
        <f>SUM(J116,J106,J96,J90,J84,J77,J70,J63,J56,J46,J36,J30,J23,J16,J9)-SUM('12ME Jun18 Weather Adj'!L220,'12ME Jun18 Weather Adj'!L222:L224,'12ME Jun18 Weather Adj'!L226:L229)</f>
        <v>0</v>
      </c>
      <c r="K118" s="207">
        <f>SUM(K116,K106,K96,K90,K84,K77,K70,K63,K56,K46,K36,K30,K23,K16,K9)-SUM('12ME Jun18 Weather Adj'!M220,'12ME Jun18 Weather Adj'!M222:M224,'12ME Jun18 Weather Adj'!M226:M229)</f>
        <v>0</v>
      </c>
      <c r="L118" s="207">
        <f>SUM(L116,L106,L96,L90,L84,L77,L70,L63,L56,L46,L36,L30,L23,L16,L9)-SUM('12ME Jun18 Weather Adj'!N220,'12ME Jun18 Weather Adj'!N222:N224,'12ME Jun18 Weather Adj'!N226:N229)</f>
        <v>0</v>
      </c>
      <c r="M118" s="207">
        <f>SUM(M116,M106,M96,M90,M84,M77,M70,M63,M56,M46,M36,M30,M23,M16,M9)-SUM('12ME Jun18 Weather Adj'!O220,'12ME Jun18 Weather Adj'!O222:O224,'12ME Jun18 Weather Adj'!O226:O229)</f>
        <v>0</v>
      </c>
    </row>
    <row r="119" spans="1:13" x14ac:dyDescent="0.2">
      <c r="B119" s="220"/>
    </row>
    <row r="120" spans="1:13" x14ac:dyDescent="0.2">
      <c r="B120" s="207"/>
    </row>
  </sheetData>
  <printOptions horizontalCentered="1"/>
  <pageMargins left="0.25" right="0.25" top="1" bottom="1" header="0.5" footer="0.5"/>
  <pageSetup scale="38" orientation="portrait" horizontalDpi="300" verticalDpi="300" r:id="rId1"/>
  <headerFooter alignWithMargins="0">
    <oddHeader xml:space="preserve">&amp;C
</oddHeader>
    <oddFooter>&amp;L&amp;F 
&amp;A&amp;C&amp;P&amp;R&amp;D</oddFooter>
  </headerFooter>
  <colBreaks count="1" manualBreakCount="1">
    <brk id="14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4"/>
  <sheetViews>
    <sheetView zoomScaleNormal="100" workbookViewId="0">
      <selection activeCell="J7" sqref="J7"/>
    </sheetView>
  </sheetViews>
  <sheetFormatPr defaultRowHeight="12.75" x14ac:dyDescent="0.2"/>
  <cols>
    <col min="1" max="1" width="32.7109375" style="218" bestFit="1" customWidth="1"/>
    <col min="2" max="4" width="12.85546875" style="218" bestFit="1" customWidth="1"/>
    <col min="5" max="13" width="12.28515625" style="218" customWidth="1"/>
    <col min="14" max="14" width="14.140625" style="218" customWidth="1"/>
    <col min="15" max="15" width="1.5703125" style="218" customWidth="1"/>
    <col min="16" max="16" width="11.28515625" style="218" bestFit="1" customWidth="1"/>
    <col min="17" max="16384" width="9.140625" style="218"/>
  </cols>
  <sheetData>
    <row r="1" spans="1:14" x14ac:dyDescent="0.2">
      <c r="A1" s="218" t="s">
        <v>429</v>
      </c>
    </row>
    <row r="2" spans="1:14" ht="25.5" x14ac:dyDescent="0.2">
      <c r="N2" s="237" t="s">
        <v>462</v>
      </c>
    </row>
    <row r="3" spans="1:14" x14ac:dyDescent="0.2">
      <c r="A3" s="238" t="s">
        <v>162</v>
      </c>
      <c r="B3" s="243">
        <v>42917</v>
      </c>
      <c r="C3" s="243">
        <f>EDATE(B3,1)</f>
        <v>42948</v>
      </c>
      <c r="D3" s="243">
        <f t="shared" ref="D3:M3" si="0">EDATE(C3,1)</f>
        <v>42979</v>
      </c>
      <c r="E3" s="243">
        <f t="shared" si="0"/>
        <v>43009</v>
      </c>
      <c r="F3" s="243">
        <f t="shared" si="0"/>
        <v>43040</v>
      </c>
      <c r="G3" s="243">
        <f t="shared" si="0"/>
        <v>43070</v>
      </c>
      <c r="H3" s="243">
        <f t="shared" si="0"/>
        <v>43101</v>
      </c>
      <c r="I3" s="243">
        <f t="shared" si="0"/>
        <v>43132</v>
      </c>
      <c r="J3" s="243">
        <f t="shared" si="0"/>
        <v>43160</v>
      </c>
      <c r="K3" s="243">
        <f t="shared" si="0"/>
        <v>43191</v>
      </c>
      <c r="L3" s="243">
        <f t="shared" si="0"/>
        <v>43221</v>
      </c>
      <c r="M3" s="243">
        <f t="shared" si="0"/>
        <v>43252</v>
      </c>
      <c r="N3" s="219" t="s">
        <v>6</v>
      </c>
    </row>
    <row r="4" spans="1:14" ht="15" x14ac:dyDescent="0.25">
      <c r="A4" s="142" t="s">
        <v>176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207"/>
    </row>
    <row r="5" spans="1:14" x14ac:dyDescent="0.2">
      <c r="A5" s="137" t="s">
        <v>177</v>
      </c>
      <c r="B5" s="239">
        <v>886832.65700000001</v>
      </c>
      <c r="C5" s="239">
        <v>884440.07</v>
      </c>
      <c r="D5" s="239">
        <v>973850.66299999994</v>
      </c>
      <c r="E5" s="239">
        <v>1142376.115</v>
      </c>
      <c r="F5" s="239">
        <v>1109547.08</v>
      </c>
      <c r="G5" s="239">
        <v>1160802.577</v>
      </c>
      <c r="H5" s="239">
        <v>1157860.787</v>
      </c>
      <c r="I5" s="239">
        <v>1062897.169</v>
      </c>
      <c r="J5" s="239">
        <v>1190628.3959999999</v>
      </c>
      <c r="K5" s="239">
        <v>1151326.18</v>
      </c>
      <c r="L5" s="239">
        <v>1069778.638</v>
      </c>
      <c r="M5" s="239">
        <v>624301.44700000004</v>
      </c>
      <c r="N5" s="207">
        <f t="shared" ref="N5:N8" si="1">SUM(B5:M5)</f>
        <v>12414641.779000001</v>
      </c>
    </row>
    <row r="6" spans="1:14" x14ac:dyDescent="0.2">
      <c r="A6" s="137" t="s">
        <v>165</v>
      </c>
      <c r="B6" s="239">
        <v>1083303.8770000001</v>
      </c>
      <c r="C6" s="239">
        <v>1035590.325</v>
      </c>
      <c r="D6" s="239">
        <v>1324279.4210000001</v>
      </c>
      <c r="E6" s="239">
        <v>2293452.0189999999</v>
      </c>
      <c r="F6" s="239">
        <v>2912216.0520000001</v>
      </c>
      <c r="G6" s="239">
        <v>3410283.6340000001</v>
      </c>
      <c r="H6" s="239">
        <v>3303141.4559999998</v>
      </c>
      <c r="I6" s="239">
        <v>3137631.9730000002</v>
      </c>
      <c r="J6" s="239">
        <v>3158401.8859999999</v>
      </c>
      <c r="K6" s="239">
        <v>2445650.395</v>
      </c>
      <c r="L6" s="239">
        <v>1621469.713</v>
      </c>
      <c r="M6" s="239">
        <v>790567.19799999997</v>
      </c>
      <c r="N6" s="207">
        <f t="shared" si="1"/>
        <v>26515987.948999997</v>
      </c>
    </row>
    <row r="7" spans="1:14" x14ac:dyDescent="0.2">
      <c r="A7" s="137" t="s">
        <v>166</v>
      </c>
      <c r="B7" s="239">
        <v>466554.57</v>
      </c>
      <c r="C7" s="239">
        <v>385023.02100000001</v>
      </c>
      <c r="D7" s="239">
        <v>482954.81800000003</v>
      </c>
      <c r="E7" s="239">
        <v>1023068.269</v>
      </c>
      <c r="F7" s="239">
        <v>1640109.83</v>
      </c>
      <c r="G7" s="239">
        <v>2422929.0240000002</v>
      </c>
      <c r="H7" s="239">
        <v>2121983.693</v>
      </c>
      <c r="I7" s="239">
        <v>2176192.9410000001</v>
      </c>
      <c r="J7" s="239">
        <v>1885630.4010000001</v>
      </c>
      <c r="K7" s="239">
        <v>1191941.5959999999</v>
      </c>
      <c r="L7" s="239">
        <v>609701.17200000002</v>
      </c>
      <c r="M7" s="239">
        <v>149030.25099999999</v>
      </c>
      <c r="N7" s="207">
        <f t="shared" si="1"/>
        <v>14555119.585999999</v>
      </c>
    </row>
    <row r="8" spans="1:14" s="207" customFormat="1" ht="15" x14ac:dyDescent="0.25">
      <c r="A8" s="137" t="s">
        <v>6</v>
      </c>
      <c r="B8" s="163">
        <f t="shared" ref="B8:M8" si="2">SUM(B5:B7)</f>
        <v>2436691.1039999998</v>
      </c>
      <c r="C8" s="163">
        <f t="shared" si="2"/>
        <v>2305053.4160000002</v>
      </c>
      <c r="D8" s="163">
        <f t="shared" si="2"/>
        <v>2781084.9019999998</v>
      </c>
      <c r="E8" s="163">
        <f t="shared" si="2"/>
        <v>4458896.4029999999</v>
      </c>
      <c r="F8" s="163">
        <f t="shared" si="2"/>
        <v>5661872.9620000003</v>
      </c>
      <c r="G8" s="163">
        <f t="shared" si="2"/>
        <v>6994015.2350000003</v>
      </c>
      <c r="H8" s="163">
        <f t="shared" si="2"/>
        <v>6582985.9359999998</v>
      </c>
      <c r="I8" s="163">
        <f t="shared" si="2"/>
        <v>6376722.0830000006</v>
      </c>
      <c r="J8" s="163">
        <f t="shared" si="2"/>
        <v>6234660.6830000002</v>
      </c>
      <c r="K8" s="163">
        <f t="shared" si="2"/>
        <v>4788918.1710000001</v>
      </c>
      <c r="L8" s="163">
        <f t="shared" si="2"/>
        <v>3300949.523</v>
      </c>
      <c r="M8" s="163">
        <f t="shared" si="2"/>
        <v>1563898.8959999999</v>
      </c>
      <c r="N8" s="207">
        <f t="shared" si="1"/>
        <v>53485749.313999996</v>
      </c>
    </row>
    <row r="9" spans="1:14" ht="15" x14ac:dyDescent="0.25">
      <c r="A9" s="137" t="s">
        <v>49</v>
      </c>
      <c r="B9" s="163">
        <v>0</v>
      </c>
      <c r="C9" s="163">
        <v>0</v>
      </c>
      <c r="D9" s="163">
        <v>0</v>
      </c>
      <c r="E9" s="163">
        <v>0</v>
      </c>
      <c r="F9" s="163">
        <v>0</v>
      </c>
      <c r="G9" s="163">
        <v>0</v>
      </c>
      <c r="H9" s="163">
        <v>0</v>
      </c>
      <c r="I9" s="163">
        <v>0</v>
      </c>
      <c r="J9" s="163">
        <v>0</v>
      </c>
      <c r="K9" s="163">
        <v>0</v>
      </c>
      <c r="L9" s="163">
        <v>0</v>
      </c>
      <c r="M9" s="163">
        <v>0</v>
      </c>
      <c r="N9" s="207"/>
    </row>
    <row r="10" spans="1:14" ht="15" x14ac:dyDescent="0.25">
      <c r="A10" s="137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207"/>
    </row>
    <row r="11" spans="1:14" ht="15" x14ac:dyDescent="0.25">
      <c r="A11" s="142" t="s">
        <v>178</v>
      </c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207"/>
    </row>
    <row r="12" spans="1:14" x14ac:dyDescent="0.2">
      <c r="A12" s="137" t="s">
        <v>177</v>
      </c>
      <c r="B12" s="239">
        <v>66455.850999999995</v>
      </c>
      <c r="C12" s="239">
        <v>65810.383000000002</v>
      </c>
      <c r="D12" s="239">
        <v>65174.857000000004</v>
      </c>
      <c r="E12" s="239">
        <v>68991.076000000001</v>
      </c>
      <c r="F12" s="239">
        <v>65734.865000000005</v>
      </c>
      <c r="G12" s="239">
        <v>68226.277000000002</v>
      </c>
      <c r="H12" s="239">
        <v>65669.274000000005</v>
      </c>
      <c r="I12" s="239">
        <v>62094.766000000003</v>
      </c>
      <c r="J12" s="239">
        <v>67369.051000000007</v>
      </c>
      <c r="K12" s="239">
        <v>65894.456000000006</v>
      </c>
      <c r="L12" s="239">
        <v>64681.207000000002</v>
      </c>
      <c r="M12" s="239">
        <v>28021.076000000001</v>
      </c>
      <c r="N12" s="207">
        <f t="shared" ref="N12:N15" si="3">SUM(B12:M12)</f>
        <v>754123.13899999997</v>
      </c>
    </row>
    <row r="13" spans="1:14" x14ac:dyDescent="0.2">
      <c r="A13" s="137" t="s">
        <v>165</v>
      </c>
      <c r="B13" s="239">
        <v>206546.99400000001</v>
      </c>
      <c r="C13" s="239">
        <v>207953.351</v>
      </c>
      <c r="D13" s="239">
        <v>213176.33499999999</v>
      </c>
      <c r="E13" s="239">
        <v>248447.16800000001</v>
      </c>
      <c r="F13" s="239">
        <v>249445.00899999999</v>
      </c>
      <c r="G13" s="239">
        <v>260066.27799999999</v>
      </c>
      <c r="H13" s="239">
        <v>251095.27799999999</v>
      </c>
      <c r="I13" s="239">
        <v>239327.72</v>
      </c>
      <c r="J13" s="239">
        <v>254583.26</v>
      </c>
      <c r="K13" s="239">
        <v>240732.26</v>
      </c>
      <c r="L13" s="239">
        <v>216637.33</v>
      </c>
      <c r="M13" s="239">
        <v>81984.774000000005</v>
      </c>
      <c r="N13" s="207">
        <f t="shared" si="3"/>
        <v>2669995.7570000002</v>
      </c>
    </row>
    <row r="14" spans="1:14" x14ac:dyDescent="0.2">
      <c r="A14" s="137" t="s">
        <v>166</v>
      </c>
      <c r="B14" s="239">
        <v>442683.80099999998</v>
      </c>
      <c r="C14" s="239">
        <v>449558.81</v>
      </c>
      <c r="D14" s="239">
        <v>443236.66700000002</v>
      </c>
      <c r="E14" s="239">
        <v>577580.05900000001</v>
      </c>
      <c r="F14" s="239">
        <v>578683.56000000006</v>
      </c>
      <c r="G14" s="239">
        <v>650028.39800000004</v>
      </c>
      <c r="H14" s="239">
        <v>629671.36899999995</v>
      </c>
      <c r="I14" s="239">
        <v>599655.53700000001</v>
      </c>
      <c r="J14" s="239">
        <v>597302.31599999999</v>
      </c>
      <c r="K14" s="239">
        <v>504819.34399999998</v>
      </c>
      <c r="L14" s="239">
        <v>418798.62199999997</v>
      </c>
      <c r="M14" s="239">
        <v>98683.323999999993</v>
      </c>
      <c r="N14" s="207">
        <f t="shared" si="3"/>
        <v>5990701.8069999991</v>
      </c>
    </row>
    <row r="15" spans="1:14" s="207" customFormat="1" ht="15" x14ac:dyDescent="0.25">
      <c r="A15" s="137" t="s">
        <v>6</v>
      </c>
      <c r="B15" s="163">
        <f t="shared" ref="B15:M15" si="4">SUM(B12:B14)</f>
        <v>715686.64599999995</v>
      </c>
      <c r="C15" s="163">
        <f t="shared" si="4"/>
        <v>723322.54399999999</v>
      </c>
      <c r="D15" s="163">
        <f t="shared" si="4"/>
        <v>721587.85899999994</v>
      </c>
      <c r="E15" s="163">
        <f t="shared" si="4"/>
        <v>895018.30300000007</v>
      </c>
      <c r="F15" s="163">
        <f t="shared" si="4"/>
        <v>893863.43400000012</v>
      </c>
      <c r="G15" s="163">
        <f t="shared" si="4"/>
        <v>978320.95299999998</v>
      </c>
      <c r="H15" s="163">
        <f t="shared" si="4"/>
        <v>946435.92099999997</v>
      </c>
      <c r="I15" s="163">
        <f t="shared" si="4"/>
        <v>901078.02300000004</v>
      </c>
      <c r="J15" s="163">
        <f t="shared" si="4"/>
        <v>919254.62699999998</v>
      </c>
      <c r="K15" s="163">
        <f t="shared" si="4"/>
        <v>811446.06</v>
      </c>
      <c r="L15" s="163">
        <f t="shared" si="4"/>
        <v>700117.15899999999</v>
      </c>
      <c r="M15" s="163">
        <f t="shared" si="4"/>
        <v>208689.174</v>
      </c>
      <c r="N15" s="207">
        <f t="shared" si="3"/>
        <v>9414820.7030000016</v>
      </c>
    </row>
    <row r="16" spans="1:14" ht="15" x14ac:dyDescent="0.25">
      <c r="A16" s="137" t="s">
        <v>49</v>
      </c>
      <c r="B16" s="163">
        <v>0</v>
      </c>
      <c r="C16" s="163">
        <v>0</v>
      </c>
      <c r="D16" s="163">
        <v>0</v>
      </c>
      <c r="E16" s="163">
        <v>0</v>
      </c>
      <c r="F16" s="163">
        <v>0</v>
      </c>
      <c r="G16" s="163">
        <v>0</v>
      </c>
      <c r="H16" s="163">
        <v>0</v>
      </c>
      <c r="I16" s="163">
        <v>0</v>
      </c>
      <c r="J16" s="163">
        <v>0</v>
      </c>
      <c r="K16" s="163">
        <v>0</v>
      </c>
      <c r="L16" s="163">
        <v>0</v>
      </c>
      <c r="M16" s="163">
        <v>0</v>
      </c>
      <c r="N16" s="207"/>
    </row>
    <row r="17" spans="1:16" ht="15" x14ac:dyDescent="0.25">
      <c r="A17" s="137"/>
      <c r="B17" s="163"/>
      <c r="C17" s="163"/>
      <c r="D17" s="163"/>
      <c r="E17" s="163"/>
      <c r="F17" s="163"/>
      <c r="G17" s="163"/>
      <c r="H17" s="163"/>
      <c r="I17" s="163"/>
      <c r="J17" s="163"/>
      <c r="K17" s="163"/>
      <c r="L17" s="163"/>
      <c r="M17" s="163"/>
      <c r="N17" s="207"/>
    </row>
    <row r="18" spans="1:16" x14ac:dyDescent="0.2">
      <c r="A18" s="137" t="s">
        <v>163</v>
      </c>
      <c r="B18" s="207"/>
      <c r="C18" s="207"/>
      <c r="D18" s="207"/>
      <c r="E18" s="207"/>
      <c r="F18" s="207"/>
      <c r="G18" s="207"/>
      <c r="H18" s="207"/>
      <c r="I18" s="207"/>
      <c r="J18" s="207"/>
      <c r="K18" s="207"/>
      <c r="L18" s="207"/>
      <c r="M18" s="207"/>
      <c r="N18" s="207"/>
      <c r="P18" s="207"/>
    </row>
    <row r="19" spans="1:16" x14ac:dyDescent="0.2">
      <c r="A19" s="137" t="s">
        <v>164</v>
      </c>
      <c r="B19" s="239">
        <v>61737.599999999999</v>
      </c>
      <c r="C19" s="239">
        <v>62165.19</v>
      </c>
      <c r="D19" s="239">
        <v>63433.68</v>
      </c>
      <c r="E19" s="239">
        <v>66525.899999999994</v>
      </c>
      <c r="F19" s="239">
        <v>67500</v>
      </c>
      <c r="G19" s="239">
        <v>67334.38</v>
      </c>
      <c r="H19" s="239">
        <v>69360</v>
      </c>
      <c r="I19" s="239">
        <v>70980</v>
      </c>
      <c r="J19" s="239">
        <v>71100</v>
      </c>
      <c r="K19" s="239">
        <v>72000</v>
      </c>
      <c r="L19" s="239">
        <v>70241.990000000005</v>
      </c>
      <c r="M19" s="239">
        <v>70979.11</v>
      </c>
      <c r="N19" s="207">
        <f>SUM(B19:M19)</f>
        <v>813357.85</v>
      </c>
      <c r="P19" s="207"/>
    </row>
    <row r="20" spans="1:16" x14ac:dyDescent="0.2">
      <c r="A20" s="137" t="s">
        <v>165</v>
      </c>
      <c r="B20" s="239">
        <v>190222.91</v>
      </c>
      <c r="C20" s="239">
        <v>188862.49</v>
      </c>
      <c r="D20" s="239">
        <v>196876.2</v>
      </c>
      <c r="E20" s="239">
        <v>241816.23</v>
      </c>
      <c r="F20" s="239">
        <v>260935.1</v>
      </c>
      <c r="G20" s="239">
        <v>276147.83</v>
      </c>
      <c r="H20" s="239">
        <v>278423.61</v>
      </c>
      <c r="I20" s="239">
        <v>284808.07</v>
      </c>
      <c r="J20" s="239">
        <v>280728.15999999997</v>
      </c>
      <c r="K20" s="239">
        <v>264094.78999999998</v>
      </c>
      <c r="L20" s="239">
        <v>232893.8</v>
      </c>
      <c r="M20" s="239">
        <v>224854.84</v>
      </c>
      <c r="N20" s="207">
        <f t="shared" ref="N20:N22" si="5">SUM(B20:M20)</f>
        <v>2920664.03</v>
      </c>
      <c r="P20" s="207"/>
    </row>
    <row r="21" spans="1:16" x14ac:dyDescent="0.2">
      <c r="A21" s="137" t="s">
        <v>166</v>
      </c>
      <c r="B21" s="239">
        <v>590317.98</v>
      </c>
      <c r="C21" s="239">
        <v>668176.92000000004</v>
      </c>
      <c r="D21" s="239">
        <v>614308.48</v>
      </c>
      <c r="E21" s="239">
        <v>731194.55</v>
      </c>
      <c r="F21" s="239">
        <v>812694.13899999997</v>
      </c>
      <c r="G21" s="239">
        <v>905886.43</v>
      </c>
      <c r="H21" s="239">
        <v>908188.78</v>
      </c>
      <c r="I21" s="239">
        <v>863702.94</v>
      </c>
      <c r="J21" s="239">
        <v>897547.7</v>
      </c>
      <c r="K21" s="239">
        <v>785225.14</v>
      </c>
      <c r="L21" s="239">
        <v>694306.43</v>
      </c>
      <c r="M21" s="239">
        <v>517322.58</v>
      </c>
      <c r="N21" s="207">
        <f t="shared" si="5"/>
        <v>8988872.0690000001</v>
      </c>
      <c r="P21" s="207"/>
    </row>
    <row r="22" spans="1:16" ht="15" x14ac:dyDescent="0.25">
      <c r="A22" s="137" t="s">
        <v>6</v>
      </c>
      <c r="B22" s="163">
        <f t="shared" ref="B22:M22" si="6">SUM(B19:B21)</f>
        <v>842278.49</v>
      </c>
      <c r="C22" s="163">
        <f t="shared" si="6"/>
        <v>919204.60000000009</v>
      </c>
      <c r="D22" s="163">
        <f t="shared" si="6"/>
        <v>874618.36</v>
      </c>
      <c r="E22" s="163">
        <f t="shared" si="6"/>
        <v>1039536.68</v>
      </c>
      <c r="F22" s="163">
        <f t="shared" si="6"/>
        <v>1141129.2390000001</v>
      </c>
      <c r="G22" s="163">
        <f t="shared" si="6"/>
        <v>1249368.6400000001</v>
      </c>
      <c r="H22" s="163">
        <f t="shared" si="6"/>
        <v>1255972.3900000001</v>
      </c>
      <c r="I22" s="163">
        <f t="shared" si="6"/>
        <v>1219491.01</v>
      </c>
      <c r="J22" s="163">
        <f t="shared" si="6"/>
        <v>1249375.8599999999</v>
      </c>
      <c r="K22" s="163">
        <f t="shared" si="6"/>
        <v>1121319.93</v>
      </c>
      <c r="L22" s="163">
        <f t="shared" si="6"/>
        <v>997442.22</v>
      </c>
      <c r="M22" s="163">
        <f t="shared" si="6"/>
        <v>813156.53</v>
      </c>
      <c r="N22" s="207">
        <f t="shared" si="5"/>
        <v>12722893.949000001</v>
      </c>
      <c r="P22" s="207"/>
    </row>
    <row r="23" spans="1:16" ht="15" x14ac:dyDescent="0.25">
      <c r="A23" s="207" t="s">
        <v>49</v>
      </c>
      <c r="B23" s="163">
        <v>0</v>
      </c>
      <c r="C23" s="163">
        <v>0</v>
      </c>
      <c r="D23" s="163">
        <v>0</v>
      </c>
      <c r="E23" s="163">
        <v>0</v>
      </c>
      <c r="F23" s="163">
        <v>0</v>
      </c>
      <c r="G23" s="163">
        <v>0</v>
      </c>
      <c r="H23" s="163">
        <v>0</v>
      </c>
      <c r="I23" s="163">
        <v>0</v>
      </c>
      <c r="J23" s="163">
        <v>0</v>
      </c>
      <c r="K23" s="163">
        <v>0</v>
      </c>
      <c r="L23" s="163">
        <v>0</v>
      </c>
      <c r="M23" s="163">
        <v>0</v>
      </c>
      <c r="N23" s="207"/>
      <c r="P23" s="207"/>
    </row>
    <row r="24" spans="1:16" ht="15" x14ac:dyDescent="0.25">
      <c r="A24" s="137"/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207"/>
      <c r="P24" s="207"/>
    </row>
    <row r="25" spans="1:16" ht="15" x14ac:dyDescent="0.25">
      <c r="A25" s="137" t="s">
        <v>167</v>
      </c>
      <c r="B25" s="163"/>
      <c r="C25" s="163"/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207"/>
      <c r="P25" s="207"/>
    </row>
    <row r="26" spans="1:16" x14ac:dyDescent="0.2">
      <c r="A26" s="137" t="s">
        <v>164</v>
      </c>
      <c r="B26" s="239">
        <v>24300</v>
      </c>
      <c r="C26" s="239">
        <v>23400</v>
      </c>
      <c r="D26" s="239">
        <v>23400</v>
      </c>
      <c r="E26" s="239">
        <v>23156.81</v>
      </c>
      <c r="F26" s="239">
        <v>23400</v>
      </c>
      <c r="G26" s="239">
        <v>23430</v>
      </c>
      <c r="H26" s="239">
        <v>23430</v>
      </c>
      <c r="I26" s="239">
        <v>23400</v>
      </c>
      <c r="J26" s="239">
        <v>23400</v>
      </c>
      <c r="K26" s="239">
        <v>22500</v>
      </c>
      <c r="L26" s="239">
        <v>19800</v>
      </c>
      <c r="M26" s="239">
        <v>19800</v>
      </c>
      <c r="N26" s="207">
        <f>SUM(B26:M26)</f>
        <v>273416.81</v>
      </c>
      <c r="P26" s="207"/>
    </row>
    <row r="27" spans="1:16" x14ac:dyDescent="0.2">
      <c r="A27" s="137" t="s">
        <v>165</v>
      </c>
      <c r="B27" s="239">
        <v>107260.05</v>
      </c>
      <c r="C27" s="239">
        <v>104230.96</v>
      </c>
      <c r="D27" s="239">
        <v>103865.95</v>
      </c>
      <c r="E27" s="239">
        <v>101005.09</v>
      </c>
      <c r="F27" s="239">
        <v>104060.37</v>
      </c>
      <c r="G27" s="239">
        <v>104997</v>
      </c>
      <c r="H27" s="239">
        <v>105881.71</v>
      </c>
      <c r="I27" s="239">
        <v>104439.87</v>
      </c>
      <c r="J27" s="239">
        <v>104239.07</v>
      </c>
      <c r="K27" s="239">
        <v>100178.73</v>
      </c>
      <c r="L27" s="239">
        <v>87607.43</v>
      </c>
      <c r="M27" s="239">
        <v>85479.8</v>
      </c>
      <c r="N27" s="207">
        <f t="shared" ref="N27:N29" si="7">SUM(B27:M27)</f>
        <v>1213246.03</v>
      </c>
      <c r="P27" s="207"/>
    </row>
    <row r="28" spans="1:16" x14ac:dyDescent="0.2">
      <c r="A28" s="137" t="s">
        <v>166</v>
      </c>
      <c r="B28" s="239">
        <v>435357.59</v>
      </c>
      <c r="C28" s="239">
        <v>409147.22</v>
      </c>
      <c r="D28" s="239">
        <v>374255.25</v>
      </c>
      <c r="E28" s="239">
        <v>424612.54</v>
      </c>
      <c r="F28" s="239">
        <v>403405.1</v>
      </c>
      <c r="G28" s="239">
        <v>373929.33</v>
      </c>
      <c r="H28" s="239">
        <v>457730</v>
      </c>
      <c r="I28" s="239">
        <v>432223.29</v>
      </c>
      <c r="J28" s="239">
        <v>525652.61</v>
      </c>
      <c r="K28" s="239">
        <v>439380.58</v>
      </c>
      <c r="L28" s="239">
        <v>357704.08</v>
      </c>
      <c r="M28" s="239">
        <v>351693.14</v>
      </c>
      <c r="N28" s="207">
        <f t="shared" si="7"/>
        <v>4985090.7299999995</v>
      </c>
      <c r="P28" s="207"/>
    </row>
    <row r="29" spans="1:16" ht="15" x14ac:dyDescent="0.25">
      <c r="A29" s="137" t="s">
        <v>6</v>
      </c>
      <c r="B29" s="163">
        <f t="shared" ref="B29:M29" si="8">SUM(B26:B28)</f>
        <v>566917.64</v>
      </c>
      <c r="C29" s="163">
        <f t="shared" si="8"/>
        <v>536778.17999999993</v>
      </c>
      <c r="D29" s="163">
        <f t="shared" si="8"/>
        <v>501521.2</v>
      </c>
      <c r="E29" s="163">
        <f t="shared" si="8"/>
        <v>548774.43999999994</v>
      </c>
      <c r="F29" s="163">
        <f t="shared" si="8"/>
        <v>530865.47</v>
      </c>
      <c r="G29" s="163">
        <f t="shared" si="8"/>
        <v>502356.33</v>
      </c>
      <c r="H29" s="163">
        <f t="shared" si="8"/>
        <v>587041.71</v>
      </c>
      <c r="I29" s="163">
        <f t="shared" si="8"/>
        <v>560063.15999999992</v>
      </c>
      <c r="J29" s="163">
        <f t="shared" si="8"/>
        <v>653291.67999999993</v>
      </c>
      <c r="K29" s="163">
        <f t="shared" si="8"/>
        <v>562059.31000000006</v>
      </c>
      <c r="L29" s="163">
        <f t="shared" si="8"/>
        <v>465111.51</v>
      </c>
      <c r="M29" s="163">
        <f t="shared" si="8"/>
        <v>456972.94</v>
      </c>
      <c r="N29" s="207">
        <f t="shared" si="7"/>
        <v>6471753.5699999994</v>
      </c>
      <c r="P29" s="207"/>
    </row>
    <row r="30" spans="1:16" ht="15" x14ac:dyDescent="0.25">
      <c r="A30" s="137" t="s">
        <v>49</v>
      </c>
      <c r="B30" s="163">
        <v>0</v>
      </c>
      <c r="C30" s="163">
        <v>0</v>
      </c>
      <c r="D30" s="163">
        <v>0</v>
      </c>
      <c r="E30" s="163">
        <v>0</v>
      </c>
      <c r="F30" s="163">
        <v>0</v>
      </c>
      <c r="G30" s="163">
        <v>0</v>
      </c>
      <c r="H30" s="163">
        <v>0</v>
      </c>
      <c r="I30" s="163">
        <v>0</v>
      </c>
      <c r="J30" s="163">
        <v>0</v>
      </c>
      <c r="K30" s="163">
        <v>0</v>
      </c>
      <c r="L30" s="163">
        <v>0</v>
      </c>
      <c r="M30" s="163">
        <v>0</v>
      </c>
      <c r="N30" s="207"/>
      <c r="P30" s="207"/>
    </row>
    <row r="31" spans="1:16" x14ac:dyDescent="0.2">
      <c r="P31" s="207"/>
    </row>
    <row r="32" spans="1:16" ht="15" x14ac:dyDescent="0.25">
      <c r="A32" s="218" t="s">
        <v>179</v>
      </c>
      <c r="B32" s="163"/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207"/>
      <c r="P32" s="207"/>
    </row>
    <row r="33" spans="1:16" x14ac:dyDescent="0.2">
      <c r="A33" s="137" t="s">
        <v>88</v>
      </c>
      <c r="B33" s="239">
        <v>477465.83299999998</v>
      </c>
      <c r="C33" s="239">
        <v>455876.00099999999</v>
      </c>
      <c r="D33" s="239">
        <v>475597.31800000003</v>
      </c>
      <c r="E33" s="239">
        <v>585808.54399999999</v>
      </c>
      <c r="F33" s="239">
        <v>609730.79299999995</v>
      </c>
      <c r="G33" s="239">
        <v>627459.95499999996</v>
      </c>
      <c r="H33" s="239">
        <v>619196.05900000001</v>
      </c>
      <c r="I33" s="239">
        <v>596871.32700000005</v>
      </c>
      <c r="J33" s="239">
        <v>628194.80700000003</v>
      </c>
      <c r="K33" s="239">
        <v>590443.04700000002</v>
      </c>
      <c r="L33" s="239">
        <v>535177.755</v>
      </c>
      <c r="M33" s="239">
        <v>453570.95</v>
      </c>
      <c r="N33" s="207">
        <f t="shared" ref="N33:N36" si="9">SUM(B33:M33)</f>
        <v>6655392.3890000004</v>
      </c>
      <c r="P33" s="207"/>
    </row>
    <row r="34" spans="1:16" x14ac:dyDescent="0.2">
      <c r="A34" s="137" t="s">
        <v>89</v>
      </c>
      <c r="B34" s="239">
        <v>207016.51500000001</v>
      </c>
      <c r="C34" s="239">
        <v>190848.08100000001</v>
      </c>
      <c r="D34" s="239">
        <v>227262.685</v>
      </c>
      <c r="E34" s="239">
        <v>328943.587</v>
      </c>
      <c r="F34" s="239">
        <v>390519.83799999999</v>
      </c>
      <c r="G34" s="239">
        <v>478153.67599999998</v>
      </c>
      <c r="H34" s="239">
        <v>453670.63400000002</v>
      </c>
      <c r="I34" s="239">
        <v>395277.45</v>
      </c>
      <c r="J34" s="239">
        <v>414001.36099999998</v>
      </c>
      <c r="K34" s="239">
        <v>295900.73800000001</v>
      </c>
      <c r="L34" s="239">
        <v>251734.97399999999</v>
      </c>
      <c r="M34" s="239">
        <v>208698.899</v>
      </c>
      <c r="N34" s="207">
        <f t="shared" si="9"/>
        <v>3842028.4380000001</v>
      </c>
      <c r="P34" s="207"/>
    </row>
    <row r="35" spans="1:16" x14ac:dyDescent="0.2">
      <c r="A35" s="137" t="s">
        <v>169</v>
      </c>
      <c r="B35" s="239">
        <v>33590.434000000001</v>
      </c>
      <c r="C35" s="239">
        <v>17665.422999999999</v>
      </c>
      <c r="D35" s="239">
        <v>89193.548999999999</v>
      </c>
      <c r="E35" s="239">
        <v>336004.20199999999</v>
      </c>
      <c r="F35" s="239">
        <v>551061.34400000004</v>
      </c>
      <c r="G35" s="239">
        <v>760828.57700000005</v>
      </c>
      <c r="H35" s="239">
        <v>637649.24600000004</v>
      </c>
      <c r="I35" s="239">
        <v>587587.76100000006</v>
      </c>
      <c r="J35" s="239">
        <v>600062.96799999999</v>
      </c>
      <c r="K35" s="239">
        <v>357311.35100000002</v>
      </c>
      <c r="L35" s="239">
        <v>133322.15700000001</v>
      </c>
      <c r="M35" s="239">
        <v>47470.894999999997</v>
      </c>
      <c r="N35" s="207">
        <f t="shared" si="9"/>
        <v>4151747.9070000006</v>
      </c>
      <c r="P35" s="207"/>
    </row>
    <row r="36" spans="1:16" ht="15" x14ac:dyDescent="0.25">
      <c r="A36" s="137" t="s">
        <v>6</v>
      </c>
      <c r="B36" s="163">
        <f t="shared" ref="B36:M36" si="10">SUM(B33:B35)</f>
        <v>718072.78200000001</v>
      </c>
      <c r="C36" s="163">
        <f t="shared" si="10"/>
        <v>664389.50499999989</v>
      </c>
      <c r="D36" s="163">
        <f t="shared" si="10"/>
        <v>792053.55200000003</v>
      </c>
      <c r="E36" s="163">
        <f t="shared" si="10"/>
        <v>1250756.3330000001</v>
      </c>
      <c r="F36" s="163">
        <f t="shared" si="10"/>
        <v>1551311.9750000001</v>
      </c>
      <c r="G36" s="163">
        <f t="shared" si="10"/>
        <v>1866442.2080000001</v>
      </c>
      <c r="H36" s="163">
        <f t="shared" si="10"/>
        <v>1710515.939</v>
      </c>
      <c r="I36" s="163">
        <f t="shared" si="10"/>
        <v>1579736.5380000002</v>
      </c>
      <c r="J36" s="163">
        <f t="shared" si="10"/>
        <v>1642259.1359999999</v>
      </c>
      <c r="K36" s="163">
        <f t="shared" si="10"/>
        <v>1243655.1359999999</v>
      </c>
      <c r="L36" s="163">
        <f t="shared" si="10"/>
        <v>920234.88600000006</v>
      </c>
      <c r="M36" s="163">
        <f t="shared" si="10"/>
        <v>709740.74400000006</v>
      </c>
      <c r="N36" s="207">
        <f t="shared" si="9"/>
        <v>14649168.734000001</v>
      </c>
      <c r="P36" s="207"/>
    </row>
    <row r="37" spans="1:16" ht="15" x14ac:dyDescent="0.25">
      <c r="A37" s="137" t="s">
        <v>49</v>
      </c>
      <c r="B37" s="163">
        <v>0</v>
      </c>
      <c r="C37" s="163">
        <v>0</v>
      </c>
      <c r="D37" s="163">
        <v>0</v>
      </c>
      <c r="E37" s="163">
        <v>0</v>
      </c>
      <c r="F37" s="163">
        <v>0</v>
      </c>
      <c r="G37" s="163">
        <v>0</v>
      </c>
      <c r="H37" s="163">
        <v>0</v>
      </c>
      <c r="I37" s="163">
        <v>0</v>
      </c>
      <c r="J37" s="163">
        <v>0</v>
      </c>
      <c r="K37" s="163">
        <v>0</v>
      </c>
      <c r="L37" s="163">
        <v>0</v>
      </c>
      <c r="M37" s="163">
        <v>0</v>
      </c>
      <c r="N37" s="207"/>
      <c r="P37" s="207"/>
    </row>
    <row r="38" spans="1:16" ht="15" x14ac:dyDescent="0.25">
      <c r="A38" s="137"/>
      <c r="B38" s="163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207"/>
      <c r="P38" s="207"/>
    </row>
    <row r="39" spans="1:16" ht="15" x14ac:dyDescent="0.25">
      <c r="A39" s="218" t="s">
        <v>180</v>
      </c>
      <c r="B39" s="163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207"/>
      <c r="P39" s="207"/>
    </row>
    <row r="40" spans="1:16" x14ac:dyDescent="0.2">
      <c r="A40" s="137" t="s">
        <v>88</v>
      </c>
      <c r="B40" s="239">
        <v>92736.415999999997</v>
      </c>
      <c r="C40" s="239">
        <v>88705.854999999996</v>
      </c>
      <c r="D40" s="239">
        <v>88846.324999999997</v>
      </c>
      <c r="E40" s="239">
        <v>96948.638000000006</v>
      </c>
      <c r="F40" s="239">
        <v>99609.741999999998</v>
      </c>
      <c r="G40" s="239">
        <v>98942.221999999994</v>
      </c>
      <c r="H40" s="239">
        <v>100694.553</v>
      </c>
      <c r="I40" s="239">
        <v>95970.812999999995</v>
      </c>
      <c r="J40" s="239">
        <v>99781.682000000001</v>
      </c>
      <c r="K40" s="239">
        <v>100107.56</v>
      </c>
      <c r="L40" s="239">
        <v>91522.342999999993</v>
      </c>
      <c r="M40" s="239">
        <v>87325.294999999998</v>
      </c>
      <c r="N40" s="207">
        <f t="shared" ref="N40:N43" si="11">SUM(B40:M40)</f>
        <v>1141191.4439999997</v>
      </c>
      <c r="P40" s="207"/>
    </row>
    <row r="41" spans="1:16" x14ac:dyDescent="0.2">
      <c r="A41" s="137" t="s">
        <v>89</v>
      </c>
      <c r="B41" s="239">
        <v>25480.246999999999</v>
      </c>
      <c r="C41" s="239">
        <v>19372.763999999999</v>
      </c>
      <c r="D41" s="239">
        <v>28774.941999999999</v>
      </c>
      <c r="E41" s="239">
        <v>35709.906999999999</v>
      </c>
      <c r="F41" s="239">
        <v>45196.078000000001</v>
      </c>
      <c r="G41" s="239">
        <v>53216.502999999997</v>
      </c>
      <c r="H41" s="239">
        <v>47232.860999999997</v>
      </c>
      <c r="I41" s="239">
        <v>41418.798999999999</v>
      </c>
      <c r="J41" s="239">
        <v>37198.016000000003</v>
      </c>
      <c r="K41" s="239">
        <v>47052.500999999997</v>
      </c>
      <c r="L41" s="239">
        <v>35115.035000000003</v>
      </c>
      <c r="M41" s="239">
        <v>24692.401000000002</v>
      </c>
      <c r="N41" s="207">
        <f t="shared" si="11"/>
        <v>440460.05400000006</v>
      </c>
      <c r="P41" s="207"/>
    </row>
    <row r="42" spans="1:16" x14ac:dyDescent="0.2">
      <c r="A42" s="137" t="s">
        <v>169</v>
      </c>
      <c r="B42" s="239">
        <v>0</v>
      </c>
      <c r="C42" s="239">
        <v>0</v>
      </c>
      <c r="D42" s="239">
        <v>0</v>
      </c>
      <c r="E42" s="239">
        <v>0</v>
      </c>
      <c r="F42" s="239">
        <v>5770.2039999999997</v>
      </c>
      <c r="G42" s="239">
        <v>10783.439</v>
      </c>
      <c r="H42" s="239">
        <v>4855.9160000000002</v>
      </c>
      <c r="I42" s="239">
        <v>6754.884</v>
      </c>
      <c r="J42" s="239">
        <v>8416.9130000000005</v>
      </c>
      <c r="K42" s="239">
        <v>2528.7159999999999</v>
      </c>
      <c r="L42" s="239">
        <v>76.122</v>
      </c>
      <c r="M42" s="239">
        <v>0</v>
      </c>
      <c r="N42" s="207">
        <f t="shared" si="11"/>
        <v>39186.194000000003</v>
      </c>
      <c r="P42" s="207"/>
    </row>
    <row r="43" spans="1:16" ht="15" x14ac:dyDescent="0.25">
      <c r="A43" s="137" t="s">
        <v>6</v>
      </c>
      <c r="B43" s="163">
        <f t="shared" ref="B43:M43" si="12">SUM(B40:B42)</f>
        <v>118216.663</v>
      </c>
      <c r="C43" s="163">
        <f t="shared" si="12"/>
        <v>108078.61899999999</v>
      </c>
      <c r="D43" s="163">
        <f t="shared" si="12"/>
        <v>117621.26699999999</v>
      </c>
      <c r="E43" s="163">
        <f t="shared" si="12"/>
        <v>132658.54500000001</v>
      </c>
      <c r="F43" s="163">
        <f t="shared" si="12"/>
        <v>150576.024</v>
      </c>
      <c r="G43" s="163">
        <f t="shared" si="12"/>
        <v>162942.16399999999</v>
      </c>
      <c r="H43" s="163">
        <f t="shared" si="12"/>
        <v>152783.32999999999</v>
      </c>
      <c r="I43" s="163">
        <f t="shared" si="12"/>
        <v>144144.49599999998</v>
      </c>
      <c r="J43" s="163">
        <f t="shared" si="12"/>
        <v>145396.611</v>
      </c>
      <c r="K43" s="163">
        <f t="shared" si="12"/>
        <v>149688.77699999997</v>
      </c>
      <c r="L43" s="163">
        <f t="shared" si="12"/>
        <v>126713.5</v>
      </c>
      <c r="M43" s="163">
        <f t="shared" si="12"/>
        <v>112017.696</v>
      </c>
      <c r="N43" s="207">
        <f t="shared" si="11"/>
        <v>1620837.692</v>
      </c>
      <c r="P43" s="207"/>
    </row>
    <row r="44" spans="1:16" ht="15" x14ac:dyDescent="0.25">
      <c r="A44" s="137" t="s">
        <v>49</v>
      </c>
      <c r="B44" s="163">
        <v>0</v>
      </c>
      <c r="C44" s="163">
        <v>0</v>
      </c>
      <c r="D44" s="163">
        <v>0</v>
      </c>
      <c r="E44" s="163">
        <v>0</v>
      </c>
      <c r="F44" s="163">
        <v>0</v>
      </c>
      <c r="G44" s="163">
        <v>0</v>
      </c>
      <c r="H44" s="163">
        <v>0</v>
      </c>
      <c r="I44" s="163">
        <v>0</v>
      </c>
      <c r="J44" s="163">
        <v>0</v>
      </c>
      <c r="K44" s="163">
        <v>0</v>
      </c>
      <c r="L44" s="163">
        <v>0</v>
      </c>
      <c r="M44" s="163">
        <v>0</v>
      </c>
      <c r="N44" s="207"/>
      <c r="P44" s="207"/>
    </row>
    <row r="45" spans="1:16" x14ac:dyDescent="0.2">
      <c r="P45" s="207"/>
    </row>
    <row r="46" spans="1:16" ht="15" x14ac:dyDescent="0.25">
      <c r="A46" s="137" t="s">
        <v>168</v>
      </c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207"/>
      <c r="P46" s="207"/>
    </row>
    <row r="47" spans="1:16" x14ac:dyDescent="0.2">
      <c r="A47" s="137" t="s">
        <v>88</v>
      </c>
      <c r="B47" s="239">
        <v>766888.77</v>
      </c>
      <c r="C47" s="239">
        <v>765804.68</v>
      </c>
      <c r="D47" s="239">
        <v>768877.91</v>
      </c>
      <c r="E47" s="239">
        <v>786959.22</v>
      </c>
      <c r="F47" s="239">
        <v>782983.73</v>
      </c>
      <c r="G47" s="239">
        <v>806226.5</v>
      </c>
      <c r="H47" s="239">
        <v>795648.58</v>
      </c>
      <c r="I47" s="239">
        <v>769515.8</v>
      </c>
      <c r="J47" s="239">
        <v>788760.82</v>
      </c>
      <c r="K47" s="239">
        <v>775878.28</v>
      </c>
      <c r="L47" s="239">
        <v>779542.12</v>
      </c>
      <c r="M47" s="239">
        <v>782090.09</v>
      </c>
      <c r="N47" s="207">
        <f t="shared" ref="N47:N50" si="13">SUM(B47:M47)</f>
        <v>9369176.5</v>
      </c>
      <c r="P47" s="207"/>
    </row>
    <row r="48" spans="1:16" x14ac:dyDescent="0.2">
      <c r="A48" s="137" t="s">
        <v>89</v>
      </c>
      <c r="B48" s="239">
        <v>443250.74</v>
      </c>
      <c r="C48" s="239">
        <v>463829.1</v>
      </c>
      <c r="D48" s="239">
        <v>429032.8</v>
      </c>
      <c r="E48" s="239">
        <v>504504.02</v>
      </c>
      <c r="F48" s="239">
        <v>536322.56000000006</v>
      </c>
      <c r="G48" s="239">
        <v>534661.91</v>
      </c>
      <c r="H48" s="239">
        <v>542927.29</v>
      </c>
      <c r="I48" s="239">
        <v>521896.28</v>
      </c>
      <c r="J48" s="239">
        <v>553130.56999999995</v>
      </c>
      <c r="K48" s="239">
        <v>502540.24</v>
      </c>
      <c r="L48" s="239">
        <v>489533.2</v>
      </c>
      <c r="M48" s="239">
        <v>495352.57</v>
      </c>
      <c r="N48" s="207">
        <f t="shared" si="13"/>
        <v>6016981.2800000012</v>
      </c>
      <c r="P48" s="207"/>
    </row>
    <row r="49" spans="1:16" x14ac:dyDescent="0.2">
      <c r="A49" s="137" t="s">
        <v>169</v>
      </c>
      <c r="B49" s="239">
        <v>360795.62</v>
      </c>
      <c r="C49" s="239">
        <v>422867</v>
      </c>
      <c r="D49" s="239">
        <v>365541.03</v>
      </c>
      <c r="E49" s="239">
        <v>531690.54</v>
      </c>
      <c r="F49" s="239">
        <v>641386.82999999996</v>
      </c>
      <c r="G49" s="239">
        <v>833721.87</v>
      </c>
      <c r="H49" s="239">
        <v>779636.05</v>
      </c>
      <c r="I49" s="239">
        <v>713877.37</v>
      </c>
      <c r="J49" s="239">
        <v>762309.19</v>
      </c>
      <c r="K49" s="239">
        <v>553623.57999999996</v>
      </c>
      <c r="L49" s="239">
        <v>531957.80000000005</v>
      </c>
      <c r="M49" s="239">
        <v>454731.69</v>
      </c>
      <c r="N49" s="207">
        <f t="shared" si="13"/>
        <v>6952138.5700000003</v>
      </c>
      <c r="P49" s="207"/>
    </row>
    <row r="50" spans="1:16" ht="15" x14ac:dyDescent="0.25">
      <c r="A50" s="137" t="s">
        <v>6</v>
      </c>
      <c r="B50" s="163">
        <f t="shared" ref="B50:M50" si="14">SUM(B47:B49)</f>
        <v>1570935.13</v>
      </c>
      <c r="C50" s="163">
        <f t="shared" si="14"/>
        <v>1652500.78</v>
      </c>
      <c r="D50" s="163">
        <f t="shared" si="14"/>
        <v>1563451.74</v>
      </c>
      <c r="E50" s="163">
        <f t="shared" si="14"/>
        <v>1823153.78</v>
      </c>
      <c r="F50" s="163">
        <f t="shared" si="14"/>
        <v>1960693.12</v>
      </c>
      <c r="G50" s="163">
        <f t="shared" si="14"/>
        <v>2174610.2800000003</v>
      </c>
      <c r="H50" s="163">
        <f t="shared" si="14"/>
        <v>2118211.92</v>
      </c>
      <c r="I50" s="163">
        <f t="shared" si="14"/>
        <v>2005289.4500000002</v>
      </c>
      <c r="J50" s="163">
        <f t="shared" si="14"/>
        <v>2104200.58</v>
      </c>
      <c r="K50" s="163">
        <f t="shared" si="14"/>
        <v>1832042.1</v>
      </c>
      <c r="L50" s="163">
        <f t="shared" si="14"/>
        <v>1801033.12</v>
      </c>
      <c r="M50" s="163">
        <f t="shared" si="14"/>
        <v>1732174.3499999999</v>
      </c>
      <c r="N50" s="207">
        <f t="shared" si="13"/>
        <v>22338296.350000005</v>
      </c>
      <c r="P50" s="207"/>
    </row>
    <row r="51" spans="1:16" ht="15" x14ac:dyDescent="0.25">
      <c r="A51" s="137" t="s">
        <v>49</v>
      </c>
      <c r="B51" s="163">
        <v>0</v>
      </c>
      <c r="C51" s="163">
        <v>0</v>
      </c>
      <c r="D51" s="163">
        <v>0</v>
      </c>
      <c r="E51" s="163">
        <v>0</v>
      </c>
      <c r="F51" s="163">
        <v>0</v>
      </c>
      <c r="G51" s="163">
        <v>0</v>
      </c>
      <c r="H51" s="163">
        <v>0</v>
      </c>
      <c r="I51" s="163">
        <v>0</v>
      </c>
      <c r="J51" s="163">
        <v>0</v>
      </c>
      <c r="K51" s="163">
        <v>0</v>
      </c>
      <c r="L51" s="163">
        <v>0</v>
      </c>
      <c r="M51" s="163">
        <v>0</v>
      </c>
      <c r="N51" s="207"/>
      <c r="P51" s="207"/>
    </row>
    <row r="52" spans="1:16" ht="15" x14ac:dyDescent="0.25">
      <c r="A52" s="137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207"/>
      <c r="P52" s="207"/>
    </row>
    <row r="53" spans="1:16" ht="15" x14ac:dyDescent="0.25">
      <c r="A53" s="137" t="s">
        <v>170</v>
      </c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207"/>
      <c r="P53" s="207"/>
    </row>
    <row r="54" spans="1:16" x14ac:dyDescent="0.2">
      <c r="A54" s="137" t="s">
        <v>88</v>
      </c>
      <c r="B54" s="239">
        <v>1561528.83</v>
      </c>
      <c r="C54" s="239">
        <v>1556380.97</v>
      </c>
      <c r="D54" s="239">
        <v>1598541.33</v>
      </c>
      <c r="E54" s="239">
        <v>1638582.18</v>
      </c>
      <c r="F54" s="239">
        <v>1588806.52</v>
      </c>
      <c r="G54" s="239">
        <v>1505284.1</v>
      </c>
      <c r="H54" s="239">
        <v>1462114.96</v>
      </c>
      <c r="I54" s="239">
        <v>1504173.8</v>
      </c>
      <c r="J54" s="239">
        <v>1601952.22</v>
      </c>
      <c r="K54" s="239">
        <v>1597650.4</v>
      </c>
      <c r="L54" s="239">
        <v>1600042.06</v>
      </c>
      <c r="M54" s="239">
        <v>1608072.67</v>
      </c>
      <c r="N54" s="207">
        <f t="shared" ref="N54:N57" si="15">SUM(B54:M54)</f>
        <v>18823130.039999999</v>
      </c>
      <c r="P54" s="207"/>
    </row>
    <row r="55" spans="1:16" x14ac:dyDescent="0.2">
      <c r="A55" s="137" t="s">
        <v>89</v>
      </c>
      <c r="B55" s="239">
        <v>1105338.79</v>
      </c>
      <c r="C55" s="239">
        <v>1127142.8500000001</v>
      </c>
      <c r="D55" s="239">
        <v>1073013.7</v>
      </c>
      <c r="E55" s="239">
        <v>1212633.3899999999</v>
      </c>
      <c r="F55" s="239">
        <v>1044503.57</v>
      </c>
      <c r="G55" s="239">
        <v>1068403.94</v>
      </c>
      <c r="H55" s="239">
        <v>1038998.88</v>
      </c>
      <c r="I55" s="239">
        <v>947370.73</v>
      </c>
      <c r="J55" s="239">
        <v>1098021.3700000001</v>
      </c>
      <c r="K55" s="239">
        <v>1061605.1299999999</v>
      </c>
      <c r="L55" s="239">
        <v>1159432.25</v>
      </c>
      <c r="M55" s="239">
        <v>1071304.6599999999</v>
      </c>
      <c r="N55" s="207">
        <f t="shared" si="15"/>
        <v>13007769.259999998</v>
      </c>
      <c r="P55" s="207"/>
    </row>
    <row r="56" spans="1:16" x14ac:dyDescent="0.2">
      <c r="A56" s="137" t="s">
        <v>169</v>
      </c>
      <c r="B56" s="239">
        <v>1613960.94</v>
      </c>
      <c r="C56" s="239">
        <v>2031825.97</v>
      </c>
      <c r="D56" s="239">
        <v>1959765.04</v>
      </c>
      <c r="E56" s="239">
        <v>2275699.87</v>
      </c>
      <c r="F56" s="239">
        <v>1844888.73</v>
      </c>
      <c r="G56" s="239">
        <v>2021572.3</v>
      </c>
      <c r="H56" s="239">
        <v>1962519.28</v>
      </c>
      <c r="I56" s="239">
        <v>1665226.63</v>
      </c>
      <c r="J56" s="239">
        <v>2171507.1800000002</v>
      </c>
      <c r="K56" s="239">
        <v>1660681.29</v>
      </c>
      <c r="L56" s="239">
        <v>1497293.06</v>
      </c>
      <c r="M56" s="239">
        <v>1554405.18</v>
      </c>
      <c r="N56" s="207">
        <f t="shared" si="15"/>
        <v>22259345.469999999</v>
      </c>
      <c r="P56" s="207"/>
    </row>
    <row r="57" spans="1:16" s="207" customFormat="1" ht="15" x14ac:dyDescent="0.25">
      <c r="A57" s="137" t="s">
        <v>6</v>
      </c>
      <c r="B57" s="163">
        <f t="shared" ref="B57:M57" si="16">SUM(B54:B56)</f>
        <v>4280828.5600000005</v>
      </c>
      <c r="C57" s="163">
        <f t="shared" si="16"/>
        <v>4715349.79</v>
      </c>
      <c r="D57" s="163">
        <f t="shared" si="16"/>
        <v>4631320.07</v>
      </c>
      <c r="E57" s="163">
        <f t="shared" si="16"/>
        <v>5126915.4399999995</v>
      </c>
      <c r="F57" s="163">
        <f t="shared" si="16"/>
        <v>4478198.82</v>
      </c>
      <c r="G57" s="163">
        <f t="shared" si="16"/>
        <v>4595260.34</v>
      </c>
      <c r="H57" s="163">
        <f t="shared" si="16"/>
        <v>4463633.12</v>
      </c>
      <c r="I57" s="163">
        <f t="shared" si="16"/>
        <v>4116771.16</v>
      </c>
      <c r="J57" s="163">
        <f t="shared" si="16"/>
        <v>4871480.7699999996</v>
      </c>
      <c r="K57" s="163">
        <f t="shared" si="16"/>
        <v>4319936.82</v>
      </c>
      <c r="L57" s="163">
        <f t="shared" si="16"/>
        <v>4256767.37</v>
      </c>
      <c r="M57" s="163">
        <f t="shared" si="16"/>
        <v>4233782.51</v>
      </c>
      <c r="N57" s="207">
        <f t="shared" si="15"/>
        <v>54090244.769999988</v>
      </c>
    </row>
    <row r="58" spans="1:16" ht="15" x14ac:dyDescent="0.25">
      <c r="A58" s="137" t="s">
        <v>49</v>
      </c>
      <c r="B58" s="163">
        <v>0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3">
        <v>0</v>
      </c>
      <c r="I58" s="163">
        <v>0</v>
      </c>
      <c r="J58" s="163">
        <v>0</v>
      </c>
      <c r="K58" s="163">
        <v>0</v>
      </c>
      <c r="L58" s="163">
        <v>0</v>
      </c>
      <c r="M58" s="163">
        <v>0</v>
      </c>
      <c r="N58" s="207"/>
      <c r="P58" s="207"/>
    </row>
    <row r="59" spans="1:16" x14ac:dyDescent="0.2">
      <c r="A59" s="137"/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207"/>
      <c r="M59" s="207"/>
      <c r="N59" s="207"/>
      <c r="P59" s="207"/>
    </row>
    <row r="60" spans="1:16" ht="15" x14ac:dyDescent="0.25">
      <c r="A60" s="137" t="s">
        <v>181</v>
      </c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207"/>
      <c r="P60" s="207"/>
    </row>
    <row r="61" spans="1:16" x14ac:dyDescent="0.2">
      <c r="A61" s="137" t="s">
        <v>94</v>
      </c>
      <c r="B61" s="239">
        <v>87597.444000000003</v>
      </c>
      <c r="C61" s="239">
        <v>84631.491999999998</v>
      </c>
      <c r="D61" s="239">
        <v>126225.602</v>
      </c>
      <c r="E61" s="239">
        <v>195108.80900000001</v>
      </c>
      <c r="F61" s="239">
        <v>201337.30300000001</v>
      </c>
      <c r="G61" s="239">
        <v>210305.31200000001</v>
      </c>
      <c r="H61" s="239">
        <v>210017.342</v>
      </c>
      <c r="I61" s="239">
        <v>192508.152</v>
      </c>
      <c r="J61" s="239">
        <v>216360.37599999999</v>
      </c>
      <c r="K61" s="239">
        <v>203989.42300000001</v>
      </c>
      <c r="L61" s="239">
        <v>163752.66</v>
      </c>
      <c r="M61" s="239">
        <v>121940.942</v>
      </c>
      <c r="N61" s="207">
        <f t="shared" ref="N61:N63" si="17">SUM(B61:M61)</f>
        <v>2013774.8569999998</v>
      </c>
      <c r="P61" s="207"/>
    </row>
    <row r="62" spans="1:16" x14ac:dyDescent="0.2">
      <c r="A62" s="137" t="s">
        <v>172</v>
      </c>
      <c r="B62" s="239">
        <v>121149.11199999999</v>
      </c>
      <c r="C62" s="239">
        <v>108421.30499999999</v>
      </c>
      <c r="D62" s="239">
        <v>194062.125</v>
      </c>
      <c r="E62" s="239">
        <v>557231.17500000005</v>
      </c>
      <c r="F62" s="239">
        <v>825690.08499999996</v>
      </c>
      <c r="G62" s="239">
        <v>1072220.727</v>
      </c>
      <c r="H62" s="239">
        <v>976726.06700000004</v>
      </c>
      <c r="I62" s="239">
        <v>904237.80599999998</v>
      </c>
      <c r="J62" s="239">
        <v>892410.78599999996</v>
      </c>
      <c r="K62" s="239">
        <v>634904.30500000005</v>
      </c>
      <c r="L62" s="239">
        <v>313486.36300000001</v>
      </c>
      <c r="M62" s="239">
        <v>185910.36199999999</v>
      </c>
      <c r="N62" s="207">
        <f t="shared" si="17"/>
        <v>6786450.2179999994</v>
      </c>
      <c r="P62" s="207"/>
    </row>
    <row r="63" spans="1:16" ht="15" x14ac:dyDescent="0.25">
      <c r="A63" s="137" t="s">
        <v>6</v>
      </c>
      <c r="B63" s="163">
        <f t="shared" ref="B63:M63" si="18">SUM(B61:B62)</f>
        <v>208746.55599999998</v>
      </c>
      <c r="C63" s="163">
        <f t="shared" si="18"/>
        <v>193052.79699999999</v>
      </c>
      <c r="D63" s="163">
        <f t="shared" si="18"/>
        <v>320287.72700000001</v>
      </c>
      <c r="E63" s="163">
        <f t="shared" si="18"/>
        <v>752339.98400000005</v>
      </c>
      <c r="F63" s="163">
        <f t="shared" si="18"/>
        <v>1027027.388</v>
      </c>
      <c r="G63" s="163">
        <f t="shared" si="18"/>
        <v>1282526.0389999999</v>
      </c>
      <c r="H63" s="163">
        <f t="shared" si="18"/>
        <v>1186743.409</v>
      </c>
      <c r="I63" s="163">
        <f t="shared" si="18"/>
        <v>1096745.9580000001</v>
      </c>
      <c r="J63" s="163">
        <f t="shared" si="18"/>
        <v>1108771.162</v>
      </c>
      <c r="K63" s="163">
        <f t="shared" si="18"/>
        <v>838893.72800000012</v>
      </c>
      <c r="L63" s="163">
        <f t="shared" si="18"/>
        <v>477239.02300000004</v>
      </c>
      <c r="M63" s="163">
        <f t="shared" si="18"/>
        <v>307851.304</v>
      </c>
      <c r="N63" s="207">
        <f t="shared" si="17"/>
        <v>8800225.0750000011</v>
      </c>
      <c r="P63" s="207"/>
    </row>
    <row r="64" spans="1:16" s="207" customFormat="1" ht="15" x14ac:dyDescent="0.25">
      <c r="A64" s="137" t="s">
        <v>49</v>
      </c>
      <c r="B64" s="163">
        <v>0</v>
      </c>
      <c r="C64" s="163">
        <v>0</v>
      </c>
      <c r="D64" s="163">
        <v>0</v>
      </c>
      <c r="E64" s="163">
        <v>0</v>
      </c>
      <c r="F64" s="163">
        <v>0</v>
      </c>
      <c r="G64" s="163">
        <v>0</v>
      </c>
      <c r="H64" s="163">
        <v>0</v>
      </c>
      <c r="I64" s="163">
        <v>0</v>
      </c>
      <c r="J64" s="163">
        <v>0</v>
      </c>
      <c r="K64" s="163">
        <v>0</v>
      </c>
      <c r="L64" s="163">
        <v>0</v>
      </c>
      <c r="M64" s="163">
        <v>0</v>
      </c>
    </row>
    <row r="65" spans="1:16" ht="15" x14ac:dyDescent="0.25">
      <c r="A65" s="137"/>
      <c r="B65" s="163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207"/>
      <c r="P65" s="207"/>
    </row>
    <row r="66" spans="1:16" ht="15" x14ac:dyDescent="0.25">
      <c r="A66" s="207" t="s">
        <v>182</v>
      </c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207"/>
      <c r="P66" s="207"/>
    </row>
    <row r="67" spans="1:16" x14ac:dyDescent="0.2">
      <c r="A67" s="137" t="s">
        <v>94</v>
      </c>
      <c r="B67" s="239">
        <v>2802.0790000000002</v>
      </c>
      <c r="C67" s="239">
        <v>2546.2429999999999</v>
      </c>
      <c r="D67" s="239">
        <v>2989.864</v>
      </c>
      <c r="E67" s="239">
        <v>3829.4369999999999</v>
      </c>
      <c r="F67" s="239">
        <v>4170.4679999999998</v>
      </c>
      <c r="G67" s="239">
        <v>4091.895</v>
      </c>
      <c r="H67" s="239">
        <v>4058.5680000000002</v>
      </c>
      <c r="I67" s="239">
        <v>4688.7169999999996</v>
      </c>
      <c r="J67" s="239">
        <v>5155.1409999999996</v>
      </c>
      <c r="K67" s="239">
        <v>5215.2560000000003</v>
      </c>
      <c r="L67" s="239">
        <v>3869.3560000000002</v>
      </c>
      <c r="M67" s="239">
        <v>3194.134</v>
      </c>
      <c r="N67" s="207">
        <f t="shared" ref="N67:N69" si="19">SUM(B67:M67)</f>
        <v>46611.157999999996</v>
      </c>
      <c r="P67" s="207"/>
    </row>
    <row r="68" spans="1:16" x14ac:dyDescent="0.2">
      <c r="A68" s="137" t="s">
        <v>172</v>
      </c>
      <c r="B68" s="239">
        <v>4248.6400000000003</v>
      </c>
      <c r="C68" s="239">
        <v>4444.2209999999995</v>
      </c>
      <c r="D68" s="239">
        <v>56483.425999999999</v>
      </c>
      <c r="E68" s="239">
        <v>61449.167000000001</v>
      </c>
      <c r="F68" s="239">
        <v>14082.380999999999</v>
      </c>
      <c r="G68" s="239">
        <v>14404.419</v>
      </c>
      <c r="H68" s="239">
        <v>13643.699000000001</v>
      </c>
      <c r="I68" s="239">
        <v>14034.593999999999</v>
      </c>
      <c r="J68" s="239">
        <v>11875.316000000001</v>
      </c>
      <c r="K68" s="239">
        <v>16755.670999999998</v>
      </c>
      <c r="L68" s="239">
        <v>7262.56</v>
      </c>
      <c r="M68" s="239">
        <v>5377.2150000000001</v>
      </c>
      <c r="N68" s="207">
        <f t="shared" si="19"/>
        <v>224061.30899999998</v>
      </c>
      <c r="P68" s="207"/>
    </row>
    <row r="69" spans="1:16" ht="15" x14ac:dyDescent="0.25">
      <c r="A69" s="137" t="s">
        <v>6</v>
      </c>
      <c r="B69" s="163">
        <f t="shared" ref="B69:M69" si="20">SUM(B67:B68)</f>
        <v>7050.719000000001</v>
      </c>
      <c r="C69" s="163">
        <f t="shared" si="20"/>
        <v>6990.4639999999999</v>
      </c>
      <c r="D69" s="163">
        <f t="shared" si="20"/>
        <v>59473.29</v>
      </c>
      <c r="E69" s="163">
        <f t="shared" si="20"/>
        <v>65278.603999999999</v>
      </c>
      <c r="F69" s="163">
        <f t="shared" si="20"/>
        <v>18252.848999999998</v>
      </c>
      <c r="G69" s="163">
        <f t="shared" si="20"/>
        <v>18496.313999999998</v>
      </c>
      <c r="H69" s="163">
        <f t="shared" si="20"/>
        <v>17702.267</v>
      </c>
      <c r="I69" s="163">
        <f t="shared" si="20"/>
        <v>18723.310999999998</v>
      </c>
      <c r="J69" s="163">
        <f t="shared" si="20"/>
        <v>17030.457000000002</v>
      </c>
      <c r="K69" s="163">
        <f t="shared" si="20"/>
        <v>21970.927</v>
      </c>
      <c r="L69" s="163">
        <f t="shared" si="20"/>
        <v>11131.916000000001</v>
      </c>
      <c r="M69" s="163">
        <f t="shared" si="20"/>
        <v>8571.3490000000002</v>
      </c>
      <c r="N69" s="207">
        <f t="shared" si="19"/>
        <v>270672.46699999995</v>
      </c>
      <c r="P69" s="207"/>
    </row>
    <row r="70" spans="1:16" ht="15" x14ac:dyDescent="0.25">
      <c r="A70" s="137" t="s">
        <v>49</v>
      </c>
      <c r="B70" s="163">
        <v>0</v>
      </c>
      <c r="C70" s="163">
        <v>0</v>
      </c>
      <c r="D70" s="163">
        <v>0</v>
      </c>
      <c r="E70" s="163">
        <v>0</v>
      </c>
      <c r="F70" s="163">
        <v>0</v>
      </c>
      <c r="G70" s="163">
        <v>0</v>
      </c>
      <c r="H70" s="163">
        <v>0</v>
      </c>
      <c r="I70" s="163">
        <v>0</v>
      </c>
      <c r="J70" s="163">
        <v>0</v>
      </c>
      <c r="K70" s="163">
        <v>0</v>
      </c>
      <c r="L70" s="163">
        <v>0</v>
      </c>
      <c r="M70" s="163">
        <v>0</v>
      </c>
      <c r="N70" s="207"/>
      <c r="P70" s="207"/>
    </row>
    <row r="71" spans="1:16" s="207" customFormat="1" x14ac:dyDescent="0.2"/>
    <row r="72" spans="1:16" ht="15" x14ac:dyDescent="0.25">
      <c r="A72" s="207" t="s">
        <v>171</v>
      </c>
      <c r="B72" s="163"/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207"/>
      <c r="P72" s="207"/>
    </row>
    <row r="73" spans="1:16" x14ac:dyDescent="0.2">
      <c r="A73" s="137" t="s">
        <v>94</v>
      </c>
      <c r="B73" s="239">
        <v>2000</v>
      </c>
      <c r="C73" s="239">
        <v>2000</v>
      </c>
      <c r="D73" s="239">
        <v>2000</v>
      </c>
      <c r="E73" s="239">
        <v>2000</v>
      </c>
      <c r="F73" s="239">
        <v>2000</v>
      </c>
      <c r="G73" s="239">
        <v>2000</v>
      </c>
      <c r="H73" s="239">
        <v>2000</v>
      </c>
      <c r="I73" s="239">
        <v>2000</v>
      </c>
      <c r="J73" s="239">
        <v>2000</v>
      </c>
      <c r="K73" s="239">
        <v>2000</v>
      </c>
      <c r="L73" s="239">
        <v>2000</v>
      </c>
      <c r="M73" s="239">
        <v>1930.91</v>
      </c>
      <c r="N73" s="207">
        <f t="shared" ref="N73:N75" si="21">SUM(B73:M73)</f>
        <v>23930.91</v>
      </c>
      <c r="P73" s="207"/>
    </row>
    <row r="74" spans="1:16" x14ac:dyDescent="0.2">
      <c r="A74" s="137" t="s">
        <v>172</v>
      </c>
      <c r="B74" s="239">
        <v>22835.61</v>
      </c>
      <c r="C74" s="239">
        <v>16950.099999999999</v>
      </c>
      <c r="D74" s="239">
        <v>12249</v>
      </c>
      <c r="E74" s="239">
        <v>29358.14</v>
      </c>
      <c r="F74" s="239">
        <v>26587.62</v>
      </c>
      <c r="G74" s="239">
        <v>27791.48</v>
      </c>
      <c r="H74" s="239">
        <v>47343.94</v>
      </c>
      <c r="I74" s="239">
        <v>50603.87</v>
      </c>
      <c r="J74" s="239">
        <v>38825.67</v>
      </c>
      <c r="K74" s="239">
        <v>22785.5</v>
      </c>
      <c r="L74" s="239">
        <v>16363.18</v>
      </c>
      <c r="M74" s="239">
        <v>19011.68</v>
      </c>
      <c r="N74" s="207">
        <f t="shared" si="21"/>
        <v>330705.78999999998</v>
      </c>
      <c r="P74" s="207"/>
    </row>
    <row r="75" spans="1:16" ht="15" x14ac:dyDescent="0.25">
      <c r="A75" s="137" t="s">
        <v>6</v>
      </c>
      <c r="B75" s="163">
        <f t="shared" ref="B75:M75" si="22">SUM(B73:B74)</f>
        <v>24835.61</v>
      </c>
      <c r="C75" s="163">
        <f t="shared" si="22"/>
        <v>18950.099999999999</v>
      </c>
      <c r="D75" s="163">
        <f t="shared" si="22"/>
        <v>14249</v>
      </c>
      <c r="E75" s="163">
        <f t="shared" si="22"/>
        <v>31358.14</v>
      </c>
      <c r="F75" s="163">
        <f t="shared" si="22"/>
        <v>28587.62</v>
      </c>
      <c r="G75" s="163">
        <f t="shared" si="22"/>
        <v>29791.48</v>
      </c>
      <c r="H75" s="163">
        <f t="shared" si="22"/>
        <v>49343.94</v>
      </c>
      <c r="I75" s="163">
        <f t="shared" si="22"/>
        <v>52603.87</v>
      </c>
      <c r="J75" s="163">
        <f t="shared" si="22"/>
        <v>40825.67</v>
      </c>
      <c r="K75" s="163">
        <f t="shared" si="22"/>
        <v>24785.5</v>
      </c>
      <c r="L75" s="163">
        <f t="shared" si="22"/>
        <v>18363.18</v>
      </c>
      <c r="M75" s="163">
        <f t="shared" si="22"/>
        <v>20942.59</v>
      </c>
      <c r="N75" s="207">
        <f t="shared" si="21"/>
        <v>354636.7</v>
      </c>
      <c r="P75" s="207"/>
    </row>
    <row r="76" spans="1:16" ht="15" x14ac:dyDescent="0.25">
      <c r="A76" s="137" t="s">
        <v>49</v>
      </c>
      <c r="B76" s="163">
        <v>0</v>
      </c>
      <c r="C76" s="163">
        <v>0</v>
      </c>
      <c r="D76" s="163">
        <v>0</v>
      </c>
      <c r="E76" s="163">
        <v>0</v>
      </c>
      <c r="F76" s="163">
        <v>0</v>
      </c>
      <c r="G76" s="163">
        <v>0</v>
      </c>
      <c r="H76" s="163">
        <v>0</v>
      </c>
      <c r="I76" s="163">
        <v>0</v>
      </c>
      <c r="J76" s="163">
        <v>0</v>
      </c>
      <c r="K76" s="163">
        <v>0</v>
      </c>
      <c r="L76" s="163">
        <v>0</v>
      </c>
      <c r="M76" s="163">
        <v>0</v>
      </c>
      <c r="N76" s="163"/>
      <c r="O76" s="163"/>
      <c r="P76" s="207"/>
    </row>
    <row r="77" spans="1:16" x14ac:dyDescent="0.2">
      <c r="P77" s="207"/>
    </row>
    <row r="78" spans="1:16" ht="15" x14ac:dyDescent="0.25">
      <c r="A78" s="218" t="s">
        <v>183</v>
      </c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207"/>
      <c r="P78" s="207"/>
    </row>
    <row r="79" spans="1:16" x14ac:dyDescent="0.2">
      <c r="A79" s="137" t="s">
        <v>88</v>
      </c>
      <c r="B79" s="239">
        <v>125326.542</v>
      </c>
      <c r="C79" s="239">
        <v>129371.92</v>
      </c>
      <c r="D79" s="239">
        <v>122529.114</v>
      </c>
      <c r="E79" s="239">
        <v>124392</v>
      </c>
      <c r="F79" s="239">
        <v>127709.428</v>
      </c>
      <c r="G79" s="239">
        <v>128095.38800000001</v>
      </c>
      <c r="H79" s="239">
        <v>126044.556</v>
      </c>
      <c r="I79" s="239">
        <v>121455.628</v>
      </c>
      <c r="J79" s="239">
        <v>125000</v>
      </c>
      <c r="K79" s="239">
        <v>124138</v>
      </c>
      <c r="L79" s="239">
        <v>127528.666</v>
      </c>
      <c r="M79" s="239">
        <v>121720.43</v>
      </c>
      <c r="N79" s="207">
        <f t="shared" ref="N79:N85" si="23">SUM(B79:M79)</f>
        <v>1503311.6719999998</v>
      </c>
      <c r="P79" s="207"/>
    </row>
    <row r="80" spans="1:16" x14ac:dyDescent="0.2">
      <c r="A80" s="137" t="s">
        <v>89</v>
      </c>
      <c r="B80" s="239">
        <v>114592.44500000001</v>
      </c>
      <c r="C80" s="239">
        <v>109307.538</v>
      </c>
      <c r="D80" s="239">
        <v>114463.791</v>
      </c>
      <c r="E80" s="239">
        <v>124390</v>
      </c>
      <c r="F80" s="239">
        <v>127709.428</v>
      </c>
      <c r="G80" s="239">
        <v>128094.939</v>
      </c>
      <c r="H80" s="239">
        <v>126044.005</v>
      </c>
      <c r="I80" s="239">
        <v>121455.628</v>
      </c>
      <c r="J80" s="239">
        <v>125000</v>
      </c>
      <c r="K80" s="239">
        <v>124138</v>
      </c>
      <c r="L80" s="239">
        <v>127528.666</v>
      </c>
      <c r="M80" s="239">
        <v>112863.99</v>
      </c>
      <c r="N80" s="207">
        <f t="shared" si="23"/>
        <v>1455588.43</v>
      </c>
      <c r="P80" s="207"/>
    </row>
    <row r="81" spans="1:16" s="207" customFormat="1" x14ac:dyDescent="0.2">
      <c r="A81" s="137" t="s">
        <v>99</v>
      </c>
      <c r="B81" s="239">
        <v>180356.14300000001</v>
      </c>
      <c r="C81" s="239">
        <v>176480.61199999999</v>
      </c>
      <c r="D81" s="239">
        <v>173372.95800000001</v>
      </c>
      <c r="E81" s="239">
        <v>232697.61600000001</v>
      </c>
      <c r="F81" s="239">
        <v>255418.85800000001</v>
      </c>
      <c r="G81" s="239">
        <v>256190.77499999999</v>
      </c>
      <c r="H81" s="239">
        <v>252089.111</v>
      </c>
      <c r="I81" s="239">
        <v>242911.25599999999</v>
      </c>
      <c r="J81" s="239">
        <v>250000</v>
      </c>
      <c r="K81" s="239">
        <v>248276</v>
      </c>
      <c r="L81" s="239">
        <v>197462.139</v>
      </c>
      <c r="M81" s="239">
        <v>175211.476</v>
      </c>
      <c r="N81" s="207">
        <f t="shared" si="23"/>
        <v>2640466.9439999997</v>
      </c>
    </row>
    <row r="82" spans="1:16" x14ac:dyDescent="0.2">
      <c r="A82" s="137" t="s">
        <v>100</v>
      </c>
      <c r="B82" s="239">
        <v>114768.774</v>
      </c>
      <c r="C82" s="239">
        <v>103785.11</v>
      </c>
      <c r="D82" s="239">
        <v>126069.992</v>
      </c>
      <c r="E82" s="239">
        <v>242950.46100000001</v>
      </c>
      <c r="F82" s="239">
        <v>336625.147</v>
      </c>
      <c r="G82" s="239">
        <v>422860.33600000001</v>
      </c>
      <c r="H82" s="239">
        <v>394483.83799999999</v>
      </c>
      <c r="I82" s="239">
        <v>439683.32199999999</v>
      </c>
      <c r="J82" s="239">
        <v>443482.08899999998</v>
      </c>
      <c r="K82" s="239">
        <v>318372.07799999998</v>
      </c>
      <c r="L82" s="239">
        <v>167686.50099999999</v>
      </c>
      <c r="M82" s="239">
        <v>115520.219</v>
      </c>
      <c r="N82" s="207">
        <f t="shared" si="23"/>
        <v>3226287.8670000001</v>
      </c>
      <c r="P82" s="207"/>
    </row>
    <row r="83" spans="1:16" x14ac:dyDescent="0.2">
      <c r="A83" s="137" t="s">
        <v>101</v>
      </c>
      <c r="B83" s="239">
        <v>300000</v>
      </c>
      <c r="C83" s="239">
        <v>300000</v>
      </c>
      <c r="D83" s="239">
        <v>300000</v>
      </c>
      <c r="E83" s="239">
        <v>300000</v>
      </c>
      <c r="F83" s="239">
        <v>331027.71000000002</v>
      </c>
      <c r="G83" s="239">
        <v>360007.41399999999</v>
      </c>
      <c r="H83" s="239">
        <v>336549.57699999999</v>
      </c>
      <c r="I83" s="239">
        <v>311044.71799999999</v>
      </c>
      <c r="J83" s="239">
        <v>310532.62800000003</v>
      </c>
      <c r="K83" s="239">
        <v>310431.10800000001</v>
      </c>
      <c r="L83" s="239">
        <v>300000</v>
      </c>
      <c r="M83" s="239">
        <v>300000</v>
      </c>
      <c r="N83" s="207">
        <f t="shared" si="23"/>
        <v>3759593.1549999998</v>
      </c>
      <c r="P83" s="207"/>
    </row>
    <row r="84" spans="1:16" x14ac:dyDescent="0.2">
      <c r="A84" s="137" t="s">
        <v>174</v>
      </c>
      <c r="B84" s="239">
        <v>370119.23</v>
      </c>
      <c r="C84" s="239">
        <v>372287.8</v>
      </c>
      <c r="D84" s="239">
        <v>461018.17</v>
      </c>
      <c r="E84" s="239">
        <v>933896.82</v>
      </c>
      <c r="F84" s="239">
        <v>1163381.78</v>
      </c>
      <c r="G84" s="239">
        <v>1522228.63</v>
      </c>
      <c r="H84" s="239">
        <v>1252862.32</v>
      </c>
      <c r="I84" s="239">
        <v>1269495.21</v>
      </c>
      <c r="J84" s="239">
        <v>1175929.6599999999</v>
      </c>
      <c r="K84" s="239">
        <v>940895.73</v>
      </c>
      <c r="L84" s="239">
        <v>565504.23</v>
      </c>
      <c r="M84" s="239">
        <v>605234.98</v>
      </c>
      <c r="N84" s="207">
        <f t="shared" si="23"/>
        <v>10632854.560000001</v>
      </c>
      <c r="P84" s="207"/>
    </row>
    <row r="85" spans="1:16" ht="15" x14ac:dyDescent="0.25">
      <c r="A85" s="137" t="s">
        <v>6</v>
      </c>
      <c r="B85" s="163">
        <f t="shared" ref="B85:M85" si="24">SUM(B79:B84)</f>
        <v>1205163.1340000001</v>
      </c>
      <c r="C85" s="163">
        <f t="shared" si="24"/>
        <v>1191232.98</v>
      </c>
      <c r="D85" s="163">
        <f t="shared" si="24"/>
        <v>1297454.0249999999</v>
      </c>
      <c r="E85" s="163">
        <f t="shared" si="24"/>
        <v>1958326.8969999999</v>
      </c>
      <c r="F85" s="163">
        <f t="shared" si="24"/>
        <v>2341872.3509999998</v>
      </c>
      <c r="G85" s="163">
        <f t="shared" si="24"/>
        <v>2817477.4819999998</v>
      </c>
      <c r="H85" s="163">
        <f t="shared" si="24"/>
        <v>2488073.4070000001</v>
      </c>
      <c r="I85" s="163">
        <f t="shared" si="24"/>
        <v>2506045.7620000001</v>
      </c>
      <c r="J85" s="163">
        <f t="shared" si="24"/>
        <v>2429944.3769999999</v>
      </c>
      <c r="K85" s="163">
        <f t="shared" si="24"/>
        <v>2066250.916</v>
      </c>
      <c r="L85" s="163">
        <f t="shared" si="24"/>
        <v>1485710.202</v>
      </c>
      <c r="M85" s="163">
        <f t="shared" si="24"/>
        <v>1430551.095</v>
      </c>
      <c r="N85" s="207">
        <f t="shared" si="23"/>
        <v>23218102.627999999</v>
      </c>
      <c r="P85" s="207"/>
    </row>
    <row r="86" spans="1:16" ht="15" x14ac:dyDescent="0.25">
      <c r="A86" s="137" t="s">
        <v>49</v>
      </c>
      <c r="B86" s="163">
        <v>0</v>
      </c>
      <c r="C86" s="163">
        <v>0</v>
      </c>
      <c r="D86" s="163">
        <v>0</v>
      </c>
      <c r="E86" s="163">
        <v>0</v>
      </c>
      <c r="F86" s="163">
        <v>0</v>
      </c>
      <c r="G86" s="163">
        <v>0</v>
      </c>
      <c r="H86" s="163">
        <v>0</v>
      </c>
      <c r="I86" s="163">
        <v>0</v>
      </c>
      <c r="J86" s="163">
        <v>0</v>
      </c>
      <c r="K86" s="163">
        <v>0</v>
      </c>
      <c r="L86" s="163">
        <v>0</v>
      </c>
      <c r="M86" s="163">
        <v>0</v>
      </c>
      <c r="N86" s="163"/>
      <c r="P86" s="207"/>
    </row>
    <row r="87" spans="1:16" ht="15" x14ac:dyDescent="0.25">
      <c r="A87" s="137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207"/>
      <c r="P87" s="207"/>
    </row>
    <row r="88" spans="1:16" ht="15" x14ac:dyDescent="0.25">
      <c r="A88" s="218" t="s">
        <v>184</v>
      </c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207"/>
      <c r="P88" s="207"/>
    </row>
    <row r="89" spans="1:16" x14ac:dyDescent="0.2">
      <c r="A89" s="137" t="s">
        <v>88</v>
      </c>
      <c r="B89" s="239">
        <v>0</v>
      </c>
      <c r="C89" s="239">
        <v>0</v>
      </c>
      <c r="D89" s="239">
        <v>0</v>
      </c>
      <c r="E89" s="239">
        <v>0</v>
      </c>
      <c r="F89" s="239">
        <v>0</v>
      </c>
      <c r="G89" s="239">
        <v>0</v>
      </c>
      <c r="H89" s="239">
        <v>0</v>
      </c>
      <c r="I89" s="239">
        <v>0</v>
      </c>
      <c r="J89" s="239">
        <v>0</v>
      </c>
      <c r="K89" s="239">
        <v>0</v>
      </c>
      <c r="L89" s="239">
        <v>0</v>
      </c>
      <c r="M89" s="239">
        <v>0</v>
      </c>
      <c r="N89" s="207">
        <f t="shared" ref="N89:N94" si="25">SUM(B89:J89)</f>
        <v>0</v>
      </c>
      <c r="P89" s="207"/>
    </row>
    <row r="90" spans="1:16" x14ac:dyDescent="0.2">
      <c r="A90" s="137" t="s">
        <v>89</v>
      </c>
      <c r="B90" s="239">
        <v>0</v>
      </c>
      <c r="C90" s="239">
        <v>0</v>
      </c>
      <c r="D90" s="239">
        <v>0</v>
      </c>
      <c r="E90" s="239">
        <v>0</v>
      </c>
      <c r="F90" s="239">
        <v>0</v>
      </c>
      <c r="G90" s="239">
        <v>0</v>
      </c>
      <c r="H90" s="239">
        <v>0</v>
      </c>
      <c r="I90" s="239">
        <v>0</v>
      </c>
      <c r="J90" s="239">
        <v>0</v>
      </c>
      <c r="K90" s="239">
        <v>0</v>
      </c>
      <c r="L90" s="239">
        <v>0</v>
      </c>
      <c r="M90" s="239">
        <v>0</v>
      </c>
      <c r="N90" s="207">
        <f t="shared" si="25"/>
        <v>0</v>
      </c>
      <c r="P90" s="207"/>
    </row>
    <row r="91" spans="1:16" x14ac:dyDescent="0.2">
      <c r="A91" s="137" t="s">
        <v>99</v>
      </c>
      <c r="B91" s="239">
        <v>0</v>
      </c>
      <c r="C91" s="239">
        <v>0</v>
      </c>
      <c r="D91" s="239">
        <v>0</v>
      </c>
      <c r="E91" s="239">
        <v>0</v>
      </c>
      <c r="F91" s="239">
        <v>0</v>
      </c>
      <c r="G91" s="239">
        <v>0</v>
      </c>
      <c r="H91" s="239">
        <v>0</v>
      </c>
      <c r="I91" s="239">
        <v>0</v>
      </c>
      <c r="J91" s="239">
        <v>0</v>
      </c>
      <c r="K91" s="239">
        <v>0</v>
      </c>
      <c r="L91" s="239">
        <v>0</v>
      </c>
      <c r="M91" s="239">
        <v>0</v>
      </c>
      <c r="N91" s="207">
        <f t="shared" si="25"/>
        <v>0</v>
      </c>
      <c r="P91" s="207"/>
    </row>
    <row r="92" spans="1:16" x14ac:dyDescent="0.2">
      <c r="A92" s="137" t="s">
        <v>100</v>
      </c>
      <c r="B92" s="239">
        <v>0</v>
      </c>
      <c r="C92" s="239">
        <v>0</v>
      </c>
      <c r="D92" s="239">
        <v>0</v>
      </c>
      <c r="E92" s="239">
        <v>0</v>
      </c>
      <c r="F92" s="239">
        <v>0</v>
      </c>
      <c r="G92" s="239">
        <v>0</v>
      </c>
      <c r="H92" s="239">
        <v>0</v>
      </c>
      <c r="I92" s="239">
        <v>0</v>
      </c>
      <c r="J92" s="239">
        <v>0</v>
      </c>
      <c r="K92" s="239">
        <v>0</v>
      </c>
      <c r="L92" s="239">
        <v>0</v>
      </c>
      <c r="M92" s="239">
        <v>0</v>
      </c>
      <c r="N92" s="207">
        <f t="shared" si="25"/>
        <v>0</v>
      </c>
      <c r="P92" s="207"/>
    </row>
    <row r="93" spans="1:16" x14ac:dyDescent="0.2">
      <c r="A93" s="137" t="s">
        <v>101</v>
      </c>
      <c r="B93" s="239">
        <v>0</v>
      </c>
      <c r="C93" s="239">
        <v>0</v>
      </c>
      <c r="D93" s="239">
        <v>0</v>
      </c>
      <c r="E93" s="239">
        <v>0</v>
      </c>
      <c r="F93" s="239">
        <v>0</v>
      </c>
      <c r="G93" s="239">
        <v>0</v>
      </c>
      <c r="H93" s="239">
        <v>0</v>
      </c>
      <c r="I93" s="239">
        <v>0</v>
      </c>
      <c r="J93" s="239">
        <v>0</v>
      </c>
      <c r="K93" s="239">
        <v>0</v>
      </c>
      <c r="L93" s="239">
        <v>0</v>
      </c>
      <c r="M93" s="239">
        <v>0</v>
      </c>
      <c r="N93" s="207">
        <f t="shared" si="25"/>
        <v>0</v>
      </c>
      <c r="P93" s="207"/>
    </row>
    <row r="94" spans="1:16" x14ac:dyDescent="0.2">
      <c r="A94" s="137" t="s">
        <v>174</v>
      </c>
      <c r="B94" s="239">
        <v>0</v>
      </c>
      <c r="C94" s="239">
        <v>0</v>
      </c>
      <c r="D94" s="239">
        <v>0</v>
      </c>
      <c r="E94" s="239">
        <v>0</v>
      </c>
      <c r="F94" s="239">
        <v>0</v>
      </c>
      <c r="G94" s="239">
        <v>0</v>
      </c>
      <c r="H94" s="239">
        <v>0</v>
      </c>
      <c r="I94" s="239">
        <v>0</v>
      </c>
      <c r="J94" s="239">
        <v>0</v>
      </c>
      <c r="K94" s="239">
        <v>0</v>
      </c>
      <c r="L94" s="239">
        <v>0</v>
      </c>
      <c r="M94" s="239">
        <v>0</v>
      </c>
      <c r="N94" s="207">
        <f t="shared" si="25"/>
        <v>0</v>
      </c>
      <c r="P94" s="207"/>
    </row>
    <row r="95" spans="1:16" ht="15" x14ac:dyDescent="0.25">
      <c r="A95" s="137" t="s">
        <v>6</v>
      </c>
      <c r="B95" s="163">
        <f t="shared" ref="B95:M95" si="26">SUM(B89:B94)</f>
        <v>0</v>
      </c>
      <c r="C95" s="163">
        <f t="shared" si="26"/>
        <v>0</v>
      </c>
      <c r="D95" s="163">
        <f t="shared" si="26"/>
        <v>0</v>
      </c>
      <c r="E95" s="163">
        <f t="shared" si="26"/>
        <v>0</v>
      </c>
      <c r="F95" s="163">
        <f t="shared" si="26"/>
        <v>0</v>
      </c>
      <c r="G95" s="163">
        <f t="shared" si="26"/>
        <v>0</v>
      </c>
      <c r="H95" s="163">
        <f t="shared" si="26"/>
        <v>0</v>
      </c>
      <c r="I95" s="163">
        <f t="shared" si="26"/>
        <v>0</v>
      </c>
      <c r="J95" s="163">
        <f t="shared" si="26"/>
        <v>0</v>
      </c>
      <c r="K95" s="163">
        <f t="shared" si="26"/>
        <v>0</v>
      </c>
      <c r="L95" s="163">
        <f t="shared" si="26"/>
        <v>0</v>
      </c>
      <c r="M95" s="163">
        <f t="shared" si="26"/>
        <v>0</v>
      </c>
      <c r="N95" s="207">
        <f>SUM(N89:N94)</f>
        <v>0</v>
      </c>
      <c r="P95" s="207"/>
    </row>
    <row r="96" spans="1:16" x14ac:dyDescent="0.2">
      <c r="P96" s="207"/>
    </row>
    <row r="97" spans="1:16" ht="15" x14ac:dyDescent="0.25">
      <c r="A97" s="137" t="s">
        <v>173</v>
      </c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207"/>
      <c r="P97" s="207"/>
    </row>
    <row r="98" spans="1:16" x14ac:dyDescent="0.2">
      <c r="A98" s="137" t="s">
        <v>88</v>
      </c>
      <c r="B98" s="239">
        <v>75000</v>
      </c>
      <c r="C98" s="239">
        <v>75000</v>
      </c>
      <c r="D98" s="239">
        <v>75000</v>
      </c>
      <c r="E98" s="239">
        <v>75000</v>
      </c>
      <c r="F98" s="239">
        <v>75000</v>
      </c>
      <c r="G98" s="239">
        <v>75000</v>
      </c>
      <c r="H98" s="239">
        <v>75000</v>
      </c>
      <c r="I98" s="239">
        <v>75000</v>
      </c>
      <c r="J98" s="239">
        <v>75000</v>
      </c>
      <c r="K98" s="239">
        <v>75000</v>
      </c>
      <c r="L98" s="239">
        <v>75000</v>
      </c>
      <c r="M98" s="239">
        <v>75000</v>
      </c>
      <c r="N98" s="207">
        <f t="shared" ref="N98:N104" si="27">SUM(B98:M98)</f>
        <v>900000</v>
      </c>
      <c r="P98" s="207"/>
    </row>
    <row r="99" spans="1:16" x14ac:dyDescent="0.2">
      <c r="A99" s="137" t="s">
        <v>89</v>
      </c>
      <c r="B99" s="239">
        <v>75000</v>
      </c>
      <c r="C99" s="239">
        <v>75000</v>
      </c>
      <c r="D99" s="239">
        <v>75000</v>
      </c>
      <c r="E99" s="239">
        <v>75000</v>
      </c>
      <c r="F99" s="239">
        <v>75000</v>
      </c>
      <c r="G99" s="239">
        <v>75000</v>
      </c>
      <c r="H99" s="239">
        <v>75000</v>
      </c>
      <c r="I99" s="239">
        <v>75000</v>
      </c>
      <c r="J99" s="239">
        <v>75000</v>
      </c>
      <c r="K99" s="239">
        <v>75000</v>
      </c>
      <c r="L99" s="239">
        <v>75000</v>
      </c>
      <c r="M99" s="239">
        <v>75000</v>
      </c>
      <c r="N99" s="207">
        <f t="shared" si="27"/>
        <v>900000</v>
      </c>
      <c r="P99" s="207"/>
    </row>
    <row r="100" spans="1:16" x14ac:dyDescent="0.2">
      <c r="A100" s="137" t="s">
        <v>99</v>
      </c>
      <c r="B100" s="239">
        <v>150000</v>
      </c>
      <c r="C100" s="239">
        <v>150000</v>
      </c>
      <c r="D100" s="239">
        <v>150000</v>
      </c>
      <c r="E100" s="239">
        <v>150000</v>
      </c>
      <c r="F100" s="239">
        <v>150000</v>
      </c>
      <c r="G100" s="239">
        <v>150000</v>
      </c>
      <c r="H100" s="239">
        <v>150000</v>
      </c>
      <c r="I100" s="239">
        <v>150000</v>
      </c>
      <c r="J100" s="239">
        <v>150000</v>
      </c>
      <c r="K100" s="239">
        <v>150000</v>
      </c>
      <c r="L100" s="239">
        <v>150000</v>
      </c>
      <c r="M100" s="239">
        <v>150000</v>
      </c>
      <c r="N100" s="207">
        <f t="shared" si="27"/>
        <v>1800000</v>
      </c>
      <c r="P100" s="207"/>
    </row>
    <row r="101" spans="1:16" x14ac:dyDescent="0.2">
      <c r="A101" s="137" t="s">
        <v>100</v>
      </c>
      <c r="B101" s="239">
        <v>244453.73</v>
      </c>
      <c r="C101" s="239">
        <v>234340.93</v>
      </c>
      <c r="D101" s="239">
        <v>257608.69</v>
      </c>
      <c r="E101" s="239">
        <v>300000</v>
      </c>
      <c r="F101" s="239">
        <v>300000</v>
      </c>
      <c r="G101" s="239">
        <v>288420.19</v>
      </c>
      <c r="H101" s="239">
        <v>300000</v>
      </c>
      <c r="I101" s="239">
        <v>285133.58</v>
      </c>
      <c r="J101" s="239">
        <v>300000</v>
      </c>
      <c r="K101" s="239">
        <v>298043.53000000003</v>
      </c>
      <c r="L101" s="239">
        <v>296265.65999999997</v>
      </c>
      <c r="M101" s="239">
        <v>273725.57</v>
      </c>
      <c r="N101" s="207">
        <f t="shared" si="27"/>
        <v>3377991.8800000004</v>
      </c>
      <c r="P101" s="207"/>
    </row>
    <row r="102" spans="1:16" x14ac:dyDescent="0.2">
      <c r="A102" s="137" t="s">
        <v>101</v>
      </c>
      <c r="B102" s="239">
        <v>300000</v>
      </c>
      <c r="C102" s="239">
        <v>316042.11</v>
      </c>
      <c r="D102" s="239">
        <v>300786.53999999998</v>
      </c>
      <c r="E102" s="239">
        <v>338474.39</v>
      </c>
      <c r="F102" s="239">
        <v>379525.37</v>
      </c>
      <c r="G102" s="239">
        <v>441377.2</v>
      </c>
      <c r="H102" s="239">
        <v>400382.23</v>
      </c>
      <c r="I102" s="239">
        <v>416073.24</v>
      </c>
      <c r="J102" s="239">
        <v>403591.12</v>
      </c>
      <c r="K102" s="239">
        <v>353892.31</v>
      </c>
      <c r="L102" s="239">
        <v>308957.49</v>
      </c>
      <c r="M102" s="239">
        <v>305164.2</v>
      </c>
      <c r="N102" s="207">
        <f t="shared" si="27"/>
        <v>4264266.2</v>
      </c>
      <c r="P102" s="207"/>
    </row>
    <row r="103" spans="1:16" x14ac:dyDescent="0.2">
      <c r="A103" s="137" t="s">
        <v>174</v>
      </c>
      <c r="B103" s="239">
        <v>239677.48</v>
      </c>
      <c r="C103" s="239">
        <v>225878.71</v>
      </c>
      <c r="D103" s="239">
        <v>245931.94</v>
      </c>
      <c r="E103" s="239">
        <v>555742.63</v>
      </c>
      <c r="F103" s="239">
        <v>831866.69</v>
      </c>
      <c r="G103" s="239">
        <v>1084877.25</v>
      </c>
      <c r="H103" s="239">
        <v>951077.64</v>
      </c>
      <c r="I103" s="239">
        <v>959887.13</v>
      </c>
      <c r="J103" s="239">
        <v>853851.53</v>
      </c>
      <c r="K103" s="239">
        <v>647925.04</v>
      </c>
      <c r="L103" s="239">
        <v>373466.7</v>
      </c>
      <c r="M103" s="239">
        <v>289151.18</v>
      </c>
      <c r="N103" s="207">
        <f t="shared" si="27"/>
        <v>7259333.9200000009</v>
      </c>
      <c r="P103" s="207"/>
    </row>
    <row r="104" spans="1:16" ht="15" x14ac:dyDescent="0.25">
      <c r="A104" s="137" t="s">
        <v>6</v>
      </c>
      <c r="B104" s="163">
        <f t="shared" ref="B104:M104" si="28">SUM(B98:B103)</f>
        <v>1084131.21</v>
      </c>
      <c r="C104" s="163">
        <f t="shared" si="28"/>
        <v>1076261.75</v>
      </c>
      <c r="D104" s="163">
        <f t="shared" si="28"/>
        <v>1104327.17</v>
      </c>
      <c r="E104" s="163">
        <f t="shared" si="28"/>
        <v>1494217.02</v>
      </c>
      <c r="F104" s="163">
        <f t="shared" si="28"/>
        <v>1811392.06</v>
      </c>
      <c r="G104" s="163">
        <f t="shared" si="28"/>
        <v>2114674.6399999997</v>
      </c>
      <c r="H104" s="163">
        <f t="shared" si="28"/>
        <v>1951459.87</v>
      </c>
      <c r="I104" s="163">
        <f t="shared" si="28"/>
        <v>1961093.9500000002</v>
      </c>
      <c r="J104" s="163">
        <f t="shared" si="28"/>
        <v>1857442.65</v>
      </c>
      <c r="K104" s="163">
        <f t="shared" si="28"/>
        <v>1599860.8800000001</v>
      </c>
      <c r="L104" s="163">
        <f t="shared" si="28"/>
        <v>1278689.8499999999</v>
      </c>
      <c r="M104" s="163">
        <f t="shared" si="28"/>
        <v>1168040.95</v>
      </c>
      <c r="N104" s="207">
        <f t="shared" si="27"/>
        <v>18501592.000000004</v>
      </c>
      <c r="P104" s="207"/>
    </row>
    <row r="105" spans="1:16" ht="15" x14ac:dyDescent="0.25">
      <c r="A105" s="137" t="s">
        <v>49</v>
      </c>
      <c r="B105" s="163">
        <v>0</v>
      </c>
      <c r="C105" s="163">
        <v>0</v>
      </c>
      <c r="D105" s="163">
        <v>0</v>
      </c>
      <c r="E105" s="163">
        <v>0</v>
      </c>
      <c r="F105" s="163">
        <v>0</v>
      </c>
      <c r="G105" s="163">
        <v>0</v>
      </c>
      <c r="H105" s="163">
        <v>0</v>
      </c>
      <c r="I105" s="163">
        <v>0</v>
      </c>
      <c r="J105" s="163">
        <v>0</v>
      </c>
      <c r="K105" s="163">
        <v>0</v>
      </c>
      <c r="L105" s="163">
        <v>0</v>
      </c>
      <c r="M105" s="163">
        <v>0</v>
      </c>
      <c r="N105" s="207"/>
      <c r="P105" s="207"/>
    </row>
    <row r="106" spans="1:16" ht="15" x14ac:dyDescent="0.25">
      <c r="A106" s="137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207"/>
      <c r="P106" s="207"/>
    </row>
    <row r="107" spans="1:16" ht="15" x14ac:dyDescent="0.25">
      <c r="A107" s="137" t="s">
        <v>175</v>
      </c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207"/>
      <c r="P107" s="207"/>
    </row>
    <row r="108" spans="1:16" x14ac:dyDescent="0.2">
      <c r="A108" s="137" t="s">
        <v>88</v>
      </c>
      <c r="B108" s="239">
        <v>175000</v>
      </c>
      <c r="C108" s="239">
        <v>175000</v>
      </c>
      <c r="D108" s="239">
        <v>175000</v>
      </c>
      <c r="E108" s="239">
        <v>175000</v>
      </c>
      <c r="F108" s="239">
        <v>175000</v>
      </c>
      <c r="G108" s="239">
        <v>175000</v>
      </c>
      <c r="H108" s="239">
        <v>175000</v>
      </c>
      <c r="I108" s="239">
        <v>175000</v>
      </c>
      <c r="J108" s="239">
        <v>175000</v>
      </c>
      <c r="K108" s="239">
        <v>175000</v>
      </c>
      <c r="L108" s="239">
        <v>175000</v>
      </c>
      <c r="M108" s="239">
        <v>175000</v>
      </c>
      <c r="N108" s="207">
        <f t="shared" ref="N108:N114" si="29">SUM(B108:M108)</f>
        <v>2100000</v>
      </c>
      <c r="P108" s="207"/>
    </row>
    <row r="109" spans="1:16" x14ac:dyDescent="0.2">
      <c r="A109" s="137" t="s">
        <v>89</v>
      </c>
      <c r="B109" s="239">
        <v>175000</v>
      </c>
      <c r="C109" s="239">
        <v>175000</v>
      </c>
      <c r="D109" s="239">
        <v>175000</v>
      </c>
      <c r="E109" s="239">
        <v>175000</v>
      </c>
      <c r="F109" s="239">
        <v>175000</v>
      </c>
      <c r="G109" s="239">
        <v>175000</v>
      </c>
      <c r="H109" s="239">
        <v>175000</v>
      </c>
      <c r="I109" s="239">
        <v>175000</v>
      </c>
      <c r="J109" s="239">
        <v>175000</v>
      </c>
      <c r="K109" s="239">
        <v>175000</v>
      </c>
      <c r="L109" s="239">
        <v>175000</v>
      </c>
      <c r="M109" s="239">
        <v>175000</v>
      </c>
      <c r="N109" s="207">
        <f t="shared" si="29"/>
        <v>2100000</v>
      </c>
      <c r="P109" s="207"/>
    </row>
    <row r="110" spans="1:16" x14ac:dyDescent="0.2">
      <c r="A110" s="137" t="s">
        <v>99</v>
      </c>
      <c r="B110" s="239">
        <v>350000</v>
      </c>
      <c r="C110" s="239">
        <v>350000</v>
      </c>
      <c r="D110" s="239">
        <v>350000</v>
      </c>
      <c r="E110" s="239">
        <v>350000</v>
      </c>
      <c r="F110" s="239">
        <v>350000</v>
      </c>
      <c r="G110" s="239">
        <v>350000</v>
      </c>
      <c r="H110" s="239">
        <v>350000</v>
      </c>
      <c r="I110" s="239">
        <v>350000</v>
      </c>
      <c r="J110" s="239">
        <v>350000</v>
      </c>
      <c r="K110" s="239">
        <v>350000</v>
      </c>
      <c r="L110" s="239">
        <v>350000</v>
      </c>
      <c r="M110" s="239">
        <v>350000</v>
      </c>
      <c r="N110" s="207">
        <f t="shared" si="29"/>
        <v>4200000</v>
      </c>
      <c r="P110" s="207"/>
    </row>
    <row r="111" spans="1:16" x14ac:dyDescent="0.2">
      <c r="A111" s="137" t="s">
        <v>100</v>
      </c>
      <c r="B111" s="239">
        <v>700000</v>
      </c>
      <c r="C111" s="239">
        <v>700000</v>
      </c>
      <c r="D111" s="239">
        <v>700000</v>
      </c>
      <c r="E111" s="239">
        <v>700000</v>
      </c>
      <c r="F111" s="239">
        <v>700000</v>
      </c>
      <c r="G111" s="239">
        <v>700000</v>
      </c>
      <c r="H111" s="239">
        <v>700000</v>
      </c>
      <c r="I111" s="239">
        <v>700000</v>
      </c>
      <c r="J111" s="239">
        <v>700000</v>
      </c>
      <c r="K111" s="239">
        <v>700000</v>
      </c>
      <c r="L111" s="239">
        <v>700000</v>
      </c>
      <c r="M111" s="239">
        <v>700000</v>
      </c>
      <c r="N111" s="207">
        <f t="shared" si="29"/>
        <v>8400000</v>
      </c>
      <c r="P111" s="207"/>
    </row>
    <row r="112" spans="1:16" x14ac:dyDescent="0.2">
      <c r="A112" s="137" t="s">
        <v>101</v>
      </c>
      <c r="B112" s="239">
        <v>1847549.08</v>
      </c>
      <c r="C112" s="239">
        <v>1847484.84</v>
      </c>
      <c r="D112" s="239">
        <v>1807222.67</v>
      </c>
      <c r="E112" s="239">
        <v>1852951.76</v>
      </c>
      <c r="F112" s="239">
        <v>1687800.15</v>
      </c>
      <c r="G112" s="239">
        <v>1869013.47</v>
      </c>
      <c r="H112" s="239">
        <v>1870856.82</v>
      </c>
      <c r="I112" s="239">
        <v>1835996.53</v>
      </c>
      <c r="J112" s="239">
        <v>1852529.04</v>
      </c>
      <c r="K112" s="239">
        <v>1849111.29</v>
      </c>
      <c r="L112" s="239">
        <v>1838962.32</v>
      </c>
      <c r="M112" s="239">
        <v>1829849.35</v>
      </c>
      <c r="N112" s="207">
        <f t="shared" si="29"/>
        <v>21989327.32</v>
      </c>
      <c r="P112" s="207"/>
    </row>
    <row r="113" spans="1:16" x14ac:dyDescent="0.2">
      <c r="A113" s="137" t="s">
        <v>174</v>
      </c>
      <c r="B113" s="239">
        <v>4350747.05</v>
      </c>
      <c r="C113" s="239">
        <v>4487450.4800000004</v>
      </c>
      <c r="D113" s="239">
        <v>4157595.49</v>
      </c>
      <c r="E113" s="239">
        <v>4192031.64</v>
      </c>
      <c r="F113" s="239">
        <v>3179512.33</v>
      </c>
      <c r="G113" s="239">
        <v>4497983.88</v>
      </c>
      <c r="H113" s="239">
        <v>3046424.83</v>
      </c>
      <c r="I113" s="239">
        <v>3670249.91</v>
      </c>
      <c r="J113" s="239">
        <v>4432642.47</v>
      </c>
      <c r="K113" s="239">
        <v>3366516.31</v>
      </c>
      <c r="L113" s="239">
        <v>3714551.69</v>
      </c>
      <c r="M113" s="239">
        <v>3252523.85</v>
      </c>
      <c r="N113" s="207">
        <f t="shared" si="29"/>
        <v>46348229.930000007</v>
      </c>
      <c r="P113" s="207"/>
    </row>
    <row r="114" spans="1:16" ht="15" x14ac:dyDescent="0.25">
      <c r="A114" s="137" t="s">
        <v>6</v>
      </c>
      <c r="B114" s="163">
        <f t="shared" ref="B114:M114" si="30">SUM(B108:B113)</f>
        <v>7598296.1299999999</v>
      </c>
      <c r="C114" s="163">
        <f t="shared" si="30"/>
        <v>7734935.3200000003</v>
      </c>
      <c r="D114" s="163">
        <f t="shared" si="30"/>
        <v>7364818.1600000001</v>
      </c>
      <c r="E114" s="163">
        <f t="shared" si="30"/>
        <v>7444983.4000000004</v>
      </c>
      <c r="F114" s="163">
        <f t="shared" si="30"/>
        <v>6267312.4800000004</v>
      </c>
      <c r="G114" s="163">
        <f t="shared" si="30"/>
        <v>7766997.3499999996</v>
      </c>
      <c r="H114" s="163">
        <f t="shared" si="30"/>
        <v>6317281.6500000004</v>
      </c>
      <c r="I114" s="163">
        <f t="shared" si="30"/>
        <v>6906246.4400000004</v>
      </c>
      <c r="J114" s="163">
        <f t="shared" si="30"/>
        <v>7685171.5099999998</v>
      </c>
      <c r="K114" s="163">
        <f t="shared" si="30"/>
        <v>6615627.5999999996</v>
      </c>
      <c r="L114" s="163">
        <f t="shared" si="30"/>
        <v>6953514.0099999998</v>
      </c>
      <c r="M114" s="163">
        <f t="shared" si="30"/>
        <v>6482373.2000000002</v>
      </c>
      <c r="N114" s="207">
        <f t="shared" si="29"/>
        <v>85137557.25</v>
      </c>
      <c r="P114" s="207"/>
    </row>
    <row r="115" spans="1:16" ht="15" x14ac:dyDescent="0.25">
      <c r="A115" s="137" t="s">
        <v>49</v>
      </c>
      <c r="B115" s="163">
        <v>0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3">
        <v>0</v>
      </c>
      <c r="J115" s="163">
        <v>0</v>
      </c>
      <c r="K115" s="163">
        <v>0</v>
      </c>
      <c r="L115" s="163">
        <v>0</v>
      </c>
      <c r="M115" s="163">
        <v>0</v>
      </c>
      <c r="N115" s="207"/>
      <c r="P115" s="207"/>
    </row>
    <row r="116" spans="1:16" x14ac:dyDescent="0.2">
      <c r="B116" s="207"/>
      <c r="C116" s="207"/>
      <c r="D116" s="207"/>
      <c r="E116" s="207"/>
      <c r="F116" s="207"/>
      <c r="G116" s="207"/>
      <c r="H116" s="207"/>
      <c r="I116" s="207"/>
      <c r="J116" s="207"/>
      <c r="K116" s="207"/>
      <c r="L116" s="207"/>
      <c r="M116" s="207"/>
      <c r="N116" s="207"/>
    </row>
    <row r="122" spans="1:16" ht="15" x14ac:dyDescent="0.25">
      <c r="A122" s="137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207"/>
    </row>
    <row r="134" spans="1:14" ht="15" x14ac:dyDescent="0.25">
      <c r="A134" s="137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207"/>
    </row>
  </sheetData>
  <printOptions horizontalCentered="1"/>
  <pageMargins left="0.5" right="0.5" top="1" bottom="1" header="0.5" footer="0.5"/>
  <pageSetup scale="66" fitToHeight="3" orientation="landscape" horizontalDpi="300" verticalDpi="300" r:id="rId1"/>
  <headerFooter alignWithMargins="0">
    <oddFooter>&amp;L&amp;F &amp;A&amp;C&amp;P&amp;R&amp;D</oddFooter>
  </headerFooter>
  <rowBreaks count="1" manualBreakCount="1">
    <brk id="106" max="1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335"/>
  <sheetViews>
    <sheetView workbookViewId="0">
      <pane xSplit="3" ySplit="7" topLeftCell="D119" activePane="bottomRight" state="frozen"/>
      <selection activeCell="AX41" sqref="AX41"/>
      <selection pane="topRight" activeCell="AX41" sqref="AX41"/>
      <selection pane="bottomLeft" activeCell="AX41" sqref="AX41"/>
      <selection pane="bottomRight" activeCell="D172" sqref="D172"/>
    </sheetView>
  </sheetViews>
  <sheetFormatPr defaultColWidth="9.140625" defaultRowHeight="12.75" x14ac:dyDescent="0.2"/>
  <cols>
    <col min="1" max="1" width="2.28515625" style="709" customWidth="1"/>
    <col min="2" max="2" width="41.7109375" style="709" customWidth="1"/>
    <col min="3" max="3" width="9.85546875" style="709" bestFit="1" customWidth="1"/>
    <col min="4" max="15" width="12.28515625" style="709" customWidth="1"/>
    <col min="16" max="16" width="14.42578125" style="709" customWidth="1"/>
    <col min="17" max="17" width="12.7109375" style="709" customWidth="1"/>
    <col min="18" max="18" width="10.7109375" style="709" bestFit="1" customWidth="1"/>
    <col min="19" max="16384" width="9.140625" style="709"/>
  </cols>
  <sheetData>
    <row r="1" spans="2:20" x14ac:dyDescent="0.2">
      <c r="B1" s="790" t="s">
        <v>0</v>
      </c>
      <c r="C1" s="790"/>
      <c r="D1" s="790"/>
      <c r="E1" s="790"/>
      <c r="F1" s="790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08"/>
    </row>
    <row r="2" spans="2:20" x14ac:dyDescent="0.2">
      <c r="B2" s="790" t="s">
        <v>435</v>
      </c>
      <c r="C2" s="790"/>
      <c r="D2" s="790"/>
      <c r="E2" s="790"/>
      <c r="F2" s="790"/>
      <c r="G2" s="790"/>
      <c r="H2" s="790"/>
      <c r="I2" s="790"/>
      <c r="J2" s="790"/>
      <c r="K2" s="790"/>
      <c r="L2" s="790"/>
      <c r="M2" s="790"/>
      <c r="N2" s="790"/>
      <c r="O2" s="790"/>
      <c r="P2" s="790"/>
      <c r="Q2" s="708"/>
    </row>
    <row r="3" spans="2:20" x14ac:dyDescent="0.2">
      <c r="B3" s="790" t="s">
        <v>344</v>
      </c>
      <c r="C3" s="790"/>
      <c r="D3" s="790"/>
      <c r="E3" s="790"/>
      <c r="F3" s="790"/>
      <c r="G3" s="790"/>
      <c r="H3" s="790"/>
      <c r="I3" s="790"/>
      <c r="J3" s="790"/>
      <c r="K3" s="790"/>
      <c r="L3" s="790"/>
      <c r="M3" s="790"/>
      <c r="N3" s="790"/>
      <c r="O3" s="790"/>
      <c r="P3" s="790"/>
      <c r="Q3" s="708"/>
    </row>
    <row r="4" spans="2:20" x14ac:dyDescent="0.2">
      <c r="B4" s="790" t="s">
        <v>460</v>
      </c>
      <c r="C4" s="790"/>
      <c r="D4" s="790"/>
      <c r="E4" s="790"/>
      <c r="F4" s="790"/>
      <c r="G4" s="790"/>
      <c r="H4" s="790"/>
      <c r="I4" s="790"/>
      <c r="J4" s="790"/>
      <c r="K4" s="790"/>
      <c r="L4" s="790"/>
      <c r="M4" s="790"/>
      <c r="N4" s="790"/>
      <c r="O4" s="790"/>
      <c r="P4" s="790"/>
      <c r="Q4" s="708"/>
    </row>
    <row r="5" spans="2:20" x14ac:dyDescent="0.2">
      <c r="B5" s="710"/>
      <c r="C5" s="708"/>
      <c r="D5" s="708"/>
      <c r="E5" s="708"/>
      <c r="F5" s="708"/>
      <c r="G5" s="708"/>
      <c r="H5" s="708"/>
      <c r="I5" s="708"/>
      <c r="J5" s="708"/>
      <c r="K5" s="708"/>
      <c r="L5" s="708"/>
      <c r="M5" s="708"/>
      <c r="N5" s="708"/>
      <c r="O5" s="708"/>
      <c r="P5" s="708"/>
      <c r="Q5" s="708"/>
    </row>
    <row r="6" spans="2:20" x14ac:dyDescent="0.2">
      <c r="B6" s="711" t="s">
        <v>4</v>
      </c>
      <c r="C6" s="711" t="s">
        <v>345</v>
      </c>
      <c r="D6" s="712">
        <v>42917</v>
      </c>
      <c r="E6" s="712">
        <v>42948</v>
      </c>
      <c r="F6" s="712">
        <v>42979</v>
      </c>
      <c r="G6" s="712">
        <v>43009</v>
      </c>
      <c r="H6" s="712">
        <v>43040</v>
      </c>
      <c r="I6" s="712">
        <v>43070</v>
      </c>
      <c r="J6" s="712">
        <v>43101</v>
      </c>
      <c r="K6" s="712">
        <v>43132</v>
      </c>
      <c r="L6" s="712">
        <v>43160</v>
      </c>
      <c r="M6" s="712">
        <v>43191</v>
      </c>
      <c r="N6" s="712">
        <v>43221</v>
      </c>
      <c r="O6" s="712">
        <v>43252</v>
      </c>
      <c r="P6" s="713" t="s">
        <v>6</v>
      </c>
      <c r="Q6" s="714"/>
    </row>
    <row r="7" spans="2:20" x14ac:dyDescent="0.2">
      <c r="B7" s="715" t="s">
        <v>443</v>
      </c>
      <c r="C7" s="716"/>
      <c r="D7" s="717"/>
      <c r="E7" s="717"/>
      <c r="F7" s="717"/>
      <c r="G7" s="717"/>
      <c r="H7" s="717"/>
      <c r="I7" s="717"/>
      <c r="J7" s="717"/>
      <c r="K7" s="717"/>
      <c r="L7" s="717"/>
      <c r="M7" s="717"/>
      <c r="N7" s="717"/>
      <c r="O7" s="717"/>
      <c r="P7" s="717"/>
      <c r="Q7" s="717"/>
    </row>
    <row r="8" spans="2:20" s="718" customFormat="1" x14ac:dyDescent="0.2">
      <c r="B8" s="718" t="s">
        <v>346</v>
      </c>
      <c r="C8" s="719">
        <v>16</v>
      </c>
      <c r="D8" s="720">
        <v>826.07600000000002</v>
      </c>
      <c r="E8" s="720">
        <v>820.92700000000002</v>
      </c>
      <c r="F8" s="720">
        <v>774.51800000000003</v>
      </c>
      <c r="G8" s="720">
        <v>824.08199999999999</v>
      </c>
      <c r="H8" s="720">
        <v>783.54899999999998</v>
      </c>
      <c r="I8" s="720">
        <v>800.10699999999997</v>
      </c>
      <c r="J8" s="720">
        <v>797.62900000000002</v>
      </c>
      <c r="K8" s="720">
        <v>723.62300000000005</v>
      </c>
      <c r="L8" s="720">
        <v>835.85599999999999</v>
      </c>
      <c r="M8" s="720">
        <v>821.65099999999995</v>
      </c>
      <c r="N8" s="720">
        <v>818.67499999999995</v>
      </c>
      <c r="O8" s="720">
        <v>765.35199999999998</v>
      </c>
      <c r="P8" s="721">
        <f>SUM(D8:O8)</f>
        <v>9592.0450000000001</v>
      </c>
      <c r="Q8" s="721"/>
      <c r="S8" s="721"/>
    </row>
    <row r="9" spans="2:20" s="718" customFormat="1" x14ac:dyDescent="0.2">
      <c r="B9" s="718" t="s">
        <v>7</v>
      </c>
      <c r="C9" s="718">
        <v>23</v>
      </c>
      <c r="D9" s="720">
        <v>13443846.632999999</v>
      </c>
      <c r="E9" s="720">
        <v>12736009.979</v>
      </c>
      <c r="F9" s="720">
        <v>19953051.936999999</v>
      </c>
      <c r="G9" s="720">
        <v>46428765.25</v>
      </c>
      <c r="H9" s="720">
        <v>70958837.160999998</v>
      </c>
      <c r="I9" s="720">
        <v>92223262.627000004</v>
      </c>
      <c r="J9" s="720">
        <v>85100009.343999997</v>
      </c>
      <c r="K9" s="720">
        <v>80982698.152999997</v>
      </c>
      <c r="L9" s="720">
        <v>75370532.385000005</v>
      </c>
      <c r="M9" s="720">
        <v>47861731.055</v>
      </c>
      <c r="N9" s="720">
        <v>24077760.546</v>
      </c>
      <c r="O9" s="720">
        <v>17715113.866999999</v>
      </c>
      <c r="P9" s="721">
        <f t="shared" ref="P9:P30" si="0">SUM(D9:O9)</f>
        <v>586851618.93699992</v>
      </c>
      <c r="Q9" s="721"/>
      <c r="R9" s="722"/>
    </row>
    <row r="10" spans="2:20" s="718" customFormat="1" x14ac:dyDescent="0.2">
      <c r="B10" s="718" t="s">
        <v>347</v>
      </c>
      <c r="C10" s="718">
        <v>53</v>
      </c>
      <c r="D10" s="720">
        <v>9.0079999999999991</v>
      </c>
      <c r="E10" s="720">
        <v>9.2899999999999991</v>
      </c>
      <c r="F10" s="720">
        <v>23.614000000000001</v>
      </c>
      <c r="G10" s="720">
        <v>52.81</v>
      </c>
      <c r="H10" s="720">
        <v>67.945999999999998</v>
      </c>
      <c r="I10" s="720">
        <v>68.12700000000001</v>
      </c>
      <c r="J10" s="720">
        <v>56.914999999999999</v>
      </c>
      <c r="K10" s="720">
        <v>7.5629999999999997</v>
      </c>
      <c r="L10" s="720">
        <v>0</v>
      </c>
      <c r="M10" s="720">
        <v>0</v>
      </c>
      <c r="N10" s="720">
        <v>0</v>
      </c>
      <c r="O10" s="720">
        <v>0</v>
      </c>
      <c r="P10" s="721">
        <f t="shared" si="0"/>
        <v>295.27300000000002</v>
      </c>
      <c r="Q10" s="721"/>
      <c r="R10" s="722"/>
    </row>
    <row r="11" spans="2:20" s="718" customFormat="1" x14ac:dyDescent="0.2">
      <c r="B11" s="718" t="s">
        <v>348</v>
      </c>
      <c r="C11" s="718">
        <v>31</v>
      </c>
      <c r="D11" s="720">
        <v>7628079.7920000004</v>
      </c>
      <c r="E11" s="720">
        <v>7453085.6330000004</v>
      </c>
      <c r="F11" s="720">
        <v>9048012.2430000007</v>
      </c>
      <c r="G11" s="720">
        <v>15986076.433</v>
      </c>
      <c r="H11" s="720">
        <v>23305718.149999999</v>
      </c>
      <c r="I11" s="720">
        <v>30383409.791000001</v>
      </c>
      <c r="J11" s="720">
        <v>28408420.164999999</v>
      </c>
      <c r="K11" s="720">
        <v>26930271.664999999</v>
      </c>
      <c r="L11" s="720">
        <v>25549762.872000001</v>
      </c>
      <c r="M11" s="720">
        <v>17553561.793000001</v>
      </c>
      <c r="N11" s="720">
        <v>10844495.560000001</v>
      </c>
      <c r="O11" s="720">
        <v>8894243.5490000006</v>
      </c>
      <c r="P11" s="721">
        <f t="shared" si="0"/>
        <v>211985137.646</v>
      </c>
      <c r="Q11" s="721"/>
    </row>
    <row r="12" spans="2:20" s="718" customFormat="1" x14ac:dyDescent="0.2">
      <c r="B12" s="718" t="s">
        <v>349</v>
      </c>
      <c r="C12" s="718">
        <v>41</v>
      </c>
      <c r="D12" s="720">
        <v>2436691.1039999998</v>
      </c>
      <c r="E12" s="720">
        <v>2305053.4160000002</v>
      </c>
      <c r="F12" s="720">
        <v>2781084.9019999998</v>
      </c>
      <c r="G12" s="720">
        <v>4458896.4029999999</v>
      </c>
      <c r="H12" s="720">
        <v>5661872.9620000003</v>
      </c>
      <c r="I12" s="720">
        <v>6994015.2349999994</v>
      </c>
      <c r="J12" s="720">
        <v>6582985.9359999998</v>
      </c>
      <c r="K12" s="720">
        <v>6376722.0830000006</v>
      </c>
      <c r="L12" s="720">
        <v>6234660.6830000002</v>
      </c>
      <c r="M12" s="720">
        <v>4788918.1710000001</v>
      </c>
      <c r="N12" s="720">
        <v>3300949.523</v>
      </c>
      <c r="O12" s="720">
        <v>1563898.8959999999</v>
      </c>
      <c r="P12" s="721">
        <f t="shared" si="0"/>
        <v>53485749.313999996</v>
      </c>
      <c r="Q12" s="721"/>
      <c r="R12" s="723"/>
    </row>
    <row r="13" spans="2:20" s="718" customFormat="1" x14ac:dyDescent="0.2">
      <c r="B13" s="709" t="s">
        <v>444</v>
      </c>
      <c r="C13" s="719" t="s">
        <v>33</v>
      </c>
      <c r="D13" s="720">
        <v>76.98</v>
      </c>
      <c r="E13" s="720">
        <v>27.25</v>
      </c>
      <c r="F13" s="720">
        <v>218.87</v>
      </c>
      <c r="G13" s="720">
        <v>1982.63</v>
      </c>
      <c r="H13" s="720">
        <v>3323.76</v>
      </c>
      <c r="I13" s="720">
        <v>4410.21</v>
      </c>
      <c r="J13" s="720">
        <v>2530.87</v>
      </c>
      <c r="K13" s="720">
        <v>3905.98</v>
      </c>
      <c r="L13" s="720">
        <v>2821.34</v>
      </c>
      <c r="M13" s="720">
        <v>1980.65</v>
      </c>
      <c r="N13" s="720">
        <v>595.91</v>
      </c>
      <c r="O13" s="720">
        <v>27.44</v>
      </c>
      <c r="P13" s="721">
        <f t="shared" si="0"/>
        <v>21901.89</v>
      </c>
      <c r="Q13" s="721"/>
    </row>
    <row r="14" spans="2:20" s="718" customFormat="1" x14ac:dyDescent="0.2">
      <c r="B14" s="718" t="s">
        <v>350</v>
      </c>
      <c r="C14" s="718">
        <v>85</v>
      </c>
      <c r="D14" s="720">
        <v>718072.78200000001</v>
      </c>
      <c r="E14" s="720">
        <v>664389.50499999989</v>
      </c>
      <c r="F14" s="720">
        <v>792053.55200000003</v>
      </c>
      <c r="G14" s="720">
        <v>1250756.3330000001</v>
      </c>
      <c r="H14" s="720">
        <v>1551311.9750000001</v>
      </c>
      <c r="I14" s="720">
        <v>1866442.2080000001</v>
      </c>
      <c r="J14" s="720">
        <v>1710515.939</v>
      </c>
      <c r="K14" s="720">
        <v>1579736.5380000002</v>
      </c>
      <c r="L14" s="720">
        <v>1642259.1359999999</v>
      </c>
      <c r="M14" s="720">
        <v>1243655.1359999999</v>
      </c>
      <c r="N14" s="720">
        <v>920234.88600000006</v>
      </c>
      <c r="O14" s="720">
        <v>709740.74400000006</v>
      </c>
      <c r="P14" s="721">
        <f t="shared" si="0"/>
        <v>14649168.734000001</v>
      </c>
      <c r="Q14" s="721"/>
      <c r="R14" s="720"/>
      <c r="T14" s="721"/>
    </row>
    <row r="15" spans="2:20" s="718" customFormat="1" x14ac:dyDescent="0.2">
      <c r="B15" s="718" t="s">
        <v>351</v>
      </c>
      <c r="C15" s="718">
        <v>86</v>
      </c>
      <c r="D15" s="720">
        <v>208746.55599999998</v>
      </c>
      <c r="E15" s="720">
        <v>193052.79699999999</v>
      </c>
      <c r="F15" s="720">
        <v>320287.72700000001</v>
      </c>
      <c r="G15" s="720">
        <v>752339.98400000005</v>
      </c>
      <c r="H15" s="720">
        <v>1027027.388</v>
      </c>
      <c r="I15" s="720">
        <v>1282526.0389999999</v>
      </c>
      <c r="J15" s="720">
        <v>1186743.409</v>
      </c>
      <c r="K15" s="720">
        <v>1096745.9580000001</v>
      </c>
      <c r="L15" s="720">
        <v>1108771.162</v>
      </c>
      <c r="M15" s="720">
        <v>838893.72800000012</v>
      </c>
      <c r="N15" s="720">
        <v>477239.02300000004</v>
      </c>
      <c r="O15" s="720">
        <v>307851.304</v>
      </c>
      <c r="P15" s="721">
        <f t="shared" si="0"/>
        <v>8800225.0750000011</v>
      </c>
      <c r="Q15" s="721"/>
      <c r="R15" s="720"/>
      <c r="T15" s="721"/>
    </row>
    <row r="16" spans="2:20" s="718" customFormat="1" x14ac:dyDescent="0.2">
      <c r="B16" s="718" t="s">
        <v>352</v>
      </c>
      <c r="C16" s="718">
        <v>87</v>
      </c>
      <c r="D16" s="720">
        <v>1205163.1340000001</v>
      </c>
      <c r="E16" s="720">
        <v>1191232.98</v>
      </c>
      <c r="F16" s="720">
        <v>1297454.0249999999</v>
      </c>
      <c r="G16" s="720">
        <v>1958326.8969999999</v>
      </c>
      <c r="H16" s="720">
        <v>2341872.3509999998</v>
      </c>
      <c r="I16" s="720">
        <v>2817477.4819999998</v>
      </c>
      <c r="J16" s="720">
        <v>2488073.4070000001</v>
      </c>
      <c r="K16" s="720">
        <v>2506045.7620000001</v>
      </c>
      <c r="L16" s="720">
        <v>2429944.3769999999</v>
      </c>
      <c r="M16" s="720">
        <v>2066250.916</v>
      </c>
      <c r="N16" s="720">
        <v>1485710.202</v>
      </c>
      <c r="O16" s="720">
        <v>1430551.095</v>
      </c>
      <c r="P16" s="721">
        <f t="shared" si="0"/>
        <v>23218102.627999999</v>
      </c>
      <c r="Q16" s="721"/>
      <c r="R16" s="720"/>
      <c r="T16" s="721"/>
    </row>
    <row r="17" spans="2:20" s="718" customFormat="1" x14ac:dyDescent="0.2">
      <c r="B17" s="718" t="s">
        <v>353</v>
      </c>
      <c r="C17" s="718">
        <v>31</v>
      </c>
      <c r="D17" s="720">
        <v>395133.00599999999</v>
      </c>
      <c r="E17" s="720">
        <v>415618.07</v>
      </c>
      <c r="F17" s="720">
        <v>500846.97600000002</v>
      </c>
      <c r="G17" s="720">
        <v>1006993.794</v>
      </c>
      <c r="H17" s="720">
        <v>1528407.077</v>
      </c>
      <c r="I17" s="720">
        <v>2041098.7910000002</v>
      </c>
      <c r="J17" s="720">
        <v>1964791.37</v>
      </c>
      <c r="K17" s="720">
        <v>1882934.0430000001</v>
      </c>
      <c r="L17" s="720">
        <v>1682660.3740000001</v>
      </c>
      <c r="M17" s="720">
        <v>1063918.2120000001</v>
      </c>
      <c r="N17" s="720">
        <v>559791.22699999996</v>
      </c>
      <c r="O17" s="720">
        <v>429753.88400000002</v>
      </c>
      <c r="P17" s="721">
        <f t="shared" si="0"/>
        <v>13471946.823999999</v>
      </c>
      <c r="Q17" s="721"/>
    </row>
    <row r="18" spans="2:20" s="718" customFormat="1" x14ac:dyDescent="0.2">
      <c r="B18" s="718" t="s">
        <v>354</v>
      </c>
      <c r="C18" s="718">
        <v>41</v>
      </c>
      <c r="D18" s="720">
        <v>715686.64599999995</v>
      </c>
      <c r="E18" s="720">
        <v>723322.54399999999</v>
      </c>
      <c r="F18" s="720">
        <v>721587.85899999994</v>
      </c>
      <c r="G18" s="720">
        <v>895018.30300000007</v>
      </c>
      <c r="H18" s="720">
        <v>893863.43400000012</v>
      </c>
      <c r="I18" s="720">
        <v>978320.95299999998</v>
      </c>
      <c r="J18" s="720">
        <v>946435.92099999997</v>
      </c>
      <c r="K18" s="720">
        <v>901078.02300000004</v>
      </c>
      <c r="L18" s="720">
        <v>919254.62699999998</v>
      </c>
      <c r="M18" s="720">
        <v>811446.06</v>
      </c>
      <c r="N18" s="720">
        <v>700117.15899999999</v>
      </c>
      <c r="O18" s="720">
        <v>208689.174</v>
      </c>
      <c r="P18" s="721">
        <f t="shared" si="0"/>
        <v>9414820.7030000016</v>
      </c>
      <c r="Q18" s="721"/>
    </row>
    <row r="19" spans="2:20" s="718" customFormat="1" x14ac:dyDescent="0.2">
      <c r="B19" s="718" t="s">
        <v>355</v>
      </c>
      <c r="C19" s="718">
        <v>85</v>
      </c>
      <c r="D19" s="720">
        <v>118216.663</v>
      </c>
      <c r="E19" s="720">
        <v>108078.61899999999</v>
      </c>
      <c r="F19" s="720">
        <v>117621.26699999999</v>
      </c>
      <c r="G19" s="720">
        <v>132658.54500000001</v>
      </c>
      <c r="H19" s="720">
        <v>150576.024</v>
      </c>
      <c r="I19" s="720">
        <v>162942.16400000002</v>
      </c>
      <c r="J19" s="720">
        <v>152783.32999999999</v>
      </c>
      <c r="K19" s="720">
        <v>144144.49599999998</v>
      </c>
      <c r="L19" s="720">
        <v>145396.611</v>
      </c>
      <c r="M19" s="720">
        <v>149688.77699999997</v>
      </c>
      <c r="N19" s="720">
        <v>126713.5</v>
      </c>
      <c r="O19" s="720">
        <v>112017.696</v>
      </c>
      <c r="P19" s="721">
        <f t="shared" si="0"/>
        <v>1620837.692</v>
      </c>
      <c r="Q19" s="721"/>
      <c r="T19" s="721"/>
    </row>
    <row r="20" spans="2:20" s="718" customFormat="1" x14ac:dyDescent="0.2">
      <c r="B20" s="718" t="s">
        <v>356</v>
      </c>
      <c r="C20" s="718">
        <v>86</v>
      </c>
      <c r="D20" s="720">
        <v>7050.719000000001</v>
      </c>
      <c r="E20" s="720">
        <v>6990.4639999999999</v>
      </c>
      <c r="F20" s="720">
        <v>59473.29</v>
      </c>
      <c r="G20" s="720">
        <v>65278.603999999999</v>
      </c>
      <c r="H20" s="720">
        <v>18252.848999999998</v>
      </c>
      <c r="I20" s="720">
        <v>18496.313999999998</v>
      </c>
      <c r="J20" s="720">
        <v>17702.267</v>
      </c>
      <c r="K20" s="720">
        <v>18723.310999999998</v>
      </c>
      <c r="L20" s="720">
        <v>17030.457000000002</v>
      </c>
      <c r="M20" s="720">
        <v>21970.927</v>
      </c>
      <c r="N20" s="720">
        <v>11131.916000000001</v>
      </c>
      <c r="O20" s="720">
        <v>8571.3490000000002</v>
      </c>
      <c r="P20" s="721">
        <f t="shared" si="0"/>
        <v>270672.46699999995</v>
      </c>
      <c r="Q20" s="721"/>
      <c r="T20" s="721"/>
    </row>
    <row r="21" spans="2:20" s="718" customFormat="1" x14ac:dyDescent="0.2">
      <c r="B21" s="718" t="s">
        <v>357</v>
      </c>
      <c r="C21" s="718">
        <v>87</v>
      </c>
      <c r="D21" s="720">
        <v>0</v>
      </c>
      <c r="E21" s="720">
        <v>0</v>
      </c>
      <c r="F21" s="720">
        <v>0</v>
      </c>
      <c r="G21" s="720">
        <v>0</v>
      </c>
      <c r="H21" s="720">
        <v>0</v>
      </c>
      <c r="I21" s="720">
        <v>0</v>
      </c>
      <c r="J21" s="720">
        <v>0</v>
      </c>
      <c r="K21" s="720">
        <v>0</v>
      </c>
      <c r="L21" s="720">
        <v>0</v>
      </c>
      <c r="M21" s="720">
        <v>0</v>
      </c>
      <c r="N21" s="720">
        <v>0</v>
      </c>
      <c r="O21" s="720">
        <v>0</v>
      </c>
      <c r="P21" s="721">
        <f t="shared" si="0"/>
        <v>0</v>
      </c>
      <c r="Q21" s="721"/>
      <c r="T21" s="721"/>
    </row>
    <row r="22" spans="2:20" s="718" customFormat="1" x14ac:dyDescent="0.2">
      <c r="B22" s="709" t="s">
        <v>358</v>
      </c>
      <c r="C22" s="719" t="s">
        <v>33</v>
      </c>
      <c r="D22" s="720">
        <v>833.33</v>
      </c>
      <c r="E22" s="720">
        <v>852.46</v>
      </c>
      <c r="F22" s="720">
        <v>1004.34</v>
      </c>
      <c r="G22" s="720">
        <v>1858.11</v>
      </c>
      <c r="H22" s="720">
        <v>2420.34</v>
      </c>
      <c r="I22" s="720">
        <v>3639.8599999999997</v>
      </c>
      <c r="J22" s="720">
        <v>2356.8000000000002</v>
      </c>
      <c r="K22" s="720">
        <v>2713.47</v>
      </c>
      <c r="L22" s="720">
        <v>2240.84</v>
      </c>
      <c r="M22" s="720">
        <v>1514.91</v>
      </c>
      <c r="N22" s="720">
        <v>975.42</v>
      </c>
      <c r="O22" s="720">
        <v>955</v>
      </c>
      <c r="P22" s="721">
        <f t="shared" si="0"/>
        <v>21364.879999999994</v>
      </c>
      <c r="Q22" s="721"/>
    </row>
    <row r="23" spans="2:20" s="718" customFormat="1" x14ac:dyDescent="0.2">
      <c r="B23" s="709" t="s">
        <v>359</v>
      </c>
      <c r="C23" s="724" t="s">
        <v>35</v>
      </c>
      <c r="D23" s="720">
        <v>842278.49</v>
      </c>
      <c r="E23" s="720">
        <v>919204.60000000009</v>
      </c>
      <c r="F23" s="720">
        <v>874618.36</v>
      </c>
      <c r="G23" s="720">
        <v>1039536.68</v>
      </c>
      <c r="H23" s="720">
        <v>1141129.2390000001</v>
      </c>
      <c r="I23" s="720">
        <v>1249368.6400000001</v>
      </c>
      <c r="J23" s="720">
        <v>1255972.3900000001</v>
      </c>
      <c r="K23" s="720">
        <v>1219491.01</v>
      </c>
      <c r="L23" s="720">
        <v>1249375.8599999999</v>
      </c>
      <c r="M23" s="720">
        <v>1121319.93</v>
      </c>
      <c r="N23" s="720">
        <v>997442.22</v>
      </c>
      <c r="O23" s="720">
        <v>813156.53</v>
      </c>
      <c r="P23" s="721">
        <f t="shared" si="0"/>
        <v>12722893.949000001</v>
      </c>
      <c r="Q23" s="721"/>
    </row>
    <row r="24" spans="2:20" s="718" customFormat="1" x14ac:dyDescent="0.2">
      <c r="B24" s="709" t="s">
        <v>360</v>
      </c>
      <c r="C24" s="724" t="s">
        <v>37</v>
      </c>
      <c r="D24" s="720">
        <v>1570935.13</v>
      </c>
      <c r="E24" s="720">
        <v>1652500.78</v>
      </c>
      <c r="F24" s="720">
        <v>1563451.74</v>
      </c>
      <c r="G24" s="720">
        <v>1823153.78</v>
      </c>
      <c r="H24" s="720">
        <v>1960693.12</v>
      </c>
      <c r="I24" s="720">
        <v>2174610.2800000003</v>
      </c>
      <c r="J24" s="720">
        <v>2118211.92</v>
      </c>
      <c r="K24" s="720">
        <v>2005289.4500000002</v>
      </c>
      <c r="L24" s="720">
        <v>2104200.58</v>
      </c>
      <c r="M24" s="720">
        <v>1832042.1</v>
      </c>
      <c r="N24" s="720">
        <v>1801033.12</v>
      </c>
      <c r="O24" s="720">
        <v>1732174.3499999999</v>
      </c>
      <c r="P24" s="721">
        <f t="shared" si="0"/>
        <v>22338296.350000005</v>
      </c>
      <c r="Q24" s="721"/>
      <c r="T24" s="721"/>
    </row>
    <row r="25" spans="2:20" s="718" customFormat="1" x14ac:dyDescent="0.2">
      <c r="B25" s="709" t="s">
        <v>361</v>
      </c>
      <c r="C25" s="724" t="s">
        <v>41</v>
      </c>
      <c r="D25" s="720">
        <v>1084131.21</v>
      </c>
      <c r="E25" s="720">
        <v>1076261.75</v>
      </c>
      <c r="F25" s="720">
        <v>1104327.17</v>
      </c>
      <c r="G25" s="720">
        <v>1494217.02</v>
      </c>
      <c r="H25" s="720">
        <v>1811392.06</v>
      </c>
      <c r="I25" s="720">
        <v>2114674.64</v>
      </c>
      <c r="J25" s="720">
        <v>1951459.87</v>
      </c>
      <c r="K25" s="720">
        <v>1961093.9500000002</v>
      </c>
      <c r="L25" s="720">
        <v>1857442.65</v>
      </c>
      <c r="M25" s="720">
        <v>1599860.8800000001</v>
      </c>
      <c r="N25" s="720">
        <v>1278689.8499999999</v>
      </c>
      <c r="O25" s="720">
        <v>1168040.95</v>
      </c>
      <c r="P25" s="721">
        <f t="shared" si="0"/>
        <v>18501592.000000004</v>
      </c>
      <c r="Q25" s="721"/>
      <c r="T25" s="721"/>
    </row>
    <row r="26" spans="2:20" s="718" customFormat="1" x14ac:dyDescent="0.2">
      <c r="B26" s="709" t="s">
        <v>362</v>
      </c>
      <c r="C26" s="724" t="s">
        <v>35</v>
      </c>
      <c r="D26" s="720">
        <v>566917.64</v>
      </c>
      <c r="E26" s="720">
        <v>536778.17999999993</v>
      </c>
      <c r="F26" s="720">
        <v>501521.2</v>
      </c>
      <c r="G26" s="720">
        <v>548774.43999999994</v>
      </c>
      <c r="H26" s="720">
        <v>530865.47</v>
      </c>
      <c r="I26" s="720">
        <v>502356.32999999996</v>
      </c>
      <c r="J26" s="720">
        <v>587041.71</v>
      </c>
      <c r="K26" s="720">
        <v>560063.15999999992</v>
      </c>
      <c r="L26" s="720">
        <v>653291.67999999993</v>
      </c>
      <c r="M26" s="720">
        <v>562059.31000000006</v>
      </c>
      <c r="N26" s="720">
        <v>465111.51</v>
      </c>
      <c r="O26" s="720">
        <v>456972.94</v>
      </c>
      <c r="P26" s="721">
        <f t="shared" si="0"/>
        <v>6471753.5699999994</v>
      </c>
      <c r="Q26" s="721"/>
    </row>
    <row r="27" spans="2:20" s="718" customFormat="1" x14ac:dyDescent="0.2">
      <c r="B27" s="709" t="s">
        <v>363</v>
      </c>
      <c r="C27" s="724" t="s">
        <v>37</v>
      </c>
      <c r="D27" s="720">
        <v>4280828.5600000005</v>
      </c>
      <c r="E27" s="720">
        <v>4715349.79</v>
      </c>
      <c r="F27" s="720">
        <v>4631320.07</v>
      </c>
      <c r="G27" s="720">
        <v>5126915.4399999995</v>
      </c>
      <c r="H27" s="720">
        <v>4478198.82</v>
      </c>
      <c r="I27" s="720">
        <v>4595260.34</v>
      </c>
      <c r="J27" s="720">
        <v>4463633.12</v>
      </c>
      <c r="K27" s="720">
        <v>4116771.16</v>
      </c>
      <c r="L27" s="720">
        <v>4871480.7699999996</v>
      </c>
      <c r="M27" s="720">
        <v>4319936.82</v>
      </c>
      <c r="N27" s="720">
        <v>4256767.37</v>
      </c>
      <c r="O27" s="720">
        <v>4233782.51</v>
      </c>
      <c r="P27" s="721">
        <f t="shared" si="0"/>
        <v>54090244.769999988</v>
      </c>
      <c r="Q27" s="721"/>
      <c r="T27" s="721"/>
    </row>
    <row r="28" spans="2:20" s="718" customFormat="1" x14ac:dyDescent="0.2">
      <c r="B28" s="718" t="s">
        <v>364</v>
      </c>
      <c r="C28" s="724" t="s">
        <v>39</v>
      </c>
      <c r="D28" s="720">
        <v>24835.61</v>
      </c>
      <c r="E28" s="720">
        <v>18950.099999999999</v>
      </c>
      <c r="F28" s="720">
        <v>14249</v>
      </c>
      <c r="G28" s="720">
        <v>31358.14</v>
      </c>
      <c r="H28" s="720">
        <v>28587.62</v>
      </c>
      <c r="I28" s="720">
        <v>29791.48</v>
      </c>
      <c r="J28" s="720">
        <v>49343.94</v>
      </c>
      <c r="K28" s="720">
        <v>52603.87</v>
      </c>
      <c r="L28" s="720">
        <v>40825.67</v>
      </c>
      <c r="M28" s="720">
        <v>24785.5</v>
      </c>
      <c r="N28" s="720">
        <v>18363.18</v>
      </c>
      <c r="O28" s="720">
        <v>20942.59</v>
      </c>
      <c r="P28" s="721">
        <f t="shared" si="0"/>
        <v>354636.7</v>
      </c>
      <c r="Q28" s="721"/>
      <c r="T28" s="721"/>
    </row>
    <row r="29" spans="2:20" s="718" customFormat="1" x14ac:dyDescent="0.2">
      <c r="B29" s="709" t="s">
        <v>365</v>
      </c>
      <c r="C29" s="724" t="s">
        <v>41</v>
      </c>
      <c r="D29" s="720">
        <v>7598296.1299999999</v>
      </c>
      <c r="E29" s="720">
        <v>7734935.3200000003</v>
      </c>
      <c r="F29" s="720">
        <v>7364818.1600000001</v>
      </c>
      <c r="G29" s="720">
        <v>7444983.4000000004</v>
      </c>
      <c r="H29" s="720">
        <v>6267312.4800000004</v>
      </c>
      <c r="I29" s="720">
        <v>7766997.3499999996</v>
      </c>
      <c r="J29" s="720">
        <v>6317281.6500000004</v>
      </c>
      <c r="K29" s="720">
        <v>6906246.4400000004</v>
      </c>
      <c r="L29" s="720">
        <v>7685171.5099999998</v>
      </c>
      <c r="M29" s="720">
        <v>6615627.5999999996</v>
      </c>
      <c r="N29" s="720">
        <v>6953514.0099999998</v>
      </c>
      <c r="O29" s="720">
        <v>6482373.2000000002</v>
      </c>
      <c r="P29" s="721">
        <f t="shared" si="0"/>
        <v>85137557.25</v>
      </c>
      <c r="Q29" s="721"/>
      <c r="T29" s="721"/>
    </row>
    <row r="30" spans="2:20" s="725" customFormat="1" ht="15" x14ac:dyDescent="0.25">
      <c r="B30" s="725" t="s">
        <v>366</v>
      </c>
      <c r="C30" s="726" t="s">
        <v>262</v>
      </c>
      <c r="D30" s="720">
        <v>1921334.9100000001</v>
      </c>
      <c r="E30" s="727">
        <v>1869187.75</v>
      </c>
      <c r="F30" s="727">
        <v>1943193.99</v>
      </c>
      <c r="G30" s="727">
        <v>3014511.56</v>
      </c>
      <c r="H30" s="727">
        <v>3745262.62</v>
      </c>
      <c r="I30" s="727">
        <v>4436578.41</v>
      </c>
      <c r="J30" s="727">
        <v>4032427.7399999998</v>
      </c>
      <c r="K30" s="727">
        <v>4114898.2699999996</v>
      </c>
      <c r="L30" s="727">
        <v>3806410.93</v>
      </c>
      <c r="M30" s="727">
        <v>3156368.4099999997</v>
      </c>
      <c r="N30" s="727">
        <v>2317402.04</v>
      </c>
      <c r="O30" s="727">
        <v>2136885.0499999998</v>
      </c>
      <c r="P30" s="728">
        <f t="shared" si="0"/>
        <v>36494461.68</v>
      </c>
      <c r="Q30" s="729"/>
    </row>
    <row r="31" spans="2:20" s="718" customFormat="1" x14ac:dyDescent="0.2">
      <c r="B31" s="718" t="s">
        <v>367</v>
      </c>
      <c r="D31" s="730">
        <f t="shared" ref="D31:O31" si="1">SUM(D8:D30)</f>
        <v>44767990.108999997</v>
      </c>
      <c r="E31" s="730">
        <f t="shared" si="1"/>
        <v>44321712.204000004</v>
      </c>
      <c r="F31" s="730">
        <f t="shared" si="1"/>
        <v>53590994.81000001</v>
      </c>
      <c r="G31" s="730">
        <f t="shared" si="1"/>
        <v>93463278.638000011</v>
      </c>
      <c r="H31" s="730">
        <f t="shared" si="1"/>
        <v>127407776.39500003</v>
      </c>
      <c r="I31" s="730">
        <f t="shared" si="1"/>
        <v>161646547.37800002</v>
      </c>
      <c r="J31" s="730">
        <f t="shared" si="1"/>
        <v>149339575.64200005</v>
      </c>
      <c r="K31" s="730">
        <f t="shared" si="1"/>
        <v>143362907.97800002</v>
      </c>
      <c r="L31" s="730">
        <f t="shared" si="1"/>
        <v>137374370.37000003</v>
      </c>
      <c r="M31" s="730">
        <f t="shared" si="1"/>
        <v>95636352.535999984</v>
      </c>
      <c r="N31" s="730">
        <f t="shared" si="1"/>
        <v>60594856.846999995</v>
      </c>
      <c r="O31" s="730">
        <f t="shared" si="1"/>
        <v>48426507.469999999</v>
      </c>
      <c r="P31" s="721">
        <f>SUM(D31:O31)</f>
        <v>1159932870.3770001</v>
      </c>
      <c r="Q31" s="729"/>
      <c r="R31" s="721"/>
    </row>
    <row r="32" spans="2:20" s="718" customFormat="1" x14ac:dyDescent="0.2">
      <c r="B32" s="718" t="s">
        <v>368</v>
      </c>
      <c r="D32" s="729">
        <f t="shared" ref="D32:O32" si="2">SUM(D13,D22:D30)</f>
        <v>17890467.990000002</v>
      </c>
      <c r="E32" s="729">
        <f t="shared" si="2"/>
        <v>18524047.979999997</v>
      </c>
      <c r="F32" s="729">
        <f t="shared" si="2"/>
        <v>17998722.899999999</v>
      </c>
      <c r="G32" s="729">
        <f t="shared" si="2"/>
        <v>20527291.199999999</v>
      </c>
      <c r="H32" s="729">
        <f t="shared" si="2"/>
        <v>19969185.528999999</v>
      </c>
      <c r="I32" s="729">
        <f t="shared" si="2"/>
        <v>22877687.540000003</v>
      </c>
      <c r="J32" s="729">
        <f t="shared" si="2"/>
        <v>20780260.009999998</v>
      </c>
      <c r="K32" s="729">
        <f t="shared" si="2"/>
        <v>20943076.759999998</v>
      </c>
      <c r="L32" s="729">
        <f t="shared" si="2"/>
        <v>22273261.829999998</v>
      </c>
      <c r="M32" s="729">
        <f t="shared" si="2"/>
        <v>19235496.109999999</v>
      </c>
      <c r="N32" s="729">
        <f t="shared" si="2"/>
        <v>18089894.629999999</v>
      </c>
      <c r="O32" s="729">
        <f t="shared" si="2"/>
        <v>17045310.559999999</v>
      </c>
      <c r="P32" s="721">
        <f>SUM(D32:O32)</f>
        <v>236154703.03899997</v>
      </c>
      <c r="Q32" s="721"/>
    </row>
    <row r="33" spans="2:40" s="718" customFormat="1" x14ac:dyDescent="0.2">
      <c r="B33" s="731" t="s">
        <v>445</v>
      </c>
      <c r="D33" s="729">
        <f t="shared" ref="D33:O33" si="3">D14+D16+D19+D21+D24+D25+D27+D29+D30</f>
        <v>18496978.519000001</v>
      </c>
      <c r="E33" s="729">
        <f t="shared" si="3"/>
        <v>19011936.493999999</v>
      </c>
      <c r="F33" s="729">
        <f t="shared" si="3"/>
        <v>18814239.973999999</v>
      </c>
      <c r="G33" s="729">
        <f t="shared" si="3"/>
        <v>22245522.974999998</v>
      </c>
      <c r="H33" s="729">
        <f t="shared" si="3"/>
        <v>22306619.450000003</v>
      </c>
      <c r="I33" s="729">
        <f t="shared" si="3"/>
        <v>25934982.874000002</v>
      </c>
      <c r="J33" s="729">
        <f t="shared" si="3"/>
        <v>23234386.976</v>
      </c>
      <c r="K33" s="729">
        <f t="shared" si="3"/>
        <v>23334226.066</v>
      </c>
      <c r="L33" s="729">
        <f t="shared" si="3"/>
        <v>24542306.563999999</v>
      </c>
      <c r="M33" s="729">
        <f t="shared" si="3"/>
        <v>20983430.639000002</v>
      </c>
      <c r="N33" s="729">
        <f t="shared" si="3"/>
        <v>19140064.978</v>
      </c>
      <c r="O33" s="729">
        <f t="shared" si="3"/>
        <v>18005565.594999999</v>
      </c>
      <c r="P33" s="721">
        <f>SUM(D33:O33)</f>
        <v>256050261.104</v>
      </c>
      <c r="Q33" s="721"/>
    </row>
    <row r="34" spans="2:40" x14ac:dyDescent="0.2">
      <c r="C34" s="724"/>
      <c r="D34" s="720"/>
      <c r="E34" s="732"/>
      <c r="F34" s="732"/>
      <c r="G34" s="732"/>
      <c r="H34" s="732"/>
      <c r="I34" s="732"/>
      <c r="J34" s="729"/>
      <c r="K34" s="729"/>
      <c r="L34" s="729"/>
      <c r="M34" s="729"/>
      <c r="N34" s="729"/>
      <c r="O34" s="729"/>
      <c r="P34" s="721"/>
      <c r="Q34" s="732"/>
    </row>
    <row r="35" spans="2:40" x14ac:dyDescent="0.2">
      <c r="B35" s="715" t="s">
        <v>369</v>
      </c>
      <c r="C35" s="716"/>
      <c r="D35" s="732"/>
      <c r="E35" s="732"/>
      <c r="F35" s="732"/>
      <c r="G35" s="732"/>
      <c r="H35" s="732"/>
      <c r="I35" s="732"/>
      <c r="J35" s="732"/>
      <c r="K35" s="732"/>
      <c r="L35" s="732"/>
      <c r="M35" s="732"/>
      <c r="N35" s="732"/>
      <c r="O35" s="732"/>
      <c r="P35" s="721"/>
      <c r="Q35" s="732"/>
    </row>
    <row r="36" spans="2:40" x14ac:dyDescent="0.2">
      <c r="B36" s="718" t="s">
        <v>346</v>
      </c>
      <c r="C36" s="719">
        <v>16</v>
      </c>
      <c r="D36" s="720">
        <v>5</v>
      </c>
      <c r="E36" s="720">
        <v>6</v>
      </c>
      <c r="F36" s="720">
        <v>6</v>
      </c>
      <c r="G36" s="720">
        <v>6</v>
      </c>
      <c r="H36" s="720">
        <v>6</v>
      </c>
      <c r="I36" s="733">
        <v>7</v>
      </c>
      <c r="J36" s="720">
        <v>7</v>
      </c>
      <c r="K36" s="720">
        <v>6</v>
      </c>
      <c r="L36" s="720">
        <v>6</v>
      </c>
      <c r="M36" s="720">
        <v>6</v>
      </c>
      <c r="N36" s="720">
        <v>6</v>
      </c>
      <c r="O36" s="720">
        <v>7</v>
      </c>
      <c r="P36" s="721">
        <f>SUM(D36:O36)</f>
        <v>74</v>
      </c>
      <c r="Q36" s="734"/>
      <c r="R36" s="719"/>
      <c r="S36" s="734"/>
      <c r="T36" s="734"/>
      <c r="U36" s="735"/>
      <c r="V36" s="735"/>
      <c r="W36" s="734"/>
      <c r="X36" s="734"/>
      <c r="Y36" s="734"/>
      <c r="Z36" s="734"/>
      <c r="AA36" s="734"/>
      <c r="AB36" s="735"/>
      <c r="AC36" s="734"/>
      <c r="AD36" s="734"/>
      <c r="AE36" s="736"/>
      <c r="AF36" s="734"/>
      <c r="AG36" s="734"/>
      <c r="AH36" s="734"/>
      <c r="AI36" s="734"/>
      <c r="AJ36" s="734"/>
      <c r="AK36" s="734"/>
      <c r="AL36" s="734"/>
      <c r="AM36" s="734"/>
      <c r="AN36" s="734"/>
    </row>
    <row r="37" spans="2:40" s="718" customFormat="1" x14ac:dyDescent="0.2">
      <c r="B37" s="718" t="s">
        <v>7</v>
      </c>
      <c r="C37" s="718">
        <v>23</v>
      </c>
      <c r="D37" s="720">
        <v>760063</v>
      </c>
      <c r="E37" s="720">
        <v>760649</v>
      </c>
      <c r="F37" s="720">
        <v>761855</v>
      </c>
      <c r="G37" s="720">
        <v>763562</v>
      </c>
      <c r="H37" s="720">
        <v>765581</v>
      </c>
      <c r="I37" s="720">
        <v>767037</v>
      </c>
      <c r="J37" s="720">
        <v>768037</v>
      </c>
      <c r="K37" s="720">
        <v>769182</v>
      </c>
      <c r="L37" s="720">
        <v>769904</v>
      </c>
      <c r="M37" s="720">
        <v>770294</v>
      </c>
      <c r="N37" s="720">
        <v>770940</v>
      </c>
      <c r="O37" s="720">
        <v>771256</v>
      </c>
      <c r="P37" s="721">
        <f t="shared" ref="P37:P61" si="4">SUM(D37:O37)</f>
        <v>9198360</v>
      </c>
      <c r="Q37" s="734"/>
    </row>
    <row r="38" spans="2:40" s="718" customFormat="1" x14ac:dyDescent="0.2">
      <c r="B38" s="718" t="s">
        <v>347</v>
      </c>
      <c r="C38" s="718">
        <v>53</v>
      </c>
      <c r="D38" s="720">
        <v>1</v>
      </c>
      <c r="E38" s="720">
        <v>1</v>
      </c>
      <c r="F38" s="720">
        <v>1</v>
      </c>
      <c r="G38" s="720">
        <v>1</v>
      </c>
      <c r="H38" s="720">
        <v>1</v>
      </c>
      <c r="I38" s="720">
        <v>1</v>
      </c>
      <c r="J38" s="720">
        <v>1</v>
      </c>
      <c r="K38" s="720">
        <v>0</v>
      </c>
      <c r="L38" s="720">
        <v>0</v>
      </c>
      <c r="M38" s="720">
        <v>0</v>
      </c>
      <c r="N38" s="720">
        <v>0</v>
      </c>
      <c r="O38" s="720">
        <v>0</v>
      </c>
      <c r="P38" s="721">
        <f t="shared" si="4"/>
        <v>7</v>
      </c>
      <c r="Q38" s="734"/>
    </row>
    <row r="39" spans="2:40" s="718" customFormat="1" x14ac:dyDescent="0.2">
      <c r="B39" s="718" t="s">
        <v>446</v>
      </c>
      <c r="C39" s="718">
        <v>61</v>
      </c>
      <c r="D39" s="720"/>
      <c r="E39" s="720"/>
      <c r="F39" s="720"/>
      <c r="G39" s="720"/>
      <c r="H39" s="720"/>
      <c r="I39" s="720"/>
      <c r="J39" s="720"/>
      <c r="K39" s="720"/>
      <c r="L39" s="720"/>
      <c r="M39" s="720"/>
      <c r="N39" s="720"/>
      <c r="O39" s="720"/>
      <c r="P39" s="721">
        <f t="shared" si="4"/>
        <v>0</v>
      </c>
      <c r="Q39" s="734"/>
    </row>
    <row r="40" spans="2:40" s="718" customFormat="1" x14ac:dyDescent="0.2">
      <c r="B40" s="718" t="s">
        <v>370</v>
      </c>
      <c r="C40" s="718">
        <v>31</v>
      </c>
      <c r="D40" s="720">
        <v>53987</v>
      </c>
      <c r="E40" s="720">
        <v>53956</v>
      </c>
      <c r="F40" s="720">
        <v>53926</v>
      </c>
      <c r="G40" s="720">
        <v>54008</v>
      </c>
      <c r="H40" s="720">
        <v>54182</v>
      </c>
      <c r="I40" s="720">
        <v>54328</v>
      </c>
      <c r="J40" s="720">
        <v>54410</v>
      </c>
      <c r="K40" s="720">
        <v>54413</v>
      </c>
      <c r="L40" s="720">
        <v>54486</v>
      </c>
      <c r="M40" s="720">
        <v>54455</v>
      </c>
      <c r="N40" s="720">
        <v>54442</v>
      </c>
      <c r="O40" s="720">
        <v>54374</v>
      </c>
      <c r="P40" s="721">
        <f t="shared" si="4"/>
        <v>650967</v>
      </c>
      <c r="Q40" s="734"/>
    </row>
    <row r="41" spans="2:40" s="718" customFormat="1" x14ac:dyDescent="0.2">
      <c r="B41" s="718" t="s">
        <v>371</v>
      </c>
      <c r="C41" s="718">
        <v>41</v>
      </c>
      <c r="D41" s="720">
        <v>1279</v>
      </c>
      <c r="E41" s="720">
        <v>1273</v>
      </c>
      <c r="F41" s="720">
        <v>1280</v>
      </c>
      <c r="G41" s="720">
        <v>1285</v>
      </c>
      <c r="H41" s="720">
        <v>1284</v>
      </c>
      <c r="I41" s="720">
        <v>1282</v>
      </c>
      <c r="J41" s="720">
        <v>1289</v>
      </c>
      <c r="K41" s="720">
        <v>1284</v>
      </c>
      <c r="L41" s="720">
        <v>1287</v>
      </c>
      <c r="M41" s="720">
        <v>1290</v>
      </c>
      <c r="N41" s="720">
        <v>1288</v>
      </c>
      <c r="O41" s="720">
        <v>1280</v>
      </c>
      <c r="P41" s="721">
        <f t="shared" si="4"/>
        <v>15401</v>
      </c>
      <c r="Q41" s="734"/>
    </row>
    <row r="42" spans="2:40" s="718" customFormat="1" x14ac:dyDescent="0.2">
      <c r="B42" s="709" t="s">
        <v>444</v>
      </c>
      <c r="C42" s="719" t="s">
        <v>33</v>
      </c>
      <c r="D42" s="720">
        <v>1</v>
      </c>
      <c r="E42" s="720">
        <v>1</v>
      </c>
      <c r="F42" s="720">
        <v>1</v>
      </c>
      <c r="G42" s="720">
        <v>1</v>
      </c>
      <c r="H42" s="720">
        <v>1</v>
      </c>
      <c r="I42" s="720">
        <v>1</v>
      </c>
      <c r="J42" s="720">
        <v>1</v>
      </c>
      <c r="K42" s="720">
        <v>1</v>
      </c>
      <c r="L42" s="720">
        <v>1</v>
      </c>
      <c r="M42" s="720">
        <v>1</v>
      </c>
      <c r="N42" s="720">
        <v>1</v>
      </c>
      <c r="O42" s="720">
        <v>1</v>
      </c>
      <c r="P42" s="721">
        <f t="shared" si="4"/>
        <v>12</v>
      </c>
      <c r="Q42" s="734"/>
    </row>
    <row r="43" spans="2:40" s="718" customFormat="1" x14ac:dyDescent="0.2">
      <c r="B43" s="718" t="s">
        <v>447</v>
      </c>
      <c r="C43" s="718">
        <v>61</v>
      </c>
      <c r="D43" s="720"/>
      <c r="E43" s="720"/>
      <c r="F43" s="720"/>
      <c r="G43" s="720"/>
      <c r="H43" s="720"/>
      <c r="I43" s="720"/>
      <c r="J43" s="720"/>
      <c r="K43" s="720"/>
      <c r="L43" s="720"/>
      <c r="M43" s="720"/>
      <c r="N43" s="720"/>
      <c r="O43" s="720"/>
      <c r="P43" s="721">
        <f t="shared" si="4"/>
        <v>0</v>
      </c>
      <c r="Q43" s="734"/>
    </row>
    <row r="44" spans="2:40" s="718" customFormat="1" x14ac:dyDescent="0.2">
      <c r="B44" s="718" t="s">
        <v>350</v>
      </c>
      <c r="C44" s="718">
        <v>85</v>
      </c>
      <c r="D44" s="720">
        <v>25</v>
      </c>
      <c r="E44" s="720">
        <v>25</v>
      </c>
      <c r="F44" s="720">
        <v>24</v>
      </c>
      <c r="G44" s="720">
        <v>25</v>
      </c>
      <c r="H44" s="720">
        <v>25</v>
      </c>
      <c r="I44" s="720">
        <v>25</v>
      </c>
      <c r="J44" s="720">
        <v>25</v>
      </c>
      <c r="K44" s="720">
        <v>25</v>
      </c>
      <c r="L44" s="720">
        <v>25</v>
      </c>
      <c r="M44" s="720">
        <v>25</v>
      </c>
      <c r="N44" s="720">
        <v>25</v>
      </c>
      <c r="O44" s="720">
        <v>24</v>
      </c>
      <c r="P44" s="721">
        <f t="shared" si="4"/>
        <v>298</v>
      </c>
      <c r="Q44" s="734"/>
    </row>
    <row r="45" spans="2:40" s="718" customFormat="1" x14ac:dyDescent="0.2">
      <c r="B45" s="718" t="s">
        <v>351</v>
      </c>
      <c r="C45" s="718">
        <v>86</v>
      </c>
      <c r="D45" s="720">
        <v>223</v>
      </c>
      <c r="E45" s="720">
        <v>223</v>
      </c>
      <c r="F45" s="720">
        <v>223</v>
      </c>
      <c r="G45" s="720">
        <v>222</v>
      </c>
      <c r="H45" s="720">
        <v>222</v>
      </c>
      <c r="I45" s="720">
        <v>222</v>
      </c>
      <c r="J45" s="720">
        <v>222</v>
      </c>
      <c r="K45" s="720">
        <v>222</v>
      </c>
      <c r="L45" s="720">
        <v>222</v>
      </c>
      <c r="M45" s="720">
        <v>222</v>
      </c>
      <c r="N45" s="720">
        <v>221</v>
      </c>
      <c r="O45" s="720">
        <v>221</v>
      </c>
      <c r="P45" s="721">
        <f t="shared" si="4"/>
        <v>2665</v>
      </c>
      <c r="Q45" s="734"/>
    </row>
    <row r="46" spans="2:40" s="718" customFormat="1" x14ac:dyDescent="0.2">
      <c r="B46" s="718" t="s">
        <v>372</v>
      </c>
      <c r="C46" s="718">
        <v>87</v>
      </c>
      <c r="D46" s="720">
        <v>5</v>
      </c>
      <c r="E46" s="720">
        <v>5</v>
      </c>
      <c r="F46" s="720">
        <v>5</v>
      </c>
      <c r="G46" s="720">
        <v>5</v>
      </c>
      <c r="H46" s="720">
        <v>5</v>
      </c>
      <c r="I46" s="720">
        <v>5</v>
      </c>
      <c r="J46" s="720">
        <v>5</v>
      </c>
      <c r="K46" s="720">
        <v>5</v>
      </c>
      <c r="L46" s="720">
        <v>5</v>
      </c>
      <c r="M46" s="720">
        <v>5</v>
      </c>
      <c r="N46" s="720">
        <v>5</v>
      </c>
      <c r="O46" s="720">
        <v>5</v>
      </c>
      <c r="P46" s="721">
        <f t="shared" si="4"/>
        <v>60</v>
      </c>
      <c r="Q46" s="734"/>
    </row>
    <row r="47" spans="2:40" s="718" customFormat="1" x14ac:dyDescent="0.2">
      <c r="B47" s="718" t="s">
        <v>353</v>
      </c>
      <c r="C47" s="718">
        <v>31</v>
      </c>
      <c r="D47" s="720">
        <v>2240</v>
      </c>
      <c r="E47" s="720">
        <v>2233</v>
      </c>
      <c r="F47" s="720">
        <v>2227</v>
      </c>
      <c r="G47" s="720">
        <v>2235</v>
      </c>
      <c r="H47" s="720">
        <v>2242</v>
      </c>
      <c r="I47" s="720">
        <v>2246</v>
      </c>
      <c r="J47" s="720">
        <v>2248</v>
      </c>
      <c r="K47" s="720">
        <v>2248</v>
      </c>
      <c r="L47" s="720">
        <v>2252</v>
      </c>
      <c r="M47" s="720">
        <v>2245</v>
      </c>
      <c r="N47" s="720">
        <v>2242</v>
      </c>
      <c r="O47" s="720">
        <v>2235</v>
      </c>
      <c r="P47" s="721">
        <f t="shared" si="4"/>
        <v>26893</v>
      </c>
      <c r="Q47" s="734"/>
    </row>
    <row r="48" spans="2:40" s="718" customFormat="1" ht="15" x14ac:dyDescent="0.25">
      <c r="B48" s="718" t="s">
        <v>354</v>
      </c>
      <c r="C48" s="718">
        <v>41</v>
      </c>
      <c r="D48" s="720">
        <v>79</v>
      </c>
      <c r="E48" s="720">
        <v>78</v>
      </c>
      <c r="F48" s="720">
        <v>79</v>
      </c>
      <c r="G48" s="720">
        <v>78</v>
      </c>
      <c r="H48" s="720">
        <v>76</v>
      </c>
      <c r="I48" s="720">
        <v>76</v>
      </c>
      <c r="J48" s="720">
        <v>73</v>
      </c>
      <c r="K48" s="720">
        <v>73</v>
      </c>
      <c r="L48" s="720">
        <v>73</v>
      </c>
      <c r="M48" s="720">
        <v>73</v>
      </c>
      <c r="N48" s="720">
        <v>73</v>
      </c>
      <c r="O48" s="720">
        <v>72</v>
      </c>
      <c r="P48" s="721">
        <f t="shared" si="4"/>
        <v>903</v>
      </c>
      <c r="Q48" s="734"/>
      <c r="S48" s="721"/>
      <c r="T48" s="737"/>
    </row>
    <row r="49" spans="1:19" s="718" customFormat="1" x14ac:dyDescent="0.2">
      <c r="B49" s="718" t="s">
        <v>448</v>
      </c>
      <c r="C49" s="718">
        <v>61</v>
      </c>
      <c r="D49" s="720"/>
      <c r="E49" s="720"/>
      <c r="F49" s="720"/>
      <c r="G49" s="720"/>
      <c r="H49" s="720"/>
      <c r="I49" s="720"/>
      <c r="J49" s="720"/>
      <c r="K49" s="720"/>
      <c r="L49" s="720"/>
      <c r="M49" s="720"/>
      <c r="N49" s="720"/>
      <c r="O49" s="720"/>
      <c r="P49" s="721">
        <f t="shared" si="4"/>
        <v>0</v>
      </c>
      <c r="Q49" s="734"/>
      <c r="S49" s="721"/>
    </row>
    <row r="50" spans="1:19" s="718" customFormat="1" x14ac:dyDescent="0.2">
      <c r="B50" s="718" t="s">
        <v>355</v>
      </c>
      <c r="C50" s="718">
        <v>85</v>
      </c>
      <c r="D50" s="720">
        <v>4</v>
      </c>
      <c r="E50" s="720">
        <v>4</v>
      </c>
      <c r="F50" s="720">
        <v>4</v>
      </c>
      <c r="G50" s="720">
        <v>4</v>
      </c>
      <c r="H50" s="720">
        <v>4</v>
      </c>
      <c r="I50" s="720">
        <v>4</v>
      </c>
      <c r="J50" s="720">
        <v>4</v>
      </c>
      <c r="K50" s="720">
        <v>4</v>
      </c>
      <c r="L50" s="720">
        <v>4</v>
      </c>
      <c r="M50" s="720">
        <v>4</v>
      </c>
      <c r="N50" s="720">
        <v>4</v>
      </c>
      <c r="O50" s="720">
        <v>4</v>
      </c>
      <c r="P50" s="721">
        <f t="shared" si="4"/>
        <v>48</v>
      </c>
      <c r="Q50" s="734"/>
    </row>
    <row r="51" spans="1:19" s="718" customFormat="1" x14ac:dyDescent="0.2">
      <c r="B51" s="718" t="s">
        <v>356</v>
      </c>
      <c r="C51" s="718">
        <v>86</v>
      </c>
      <c r="D51" s="720">
        <v>6</v>
      </c>
      <c r="E51" s="720">
        <v>6</v>
      </c>
      <c r="F51" s="720">
        <v>6</v>
      </c>
      <c r="G51" s="720">
        <v>6</v>
      </c>
      <c r="H51" s="720">
        <v>6</v>
      </c>
      <c r="I51" s="720">
        <v>6</v>
      </c>
      <c r="J51" s="720">
        <v>6</v>
      </c>
      <c r="K51" s="720">
        <v>6</v>
      </c>
      <c r="L51" s="720">
        <v>6</v>
      </c>
      <c r="M51" s="720">
        <v>6</v>
      </c>
      <c r="N51" s="720">
        <v>6</v>
      </c>
      <c r="O51" s="720">
        <v>6</v>
      </c>
      <c r="P51" s="721">
        <f t="shared" si="4"/>
        <v>72</v>
      </c>
      <c r="Q51" s="734"/>
    </row>
    <row r="52" spans="1:19" s="718" customFormat="1" x14ac:dyDescent="0.2">
      <c r="B52" s="718" t="s">
        <v>357</v>
      </c>
      <c r="C52" s="718">
        <v>87</v>
      </c>
      <c r="D52" s="720"/>
      <c r="E52" s="720"/>
      <c r="F52" s="720"/>
      <c r="G52" s="720"/>
      <c r="H52" s="720"/>
      <c r="I52" s="720"/>
      <c r="J52" s="720"/>
      <c r="K52" s="720"/>
      <c r="L52" s="720"/>
      <c r="M52" s="720"/>
      <c r="N52" s="720"/>
      <c r="O52" s="720"/>
      <c r="P52" s="721">
        <f t="shared" si="4"/>
        <v>0</v>
      </c>
      <c r="Q52" s="734"/>
    </row>
    <row r="53" spans="1:19" s="718" customFormat="1" x14ac:dyDescent="0.2">
      <c r="B53" s="709" t="s">
        <v>358</v>
      </c>
      <c r="C53" s="719" t="s">
        <v>33</v>
      </c>
      <c r="D53" s="720">
        <v>2</v>
      </c>
      <c r="E53" s="720">
        <v>2</v>
      </c>
      <c r="F53" s="720">
        <v>2</v>
      </c>
      <c r="G53" s="720">
        <v>2</v>
      </c>
      <c r="H53" s="720">
        <v>2</v>
      </c>
      <c r="I53" s="720">
        <v>2</v>
      </c>
      <c r="J53" s="720">
        <v>2</v>
      </c>
      <c r="K53" s="720">
        <v>2</v>
      </c>
      <c r="L53" s="720">
        <v>2</v>
      </c>
      <c r="M53" s="720">
        <v>2</v>
      </c>
      <c r="N53" s="720">
        <v>2</v>
      </c>
      <c r="O53" s="720">
        <v>2</v>
      </c>
      <c r="P53" s="721">
        <f t="shared" si="4"/>
        <v>24</v>
      </c>
      <c r="Q53" s="734"/>
      <c r="R53" s="719"/>
    </row>
    <row r="54" spans="1:19" s="718" customFormat="1" x14ac:dyDescent="0.2">
      <c r="B54" s="709" t="s">
        <v>359</v>
      </c>
      <c r="C54" s="724" t="s">
        <v>35</v>
      </c>
      <c r="D54" s="720">
        <v>72</v>
      </c>
      <c r="E54" s="720">
        <v>73</v>
      </c>
      <c r="F54" s="720">
        <v>74</v>
      </c>
      <c r="G54" s="720">
        <v>74</v>
      </c>
      <c r="H54" s="720">
        <v>75</v>
      </c>
      <c r="I54" s="720">
        <v>75</v>
      </c>
      <c r="J54" s="720">
        <v>77</v>
      </c>
      <c r="K54" s="720">
        <v>79</v>
      </c>
      <c r="L54" s="720">
        <v>79</v>
      </c>
      <c r="M54" s="720">
        <v>80</v>
      </c>
      <c r="N54" s="720">
        <v>81</v>
      </c>
      <c r="O54" s="720">
        <v>85</v>
      </c>
      <c r="P54" s="721">
        <f t="shared" si="4"/>
        <v>924</v>
      </c>
      <c r="Q54" s="734"/>
      <c r="R54" s="724"/>
    </row>
    <row r="55" spans="1:19" s="718" customFormat="1" x14ac:dyDescent="0.2">
      <c r="B55" s="709" t="s">
        <v>360</v>
      </c>
      <c r="C55" s="724" t="s">
        <v>37</v>
      </c>
      <c r="D55" s="720">
        <v>33</v>
      </c>
      <c r="E55" s="720">
        <v>33</v>
      </c>
      <c r="F55" s="720">
        <v>33</v>
      </c>
      <c r="G55" s="720">
        <v>33</v>
      </c>
      <c r="H55" s="720">
        <v>33</v>
      </c>
      <c r="I55" s="720">
        <v>33</v>
      </c>
      <c r="J55" s="720">
        <v>33</v>
      </c>
      <c r="K55" s="720">
        <v>33</v>
      </c>
      <c r="L55" s="720">
        <v>33</v>
      </c>
      <c r="M55" s="720">
        <v>33</v>
      </c>
      <c r="N55" s="720">
        <v>33</v>
      </c>
      <c r="O55" s="720">
        <v>33</v>
      </c>
      <c r="P55" s="721">
        <f t="shared" si="4"/>
        <v>396</v>
      </c>
      <c r="Q55" s="734"/>
      <c r="R55" s="724"/>
    </row>
    <row r="56" spans="1:19" s="718" customFormat="1" x14ac:dyDescent="0.2">
      <c r="B56" s="709" t="s">
        <v>361</v>
      </c>
      <c r="C56" s="724" t="s">
        <v>41</v>
      </c>
      <c r="D56" s="720">
        <v>3</v>
      </c>
      <c r="E56" s="720">
        <v>3</v>
      </c>
      <c r="F56" s="720">
        <v>3</v>
      </c>
      <c r="G56" s="720">
        <v>3</v>
      </c>
      <c r="H56" s="720">
        <v>3</v>
      </c>
      <c r="I56" s="720">
        <v>3</v>
      </c>
      <c r="J56" s="720">
        <v>3</v>
      </c>
      <c r="K56" s="720">
        <v>3</v>
      </c>
      <c r="L56" s="720">
        <v>3</v>
      </c>
      <c r="M56" s="720">
        <v>3</v>
      </c>
      <c r="N56" s="720">
        <v>3</v>
      </c>
      <c r="O56" s="720">
        <v>3</v>
      </c>
      <c r="P56" s="721">
        <f t="shared" si="4"/>
        <v>36</v>
      </c>
      <c r="Q56" s="734"/>
      <c r="R56" s="724"/>
    </row>
    <row r="57" spans="1:19" s="718" customFormat="1" x14ac:dyDescent="0.2">
      <c r="B57" s="709" t="s">
        <v>362</v>
      </c>
      <c r="C57" s="724" t="s">
        <v>35</v>
      </c>
      <c r="D57" s="720">
        <v>27</v>
      </c>
      <c r="E57" s="720">
        <v>25</v>
      </c>
      <c r="F57" s="720">
        <v>25</v>
      </c>
      <c r="G57" s="720">
        <v>26</v>
      </c>
      <c r="H57" s="720">
        <v>26</v>
      </c>
      <c r="I57" s="720">
        <v>26</v>
      </c>
      <c r="J57" s="720">
        <v>26</v>
      </c>
      <c r="K57" s="720">
        <v>26</v>
      </c>
      <c r="L57" s="720">
        <v>26</v>
      </c>
      <c r="M57" s="720">
        <v>25</v>
      </c>
      <c r="N57" s="720">
        <v>24</v>
      </c>
      <c r="O57" s="720">
        <v>24</v>
      </c>
      <c r="P57" s="721">
        <f t="shared" si="4"/>
        <v>306</v>
      </c>
      <c r="Q57" s="734"/>
      <c r="R57" s="724"/>
    </row>
    <row r="58" spans="1:19" s="718" customFormat="1" x14ac:dyDescent="0.2">
      <c r="B58" s="709" t="s">
        <v>363</v>
      </c>
      <c r="C58" s="724" t="s">
        <v>37</v>
      </c>
      <c r="D58" s="720">
        <v>66</v>
      </c>
      <c r="E58" s="720">
        <v>67</v>
      </c>
      <c r="F58" s="720">
        <v>67</v>
      </c>
      <c r="G58" s="720">
        <v>67</v>
      </c>
      <c r="H58" s="720">
        <v>68</v>
      </c>
      <c r="I58" s="720">
        <v>67</v>
      </c>
      <c r="J58" s="720">
        <v>68</v>
      </c>
      <c r="K58" s="720">
        <v>68</v>
      </c>
      <c r="L58" s="720">
        <v>68</v>
      </c>
      <c r="M58" s="720">
        <v>68</v>
      </c>
      <c r="N58" s="720">
        <v>69</v>
      </c>
      <c r="O58" s="720">
        <v>70</v>
      </c>
      <c r="P58" s="721">
        <f t="shared" si="4"/>
        <v>813</v>
      </c>
      <c r="Q58" s="734"/>
      <c r="R58" s="724"/>
    </row>
    <row r="59" spans="1:19" s="718" customFormat="1" x14ac:dyDescent="0.2">
      <c r="B59" s="718" t="s">
        <v>364</v>
      </c>
      <c r="C59" s="724" t="s">
        <v>39</v>
      </c>
      <c r="D59" s="720">
        <v>4</v>
      </c>
      <c r="E59" s="720">
        <v>4</v>
      </c>
      <c r="F59" s="720">
        <v>4</v>
      </c>
      <c r="G59" s="720">
        <v>4</v>
      </c>
      <c r="H59" s="720">
        <v>2</v>
      </c>
      <c r="I59" s="720">
        <v>2</v>
      </c>
      <c r="J59" s="720">
        <v>2</v>
      </c>
      <c r="K59" s="720">
        <v>2</v>
      </c>
      <c r="L59" s="720">
        <v>2</v>
      </c>
      <c r="M59" s="720">
        <v>2</v>
      </c>
      <c r="N59" s="720">
        <v>2</v>
      </c>
      <c r="O59" s="720">
        <v>2</v>
      </c>
      <c r="P59" s="721">
        <f t="shared" si="4"/>
        <v>32</v>
      </c>
      <c r="Q59" s="734"/>
      <c r="R59" s="724"/>
    </row>
    <row r="60" spans="1:19" s="725" customFormat="1" x14ac:dyDescent="0.2">
      <c r="A60" s="718"/>
      <c r="B60" s="709" t="s">
        <v>365</v>
      </c>
      <c r="C60" s="724" t="s">
        <v>41</v>
      </c>
      <c r="D60" s="720">
        <v>7</v>
      </c>
      <c r="E60" s="720">
        <v>7</v>
      </c>
      <c r="F60" s="720">
        <v>7</v>
      </c>
      <c r="G60" s="720">
        <v>7</v>
      </c>
      <c r="H60" s="720">
        <v>7</v>
      </c>
      <c r="I60" s="720">
        <v>7</v>
      </c>
      <c r="J60" s="720">
        <v>7</v>
      </c>
      <c r="K60" s="720">
        <v>7</v>
      </c>
      <c r="L60" s="720">
        <v>7</v>
      </c>
      <c r="M60" s="720">
        <v>7</v>
      </c>
      <c r="N60" s="720">
        <v>7</v>
      </c>
      <c r="O60" s="720">
        <v>7</v>
      </c>
      <c r="P60" s="721">
        <f t="shared" si="4"/>
        <v>84</v>
      </c>
      <c r="Q60" s="734"/>
      <c r="R60" s="724"/>
    </row>
    <row r="61" spans="1:19" s="718" customFormat="1" ht="15" x14ac:dyDescent="0.25">
      <c r="A61" s="725"/>
      <c r="B61" s="725" t="s">
        <v>366</v>
      </c>
      <c r="C61" s="726" t="s">
        <v>262</v>
      </c>
      <c r="D61" s="727">
        <v>10</v>
      </c>
      <c r="E61" s="727">
        <v>10</v>
      </c>
      <c r="F61" s="727">
        <v>10</v>
      </c>
      <c r="G61" s="727">
        <v>10</v>
      </c>
      <c r="H61" s="727">
        <v>10</v>
      </c>
      <c r="I61" s="727">
        <v>10</v>
      </c>
      <c r="J61" s="727">
        <v>10</v>
      </c>
      <c r="K61" s="727">
        <v>10</v>
      </c>
      <c r="L61" s="727">
        <v>10</v>
      </c>
      <c r="M61" s="727">
        <v>10</v>
      </c>
      <c r="N61" s="727">
        <v>10</v>
      </c>
      <c r="O61" s="727">
        <v>10</v>
      </c>
      <c r="P61" s="728">
        <f t="shared" si="4"/>
        <v>120</v>
      </c>
      <c r="Q61" s="734"/>
      <c r="R61" s="726"/>
    </row>
    <row r="62" spans="1:19" s="718" customFormat="1" x14ac:dyDescent="0.2">
      <c r="B62" s="718" t="s">
        <v>6</v>
      </c>
      <c r="D62" s="730">
        <f t="shared" ref="D62:O62" si="5">SUM(D36:D61)</f>
        <v>818142</v>
      </c>
      <c r="E62" s="730">
        <f t="shared" si="5"/>
        <v>818684</v>
      </c>
      <c r="F62" s="730">
        <f t="shared" si="5"/>
        <v>819862</v>
      </c>
      <c r="G62" s="730">
        <f t="shared" si="5"/>
        <v>821664</v>
      </c>
      <c r="H62" s="730">
        <f t="shared" si="5"/>
        <v>823861</v>
      </c>
      <c r="I62" s="730">
        <f t="shared" si="5"/>
        <v>825465</v>
      </c>
      <c r="J62" s="730">
        <f t="shared" si="5"/>
        <v>826556</v>
      </c>
      <c r="K62" s="730">
        <f t="shared" si="5"/>
        <v>827699</v>
      </c>
      <c r="L62" s="730">
        <f t="shared" si="5"/>
        <v>828501</v>
      </c>
      <c r="M62" s="730">
        <f t="shared" si="5"/>
        <v>828856</v>
      </c>
      <c r="N62" s="730">
        <f t="shared" si="5"/>
        <v>829484</v>
      </c>
      <c r="O62" s="730">
        <f t="shared" si="5"/>
        <v>829721</v>
      </c>
      <c r="P62" s="721">
        <f>SUM(D62:O62)</f>
        <v>9898495</v>
      </c>
      <c r="Q62" s="721"/>
    </row>
    <row r="63" spans="1:19" x14ac:dyDescent="0.2">
      <c r="A63" s="718"/>
      <c r="B63" s="718"/>
      <c r="C63" s="719"/>
      <c r="D63" s="721"/>
      <c r="E63" s="721"/>
      <c r="F63" s="721"/>
      <c r="G63" s="721"/>
      <c r="H63" s="721"/>
      <c r="I63" s="721"/>
      <c r="J63" s="721"/>
      <c r="K63" s="721"/>
      <c r="L63" s="721"/>
      <c r="M63" s="721"/>
      <c r="N63" s="721"/>
      <c r="O63" s="721"/>
      <c r="P63" s="721"/>
      <c r="Q63" s="732"/>
    </row>
    <row r="64" spans="1:19" x14ac:dyDescent="0.2">
      <c r="B64" s="715" t="s">
        <v>373</v>
      </c>
      <c r="C64" s="724"/>
      <c r="D64" s="732"/>
      <c r="E64" s="732"/>
      <c r="F64" s="732"/>
      <c r="G64" s="732"/>
      <c r="H64" s="732"/>
      <c r="I64" s="732"/>
      <c r="J64" s="732"/>
      <c r="K64" s="732"/>
      <c r="L64" s="732"/>
      <c r="M64" s="732"/>
      <c r="N64" s="732"/>
      <c r="O64" s="732"/>
      <c r="P64" s="732"/>
      <c r="Q64" s="732"/>
    </row>
    <row r="65" spans="1:17" x14ac:dyDescent="0.2">
      <c r="B65" s="709" t="s">
        <v>7</v>
      </c>
      <c r="C65" s="724">
        <v>23</v>
      </c>
      <c r="D65" s="732">
        <f t="shared" ref="D65:O65" si="6">IFERROR(D9/D37,0)</f>
        <v>17.687805659530856</v>
      </c>
      <c r="E65" s="732">
        <f t="shared" si="6"/>
        <v>16.743609705659246</v>
      </c>
      <c r="F65" s="732">
        <f t="shared" si="6"/>
        <v>26.1900912076445</v>
      </c>
      <c r="G65" s="732">
        <f t="shared" si="6"/>
        <v>60.805494838664053</v>
      </c>
      <c r="H65" s="732">
        <f t="shared" si="6"/>
        <v>92.686256791900533</v>
      </c>
      <c r="I65" s="732">
        <f t="shared" si="6"/>
        <v>120.23313429078389</v>
      </c>
      <c r="J65" s="732">
        <f t="shared" si="6"/>
        <v>110.80196571779744</v>
      </c>
      <c r="K65" s="732">
        <f t="shared" si="6"/>
        <v>105.28418261607786</v>
      </c>
      <c r="L65" s="732">
        <f t="shared" si="6"/>
        <v>97.896013509476518</v>
      </c>
      <c r="M65" s="732">
        <f t="shared" si="6"/>
        <v>62.134368247708018</v>
      </c>
      <c r="N65" s="732">
        <f t="shared" si="6"/>
        <v>31.231691890419487</v>
      </c>
      <c r="O65" s="732">
        <f t="shared" si="6"/>
        <v>22.969174783729397</v>
      </c>
      <c r="P65" s="732">
        <f>SUM(D65:O65)</f>
        <v>764.66378925939171</v>
      </c>
      <c r="Q65" s="732"/>
    </row>
    <row r="66" spans="1:17" s="718" customFormat="1" x14ac:dyDescent="0.2">
      <c r="A66" s="709"/>
      <c r="B66" s="718" t="s">
        <v>348</v>
      </c>
      <c r="C66" s="718">
        <v>31</v>
      </c>
      <c r="D66" s="732">
        <f t="shared" ref="D66:O67" si="7">IFERROR(D11/D40,0)</f>
        <v>141.2947522922185</v>
      </c>
      <c r="E66" s="732">
        <f t="shared" si="7"/>
        <v>138.13265685002597</v>
      </c>
      <c r="F66" s="732">
        <f t="shared" si="7"/>
        <v>167.78571084449061</v>
      </c>
      <c r="G66" s="732">
        <f t="shared" si="7"/>
        <v>295.99460141090208</v>
      </c>
      <c r="H66" s="732">
        <f t="shared" si="7"/>
        <v>430.13764995755042</v>
      </c>
      <c r="I66" s="732">
        <f t="shared" si="7"/>
        <v>559.2587577492269</v>
      </c>
      <c r="J66" s="732">
        <f t="shared" si="7"/>
        <v>522.11762846903139</v>
      </c>
      <c r="K66" s="732">
        <f t="shared" si="7"/>
        <v>494.92348639111975</v>
      </c>
      <c r="L66" s="732">
        <f t="shared" si="7"/>
        <v>468.92344587600485</v>
      </c>
      <c r="M66" s="732">
        <f t="shared" si="7"/>
        <v>322.34986306124324</v>
      </c>
      <c r="N66" s="732">
        <f t="shared" si="7"/>
        <v>199.19355571066458</v>
      </c>
      <c r="O66" s="732">
        <f t="shared" si="7"/>
        <v>163.57530343546549</v>
      </c>
      <c r="P66" s="732">
        <f t="shared" ref="P66:P77" si="8">SUM(D66:O66)</f>
        <v>3903.6874120479433</v>
      </c>
      <c r="Q66" s="732"/>
    </row>
    <row r="67" spans="1:17" s="718" customFormat="1" x14ac:dyDescent="0.2">
      <c r="B67" s="718" t="s">
        <v>349</v>
      </c>
      <c r="C67" s="718">
        <v>41</v>
      </c>
      <c r="D67" s="721">
        <f t="shared" si="7"/>
        <v>1905.1533260359654</v>
      </c>
      <c r="E67" s="721">
        <f t="shared" si="7"/>
        <v>1810.7253857030637</v>
      </c>
      <c r="F67" s="721">
        <f t="shared" si="7"/>
        <v>2172.7225796875</v>
      </c>
      <c r="G67" s="721">
        <f t="shared" si="7"/>
        <v>3469.9582902723737</v>
      </c>
      <c r="H67" s="721">
        <f t="shared" si="7"/>
        <v>4409.5583816199378</v>
      </c>
      <c r="I67" s="721">
        <f t="shared" si="7"/>
        <v>5455.5501053042117</v>
      </c>
      <c r="J67" s="721">
        <f t="shared" si="7"/>
        <v>5107.0488254460824</v>
      </c>
      <c r="K67" s="721">
        <f t="shared" si="7"/>
        <v>4966.2944571651096</v>
      </c>
      <c r="L67" s="721">
        <f t="shared" si="7"/>
        <v>4844.3361950271956</v>
      </c>
      <c r="M67" s="721">
        <f t="shared" si="7"/>
        <v>3712.3396674418605</v>
      </c>
      <c r="N67" s="721">
        <f t="shared" si="7"/>
        <v>2562.8490085403728</v>
      </c>
      <c r="O67" s="721">
        <f t="shared" si="7"/>
        <v>1221.7960125</v>
      </c>
      <c r="P67" s="732">
        <f t="shared" si="8"/>
        <v>41638.332234743684</v>
      </c>
      <c r="Q67" s="732"/>
    </row>
    <row r="68" spans="1:17" x14ac:dyDescent="0.2">
      <c r="A68" s="718"/>
      <c r="B68" s="718" t="s">
        <v>354</v>
      </c>
      <c r="C68" s="718">
        <v>41</v>
      </c>
      <c r="D68" s="721">
        <f t="shared" ref="D68:O68" si="9">IFERROR(D18/D48,0)</f>
        <v>9059.3246329113917</v>
      </c>
      <c r="E68" s="721">
        <f t="shared" si="9"/>
        <v>9273.3659487179484</v>
      </c>
      <c r="F68" s="721">
        <f t="shared" si="9"/>
        <v>9134.0235316455692</v>
      </c>
      <c r="G68" s="721">
        <f t="shared" si="9"/>
        <v>11474.59362820513</v>
      </c>
      <c r="H68" s="721">
        <f t="shared" si="9"/>
        <v>11761.360973684212</v>
      </c>
      <c r="I68" s="721">
        <f t="shared" si="9"/>
        <v>12872.644118421053</v>
      </c>
      <c r="J68" s="721">
        <f t="shared" si="9"/>
        <v>12964.875630136987</v>
      </c>
      <c r="K68" s="721">
        <f t="shared" si="9"/>
        <v>12343.534561643835</v>
      </c>
      <c r="L68" s="721">
        <f t="shared" si="9"/>
        <v>12592.529136986301</v>
      </c>
      <c r="M68" s="721">
        <f t="shared" si="9"/>
        <v>11115.699452054796</v>
      </c>
      <c r="N68" s="721">
        <f t="shared" si="9"/>
        <v>9590.6460136986298</v>
      </c>
      <c r="O68" s="721">
        <f t="shared" si="9"/>
        <v>2898.4607500000002</v>
      </c>
      <c r="P68" s="732">
        <f t="shared" si="8"/>
        <v>125081.05837810584</v>
      </c>
      <c r="Q68" s="732"/>
    </row>
    <row r="69" spans="1:17" x14ac:dyDescent="0.2">
      <c r="B69" s="709" t="s">
        <v>359</v>
      </c>
      <c r="C69" s="724" t="s">
        <v>35</v>
      </c>
      <c r="D69" s="732">
        <f t="shared" ref="D69:O71" si="10">IFERROR(D23/D54,0)</f>
        <v>11698.312361111111</v>
      </c>
      <c r="E69" s="732">
        <f t="shared" si="10"/>
        <v>12591.843835616439</v>
      </c>
      <c r="F69" s="732">
        <f t="shared" si="10"/>
        <v>11819.167027027026</v>
      </c>
      <c r="G69" s="732">
        <f t="shared" si="10"/>
        <v>14047.792972972973</v>
      </c>
      <c r="H69" s="732">
        <f t="shared" si="10"/>
        <v>15215.05652</v>
      </c>
      <c r="I69" s="732">
        <f t="shared" si="10"/>
        <v>16658.248533333335</v>
      </c>
      <c r="J69" s="732">
        <f t="shared" si="10"/>
        <v>16311.329740259742</v>
      </c>
      <c r="K69" s="732">
        <f t="shared" si="10"/>
        <v>15436.595063291139</v>
      </c>
      <c r="L69" s="732">
        <f t="shared" si="10"/>
        <v>15814.884303797468</v>
      </c>
      <c r="M69" s="732">
        <f t="shared" si="10"/>
        <v>14016.499124999998</v>
      </c>
      <c r="N69" s="732">
        <f t="shared" si="10"/>
        <v>12314.101481481481</v>
      </c>
      <c r="O69" s="732">
        <f t="shared" si="10"/>
        <v>9566.5474117647063</v>
      </c>
      <c r="P69" s="732">
        <f t="shared" si="8"/>
        <v>165490.37837565542</v>
      </c>
      <c r="Q69" s="732"/>
    </row>
    <row r="70" spans="1:17" x14ac:dyDescent="0.2">
      <c r="B70" s="709" t="s">
        <v>360</v>
      </c>
      <c r="C70" s="724" t="s">
        <v>37</v>
      </c>
      <c r="D70" s="732">
        <f t="shared" si="10"/>
        <v>47604.094848484849</v>
      </c>
      <c r="E70" s="732">
        <f t="shared" si="10"/>
        <v>50075.781212121212</v>
      </c>
      <c r="F70" s="732">
        <f t="shared" si="10"/>
        <v>47377.325454545455</v>
      </c>
      <c r="G70" s="732">
        <f t="shared" si="10"/>
        <v>55247.084242424244</v>
      </c>
      <c r="H70" s="732">
        <f t="shared" si="10"/>
        <v>59414.943030303031</v>
      </c>
      <c r="I70" s="732">
        <f t="shared" si="10"/>
        <v>65897.281212121219</v>
      </c>
      <c r="J70" s="732">
        <f t="shared" si="10"/>
        <v>64188.24</v>
      </c>
      <c r="K70" s="732">
        <f t="shared" si="10"/>
        <v>60766.346969696977</v>
      </c>
      <c r="L70" s="732">
        <f t="shared" si="10"/>
        <v>63763.653939393938</v>
      </c>
      <c r="M70" s="732">
        <f t="shared" si="10"/>
        <v>55516.427272727276</v>
      </c>
      <c r="N70" s="732">
        <f t="shared" si="10"/>
        <v>54576.761212121215</v>
      </c>
      <c r="O70" s="732">
        <f t="shared" si="10"/>
        <v>52490.131818181813</v>
      </c>
      <c r="P70" s="732">
        <f t="shared" si="8"/>
        <v>676918.07121212129</v>
      </c>
      <c r="Q70" s="732"/>
    </row>
    <row r="71" spans="1:17" x14ac:dyDescent="0.2">
      <c r="B71" s="709" t="s">
        <v>361</v>
      </c>
      <c r="C71" s="724" t="s">
        <v>41</v>
      </c>
      <c r="D71" s="732">
        <f t="shared" si="10"/>
        <v>361377.07</v>
      </c>
      <c r="E71" s="732">
        <f t="shared" si="10"/>
        <v>358753.91666666669</v>
      </c>
      <c r="F71" s="732">
        <f t="shared" si="10"/>
        <v>368109.05666666664</v>
      </c>
      <c r="G71" s="732">
        <f t="shared" si="10"/>
        <v>498072.34</v>
      </c>
      <c r="H71" s="732">
        <f t="shared" si="10"/>
        <v>603797.35333333339</v>
      </c>
      <c r="I71" s="732">
        <f t="shared" si="10"/>
        <v>704891.54666666675</v>
      </c>
      <c r="J71" s="732">
        <f t="shared" si="10"/>
        <v>650486.62333333341</v>
      </c>
      <c r="K71" s="732">
        <f t="shared" si="10"/>
        <v>653697.9833333334</v>
      </c>
      <c r="L71" s="732">
        <f t="shared" si="10"/>
        <v>619147.54999999993</v>
      </c>
      <c r="M71" s="732">
        <f t="shared" si="10"/>
        <v>533286.96000000008</v>
      </c>
      <c r="N71" s="732">
        <f t="shared" si="10"/>
        <v>426229.94999999995</v>
      </c>
      <c r="O71" s="732">
        <f t="shared" si="10"/>
        <v>389346.98333333334</v>
      </c>
      <c r="P71" s="732">
        <f t="shared" si="8"/>
        <v>6167197.333333334</v>
      </c>
      <c r="Q71" s="732"/>
    </row>
    <row r="72" spans="1:17" x14ac:dyDescent="0.2">
      <c r="B72" s="709" t="s">
        <v>350</v>
      </c>
      <c r="C72" s="709">
        <v>85</v>
      </c>
      <c r="D72" s="732">
        <f t="shared" ref="D72:O74" si="11">IFERROR(D14/D44,0)</f>
        <v>28722.91128</v>
      </c>
      <c r="E72" s="732">
        <f t="shared" si="11"/>
        <v>26575.580199999997</v>
      </c>
      <c r="F72" s="732">
        <f t="shared" si="11"/>
        <v>33002.231333333337</v>
      </c>
      <c r="G72" s="732">
        <f t="shared" si="11"/>
        <v>50030.253320000003</v>
      </c>
      <c r="H72" s="732">
        <f t="shared" si="11"/>
        <v>62052.479000000007</v>
      </c>
      <c r="I72" s="732">
        <f t="shared" si="11"/>
        <v>74657.688320000001</v>
      </c>
      <c r="J72" s="732">
        <f t="shared" si="11"/>
        <v>68420.637560000003</v>
      </c>
      <c r="K72" s="732">
        <f t="shared" si="11"/>
        <v>63189.461520000004</v>
      </c>
      <c r="L72" s="732">
        <f t="shared" si="11"/>
        <v>65690.365439999994</v>
      </c>
      <c r="M72" s="732">
        <f t="shared" si="11"/>
        <v>49746.205439999998</v>
      </c>
      <c r="N72" s="732">
        <f t="shared" si="11"/>
        <v>36809.39544</v>
      </c>
      <c r="O72" s="732">
        <f t="shared" si="11"/>
        <v>29572.531000000003</v>
      </c>
      <c r="P72" s="732">
        <f t="shared" si="8"/>
        <v>588469.73985333333</v>
      </c>
      <c r="Q72" s="732"/>
    </row>
    <row r="73" spans="1:17" x14ac:dyDescent="0.2">
      <c r="B73" s="709" t="s">
        <v>351</v>
      </c>
      <c r="C73" s="709">
        <v>86</v>
      </c>
      <c r="D73" s="732">
        <f t="shared" si="11"/>
        <v>936.08321076233176</v>
      </c>
      <c r="E73" s="732">
        <f t="shared" si="11"/>
        <v>865.70760986547077</v>
      </c>
      <c r="F73" s="732">
        <f t="shared" si="11"/>
        <v>1436.2678340807176</v>
      </c>
      <c r="G73" s="732">
        <f t="shared" si="11"/>
        <v>3388.9188468468469</v>
      </c>
      <c r="H73" s="732">
        <f t="shared" si="11"/>
        <v>4626.2494954954955</v>
      </c>
      <c r="I73" s="732">
        <f t="shared" si="11"/>
        <v>5777.1443198198194</v>
      </c>
      <c r="J73" s="732">
        <f t="shared" si="11"/>
        <v>5345.6910315315317</v>
      </c>
      <c r="K73" s="732">
        <f t="shared" si="11"/>
        <v>4940.2971081081087</v>
      </c>
      <c r="L73" s="732">
        <f t="shared" si="11"/>
        <v>4994.4646936936933</v>
      </c>
      <c r="M73" s="732">
        <f t="shared" si="11"/>
        <v>3778.800576576577</v>
      </c>
      <c r="N73" s="732">
        <f t="shared" si="11"/>
        <v>2159.4525927601812</v>
      </c>
      <c r="O73" s="732">
        <f t="shared" si="11"/>
        <v>1392.9923257918551</v>
      </c>
      <c r="P73" s="732">
        <f t="shared" si="8"/>
        <v>39642.069645332631</v>
      </c>
      <c r="Q73" s="732"/>
    </row>
    <row r="74" spans="1:17" x14ac:dyDescent="0.2">
      <c r="B74" s="718" t="s">
        <v>372</v>
      </c>
      <c r="C74" s="718">
        <v>87</v>
      </c>
      <c r="D74" s="732">
        <f t="shared" si="11"/>
        <v>241032.62680000003</v>
      </c>
      <c r="E74" s="732">
        <f t="shared" si="11"/>
        <v>238246.59599999999</v>
      </c>
      <c r="F74" s="732">
        <f t="shared" si="11"/>
        <v>259490.80499999999</v>
      </c>
      <c r="G74" s="732">
        <f t="shared" si="11"/>
        <v>391665.37939999998</v>
      </c>
      <c r="H74" s="732">
        <f t="shared" si="11"/>
        <v>468374.47019999998</v>
      </c>
      <c r="I74" s="732">
        <f t="shared" si="11"/>
        <v>563495.49639999995</v>
      </c>
      <c r="J74" s="732">
        <f t="shared" si="11"/>
        <v>497614.6814</v>
      </c>
      <c r="K74" s="732">
        <f t="shared" si="11"/>
        <v>501209.15240000002</v>
      </c>
      <c r="L74" s="732">
        <f t="shared" si="11"/>
        <v>485988.87539999996</v>
      </c>
      <c r="M74" s="732">
        <f t="shared" si="11"/>
        <v>413250.18319999997</v>
      </c>
      <c r="N74" s="732">
        <f t="shared" si="11"/>
        <v>297142.0404</v>
      </c>
      <c r="O74" s="732">
        <f t="shared" si="11"/>
        <v>286110.21899999998</v>
      </c>
      <c r="P74" s="732">
        <f t="shared" si="8"/>
        <v>4643620.5255999994</v>
      </c>
      <c r="Q74" s="732"/>
    </row>
    <row r="75" spans="1:17" x14ac:dyDescent="0.2">
      <c r="B75" s="709" t="s">
        <v>444</v>
      </c>
      <c r="C75" s="719" t="s">
        <v>33</v>
      </c>
      <c r="D75" s="732">
        <f t="shared" ref="D75:O75" si="12">D13/D42</f>
        <v>76.98</v>
      </c>
      <c r="E75" s="732">
        <f t="shared" si="12"/>
        <v>27.25</v>
      </c>
      <c r="F75" s="732">
        <f t="shared" si="12"/>
        <v>218.87</v>
      </c>
      <c r="G75" s="732">
        <f t="shared" si="12"/>
        <v>1982.63</v>
      </c>
      <c r="H75" s="732">
        <f t="shared" si="12"/>
        <v>3323.76</v>
      </c>
      <c r="I75" s="732">
        <f t="shared" si="12"/>
        <v>4410.21</v>
      </c>
      <c r="J75" s="732">
        <f t="shared" si="12"/>
        <v>2530.87</v>
      </c>
      <c r="K75" s="732">
        <f t="shared" si="12"/>
        <v>3905.98</v>
      </c>
      <c r="L75" s="732">
        <f t="shared" si="12"/>
        <v>2821.34</v>
      </c>
      <c r="M75" s="732">
        <f t="shared" si="12"/>
        <v>1980.65</v>
      </c>
      <c r="N75" s="732">
        <f t="shared" si="12"/>
        <v>595.91</v>
      </c>
      <c r="O75" s="732">
        <f t="shared" si="12"/>
        <v>27.44</v>
      </c>
      <c r="P75" s="732">
        <f t="shared" si="8"/>
        <v>21901.89</v>
      </c>
      <c r="Q75" s="732"/>
    </row>
    <row r="76" spans="1:17" s="739" customFormat="1" x14ac:dyDescent="0.2">
      <c r="A76" s="709"/>
      <c r="B76" s="709" t="s">
        <v>353</v>
      </c>
      <c r="C76" s="709">
        <v>31</v>
      </c>
      <c r="D76" s="732">
        <f t="shared" ref="D76:O76" si="13">IFERROR(D17/D47,0)</f>
        <v>176.39866339285715</v>
      </c>
      <c r="E76" s="732">
        <f t="shared" si="13"/>
        <v>186.12542319749215</v>
      </c>
      <c r="F76" s="732">
        <f t="shared" si="13"/>
        <v>224.89760933991917</v>
      </c>
      <c r="G76" s="732">
        <f t="shared" si="13"/>
        <v>450.55650738255031</v>
      </c>
      <c r="H76" s="732">
        <f t="shared" si="13"/>
        <v>681.71591302408569</v>
      </c>
      <c r="I76" s="732">
        <f t="shared" si="13"/>
        <v>908.77061041852187</v>
      </c>
      <c r="J76" s="732">
        <f t="shared" si="13"/>
        <v>874.01751334519577</v>
      </c>
      <c r="K76" s="732">
        <f t="shared" si="13"/>
        <v>837.60411165480434</v>
      </c>
      <c r="L76" s="732">
        <f t="shared" si="13"/>
        <v>747.18489076376557</v>
      </c>
      <c r="M76" s="732">
        <f t="shared" si="13"/>
        <v>473.90566236080178</v>
      </c>
      <c r="N76" s="732">
        <f t="shared" si="13"/>
        <v>249.68386574487064</v>
      </c>
      <c r="O76" s="732">
        <f t="shared" si="13"/>
        <v>192.28361700223715</v>
      </c>
      <c r="P76" s="732">
        <f t="shared" si="8"/>
        <v>6003.1443876271023</v>
      </c>
      <c r="Q76" s="738"/>
    </row>
    <row r="77" spans="1:17" ht="15" x14ac:dyDescent="0.25">
      <c r="A77" s="739"/>
      <c r="B77" s="725" t="s">
        <v>366</v>
      </c>
      <c r="C77" s="740" t="s">
        <v>262</v>
      </c>
      <c r="D77" s="738">
        <f t="shared" ref="D77:O77" si="14">IFERROR(D30/D61,0)</f>
        <v>192133.49100000001</v>
      </c>
      <c r="E77" s="738">
        <f t="shared" si="14"/>
        <v>186918.77499999999</v>
      </c>
      <c r="F77" s="738">
        <f t="shared" si="14"/>
        <v>194319.399</v>
      </c>
      <c r="G77" s="738">
        <f t="shared" si="14"/>
        <v>301451.15600000002</v>
      </c>
      <c r="H77" s="738">
        <f t="shared" si="14"/>
        <v>374526.26199999999</v>
      </c>
      <c r="I77" s="738">
        <f t="shared" si="14"/>
        <v>443657.84100000001</v>
      </c>
      <c r="J77" s="738">
        <f t="shared" si="14"/>
        <v>403242.77399999998</v>
      </c>
      <c r="K77" s="738">
        <f t="shared" si="14"/>
        <v>411489.82699999993</v>
      </c>
      <c r="L77" s="738">
        <f t="shared" si="14"/>
        <v>380641.09299999999</v>
      </c>
      <c r="M77" s="738">
        <f t="shared" si="14"/>
        <v>315636.84099999996</v>
      </c>
      <c r="N77" s="738">
        <f t="shared" si="14"/>
        <v>231740.204</v>
      </c>
      <c r="O77" s="738">
        <f t="shared" si="14"/>
        <v>213688.50499999998</v>
      </c>
      <c r="P77" s="732">
        <f t="shared" si="8"/>
        <v>3649446.1679999996</v>
      </c>
      <c r="Q77" s="732"/>
    </row>
    <row r="78" spans="1:17" x14ac:dyDescent="0.2">
      <c r="C78" s="724"/>
      <c r="D78" s="732"/>
      <c r="E78" s="732"/>
      <c r="F78" s="732"/>
      <c r="G78" s="732"/>
      <c r="H78" s="732"/>
      <c r="I78" s="732"/>
      <c r="J78" s="732"/>
      <c r="K78" s="732"/>
      <c r="L78" s="732"/>
      <c r="M78" s="732"/>
      <c r="N78" s="732"/>
      <c r="O78" s="732"/>
      <c r="P78" s="732"/>
      <c r="Q78" s="732"/>
    </row>
    <row r="79" spans="1:17" s="718" customFormat="1" x14ac:dyDescent="0.2">
      <c r="A79" s="709"/>
      <c r="B79" s="715" t="s">
        <v>374</v>
      </c>
      <c r="C79" s="724"/>
      <c r="D79" s="732"/>
      <c r="E79" s="732"/>
      <c r="F79" s="732"/>
      <c r="G79" s="732"/>
      <c r="H79" s="732"/>
      <c r="I79" s="732"/>
      <c r="J79" s="732"/>
      <c r="K79" s="732"/>
      <c r="L79" s="732"/>
      <c r="M79" s="732"/>
      <c r="N79" s="732"/>
      <c r="O79" s="732"/>
      <c r="P79" s="732"/>
      <c r="Q79" s="721"/>
    </row>
    <row r="80" spans="1:17" s="718" customFormat="1" x14ac:dyDescent="0.2">
      <c r="B80" s="718" t="s">
        <v>375</v>
      </c>
      <c r="C80" s="719"/>
      <c r="D80" s="741">
        <v>18.916799999999999</v>
      </c>
      <c r="E80" s="741">
        <v>4.7084000000000001</v>
      </c>
      <c r="F80" s="741">
        <v>102.2084</v>
      </c>
      <c r="G80" s="741">
        <v>389.20829999999995</v>
      </c>
      <c r="H80" s="741">
        <v>563.87490000000003</v>
      </c>
      <c r="I80" s="741">
        <v>780.5</v>
      </c>
      <c r="J80" s="741">
        <v>628.70833333333326</v>
      </c>
      <c r="K80" s="741">
        <v>672.58333333333303</v>
      </c>
      <c r="L80" s="741">
        <v>589.02083333333303</v>
      </c>
      <c r="M80" s="741">
        <v>419.04166666666703</v>
      </c>
      <c r="N80" s="741">
        <v>172.458333333333</v>
      </c>
      <c r="O80" s="741">
        <v>124.833333333333</v>
      </c>
      <c r="P80" s="721">
        <f>SUM(D80:O80)</f>
        <v>4466.0626333333321</v>
      </c>
      <c r="Q80" s="721"/>
    </row>
    <row r="81" spans="1:23" s="718" customFormat="1" x14ac:dyDescent="0.2">
      <c r="B81" s="718" t="s">
        <v>376</v>
      </c>
      <c r="C81" s="719"/>
      <c r="D81" s="741">
        <v>57.0138888888889</v>
      </c>
      <c r="E81" s="741">
        <v>47.509722222222202</v>
      </c>
      <c r="F81" s="741">
        <v>136.759722222222</v>
      </c>
      <c r="G81" s="741">
        <v>386.027777777778</v>
      </c>
      <c r="H81" s="741">
        <v>583.59097222222204</v>
      </c>
      <c r="I81" s="741">
        <v>747.57777777777801</v>
      </c>
      <c r="J81" s="741">
        <v>723.21388888888896</v>
      </c>
      <c r="K81" s="741">
        <v>616.98611111111097</v>
      </c>
      <c r="L81" s="741">
        <v>592.16805555555595</v>
      </c>
      <c r="M81" s="741">
        <v>450.14722222222201</v>
      </c>
      <c r="N81" s="741">
        <v>296.66111111111098</v>
      </c>
      <c r="O81" s="741">
        <v>162.50833333333301</v>
      </c>
      <c r="P81" s="721">
        <f>SUM(D81:O81)</f>
        <v>4800.1645833333332</v>
      </c>
      <c r="Q81" s="742"/>
    </row>
    <row r="82" spans="1:23" x14ac:dyDescent="0.2">
      <c r="A82" s="718"/>
      <c r="B82" s="718" t="s">
        <v>377</v>
      </c>
      <c r="C82" s="719"/>
      <c r="D82" s="730">
        <f t="shared" ref="D82:P82" si="15">D80-D81</f>
        <v>-38.097088888888905</v>
      </c>
      <c r="E82" s="730">
        <f t="shared" si="15"/>
        <v>-42.801322222222204</v>
      </c>
      <c r="F82" s="730">
        <f t="shared" si="15"/>
        <v>-34.551322222221998</v>
      </c>
      <c r="G82" s="730">
        <f t="shared" si="15"/>
        <v>3.1805222222219527</v>
      </c>
      <c r="H82" s="730">
        <f t="shared" si="15"/>
        <v>-19.71607222222201</v>
      </c>
      <c r="I82" s="730">
        <f t="shared" si="15"/>
        <v>32.92222222222199</v>
      </c>
      <c r="J82" s="730">
        <f t="shared" si="15"/>
        <v>-94.505555555555702</v>
      </c>
      <c r="K82" s="730">
        <f t="shared" si="15"/>
        <v>55.597222222222058</v>
      </c>
      <c r="L82" s="730">
        <f t="shared" si="15"/>
        <v>-3.147222222222922</v>
      </c>
      <c r="M82" s="730">
        <f t="shared" si="15"/>
        <v>-31.105555555554986</v>
      </c>
      <c r="N82" s="730">
        <f t="shared" si="15"/>
        <v>-124.20277777777798</v>
      </c>
      <c r="O82" s="730">
        <f t="shared" si="15"/>
        <v>-37.675000000000011</v>
      </c>
      <c r="P82" s="730">
        <f t="shared" si="15"/>
        <v>-334.10195000000112</v>
      </c>
      <c r="Q82" s="732"/>
    </row>
    <row r="83" spans="1:23" x14ac:dyDescent="0.2">
      <c r="C83" s="724"/>
      <c r="D83" s="732"/>
      <c r="E83" s="732"/>
      <c r="F83" s="732"/>
      <c r="G83" s="732"/>
      <c r="H83" s="732"/>
      <c r="I83" s="732"/>
      <c r="J83" s="732"/>
      <c r="K83" s="732"/>
      <c r="L83" s="732"/>
      <c r="M83" s="732"/>
      <c r="N83" s="732"/>
      <c r="O83" s="732"/>
      <c r="P83" s="732"/>
      <c r="Q83" s="732"/>
    </row>
    <row r="84" spans="1:23" s="718" customFormat="1" x14ac:dyDescent="0.2">
      <c r="A84" s="709"/>
      <c r="B84" s="715" t="s">
        <v>378</v>
      </c>
      <c r="C84" s="724"/>
      <c r="D84" s="732"/>
      <c r="E84" s="732"/>
      <c r="F84" s="732"/>
      <c r="G84" s="732"/>
      <c r="H84" s="732"/>
      <c r="I84" s="732"/>
      <c r="J84" s="732"/>
      <c r="K84" s="732"/>
      <c r="L84" s="732"/>
      <c r="M84" s="732"/>
      <c r="N84" s="732"/>
      <c r="O84" s="732"/>
      <c r="P84" s="732"/>
      <c r="Q84" s="721"/>
      <c r="R84" s="743"/>
      <c r="S84" s="743"/>
      <c r="T84" s="743"/>
      <c r="U84" s="743"/>
      <c r="V84" s="743"/>
      <c r="W84" s="743"/>
    </row>
    <row r="85" spans="1:23" s="718" customFormat="1" x14ac:dyDescent="0.2">
      <c r="B85" s="709" t="s">
        <v>7</v>
      </c>
      <c r="C85" s="719">
        <v>23</v>
      </c>
      <c r="D85" s="744">
        <v>0</v>
      </c>
      <c r="E85" s="744">
        <v>0</v>
      </c>
      <c r="F85" s="744">
        <v>6.1267000000000002E-2</v>
      </c>
      <c r="G85" s="744">
        <v>0.10335</v>
      </c>
      <c r="H85" s="744">
        <v>0.13109000000000001</v>
      </c>
      <c r="I85" s="744">
        <v>0.14038600000000001</v>
      </c>
      <c r="J85" s="744">
        <v>0.14258899999999999</v>
      </c>
      <c r="K85" s="744">
        <v>0.13567199999999999</v>
      </c>
      <c r="L85" s="744">
        <v>0.12486899999999999</v>
      </c>
      <c r="M85" s="744">
        <v>9.7504999999999994E-2</v>
      </c>
      <c r="N85" s="744">
        <v>7.7023999999999995E-2</v>
      </c>
      <c r="O85" s="744">
        <v>4.9307999999999998E-2</v>
      </c>
      <c r="P85" s="721"/>
      <c r="Q85" s="721"/>
      <c r="R85" s="743"/>
      <c r="S85" s="743"/>
      <c r="T85" s="743"/>
      <c r="U85" s="743"/>
      <c r="V85" s="743"/>
      <c r="W85" s="743"/>
    </row>
    <row r="86" spans="1:23" s="718" customFormat="1" x14ac:dyDescent="0.2">
      <c r="B86" s="718" t="s">
        <v>348</v>
      </c>
      <c r="C86" s="718">
        <v>31</v>
      </c>
      <c r="D86" s="744">
        <v>0</v>
      </c>
      <c r="E86" s="744">
        <v>0</v>
      </c>
      <c r="F86" s="744">
        <v>0</v>
      </c>
      <c r="G86" s="744">
        <v>0.28602899999999998</v>
      </c>
      <c r="H86" s="744">
        <v>0.43996600000000002</v>
      </c>
      <c r="I86" s="744">
        <v>0.51790400000000003</v>
      </c>
      <c r="J86" s="744">
        <v>0.53004700000000005</v>
      </c>
      <c r="K86" s="744">
        <v>0.48302200000000001</v>
      </c>
      <c r="L86" s="744">
        <v>0.44266800000000001</v>
      </c>
      <c r="M86" s="744">
        <v>0.30964599999999998</v>
      </c>
      <c r="N86" s="744">
        <v>0.20496700000000001</v>
      </c>
      <c r="O86" s="744">
        <v>0</v>
      </c>
      <c r="P86" s="721"/>
      <c r="Q86" s="721"/>
      <c r="R86" s="743"/>
      <c r="S86" s="743"/>
      <c r="T86" s="743"/>
      <c r="U86" s="743"/>
      <c r="V86" s="743"/>
      <c r="W86" s="743"/>
    </row>
    <row r="87" spans="1:23" s="718" customFormat="1" x14ac:dyDescent="0.2">
      <c r="B87" s="718" t="s">
        <v>349</v>
      </c>
      <c r="C87" s="718">
        <v>41</v>
      </c>
      <c r="D87" s="744">
        <v>0</v>
      </c>
      <c r="E87" s="744">
        <v>0</v>
      </c>
      <c r="F87" s="744">
        <v>1.8869560000000001</v>
      </c>
      <c r="G87" s="744">
        <v>3.3324769999999999</v>
      </c>
      <c r="H87" s="744">
        <v>3.9634170000000002</v>
      </c>
      <c r="I87" s="744">
        <v>4.3025140000000004</v>
      </c>
      <c r="J87" s="744">
        <v>4.4232339999999999</v>
      </c>
      <c r="K87" s="744">
        <v>4.0960900000000002</v>
      </c>
      <c r="L87" s="744">
        <v>4.2550169999999996</v>
      </c>
      <c r="M87" s="744">
        <v>3.3169300000000002</v>
      </c>
      <c r="N87" s="744">
        <v>3.0851820000000001</v>
      </c>
      <c r="O87" s="744">
        <v>2.3724050000000001</v>
      </c>
      <c r="P87" s="721"/>
      <c r="Q87" s="721"/>
      <c r="R87" s="743"/>
      <c r="S87" s="743"/>
      <c r="T87" s="743"/>
      <c r="U87" s="743"/>
      <c r="V87" s="743"/>
      <c r="W87" s="743"/>
    </row>
    <row r="88" spans="1:23" s="718" customFormat="1" x14ac:dyDescent="0.2">
      <c r="B88" s="709" t="s">
        <v>359</v>
      </c>
      <c r="C88" s="724" t="s">
        <v>35</v>
      </c>
      <c r="D88" s="744">
        <v>0</v>
      </c>
      <c r="E88" s="744">
        <v>0</v>
      </c>
      <c r="F88" s="744">
        <v>0</v>
      </c>
      <c r="G88" s="744">
        <v>4.9070229999999997</v>
      </c>
      <c r="H88" s="744">
        <v>5.0952380000000002</v>
      </c>
      <c r="I88" s="744">
        <v>5.9990639999999997</v>
      </c>
      <c r="J88" s="744">
        <v>6.2450140000000003</v>
      </c>
      <c r="K88" s="744">
        <v>5.5843040000000004</v>
      </c>
      <c r="L88" s="744">
        <v>6.6018319999999999</v>
      </c>
      <c r="M88" s="744">
        <v>4.4300100000000002</v>
      </c>
      <c r="N88" s="744">
        <v>3.1402450000000002</v>
      </c>
      <c r="O88" s="744">
        <v>0</v>
      </c>
      <c r="P88" s="721"/>
      <c r="Q88" s="721"/>
      <c r="R88" s="743"/>
      <c r="S88" s="743"/>
      <c r="T88" s="743"/>
      <c r="U88" s="743"/>
      <c r="V88" s="743"/>
      <c r="W88" s="743"/>
    </row>
    <row r="89" spans="1:23" s="718" customFormat="1" x14ac:dyDescent="0.2">
      <c r="B89" s="709" t="s">
        <v>360</v>
      </c>
      <c r="C89" s="724" t="s">
        <v>37</v>
      </c>
      <c r="D89" s="744">
        <v>0</v>
      </c>
      <c r="E89" s="744">
        <v>0</v>
      </c>
      <c r="F89" s="744">
        <v>0</v>
      </c>
      <c r="G89" s="744">
        <v>19.421810000000001</v>
      </c>
      <c r="H89" s="744">
        <v>20.552879999999998</v>
      </c>
      <c r="I89" s="744">
        <v>25.147639999999999</v>
      </c>
      <c r="J89" s="744">
        <v>25.863019999999999</v>
      </c>
      <c r="K89" s="744">
        <v>17.022880000000001</v>
      </c>
      <c r="L89" s="744">
        <v>23.35707</v>
      </c>
      <c r="M89" s="744">
        <v>17.929849999999998</v>
      </c>
      <c r="N89" s="744">
        <v>18.489039999999999</v>
      </c>
      <c r="O89" s="744">
        <v>15.670389999999999</v>
      </c>
      <c r="P89" s="721"/>
      <c r="Q89" s="721"/>
      <c r="R89" s="743"/>
      <c r="S89" s="743"/>
      <c r="T89" s="743"/>
      <c r="U89" s="743"/>
      <c r="V89" s="743"/>
      <c r="W89" s="743"/>
    </row>
    <row r="90" spans="1:23" s="718" customFormat="1" x14ac:dyDescent="0.2">
      <c r="B90" s="709" t="s">
        <v>361</v>
      </c>
      <c r="C90" s="724" t="s">
        <v>41</v>
      </c>
      <c r="D90" s="744">
        <v>0</v>
      </c>
      <c r="E90" s="744">
        <v>0</v>
      </c>
      <c r="F90" s="744"/>
      <c r="G90" s="744">
        <v>292.32600000000002</v>
      </c>
      <c r="H90" s="744">
        <v>405.23860000000002</v>
      </c>
      <c r="I90" s="744">
        <v>489.97309999999999</v>
      </c>
      <c r="J90" s="744">
        <v>498.61770000000001</v>
      </c>
      <c r="K90" s="744">
        <v>416.05340000000001</v>
      </c>
      <c r="L90" s="744">
        <v>437.85559999999998</v>
      </c>
      <c r="M90" s="744">
        <v>350.5145</v>
      </c>
      <c r="N90" s="744">
        <v>357.57459999999998</v>
      </c>
      <c r="O90" s="744">
        <v>231.9744</v>
      </c>
      <c r="P90" s="721"/>
      <c r="Q90" s="721"/>
      <c r="R90" s="743"/>
      <c r="S90" s="743"/>
      <c r="T90" s="743"/>
      <c r="U90" s="743"/>
      <c r="V90" s="743"/>
      <c r="W90" s="743"/>
    </row>
    <row r="91" spans="1:23" s="718" customFormat="1" x14ac:dyDescent="0.2">
      <c r="B91" s="718" t="s">
        <v>350</v>
      </c>
      <c r="C91" s="718">
        <v>85</v>
      </c>
      <c r="D91" s="744">
        <v>0</v>
      </c>
      <c r="E91" s="744">
        <v>0</v>
      </c>
      <c r="F91" s="744">
        <v>0</v>
      </c>
      <c r="G91" s="744">
        <v>42.228180000000002</v>
      </c>
      <c r="H91" s="744">
        <v>47.382179999999998</v>
      </c>
      <c r="I91" s="744">
        <v>51.544719999999998</v>
      </c>
      <c r="J91" s="744">
        <v>54.698979999999999</v>
      </c>
      <c r="K91" s="744">
        <v>51.855840000000001</v>
      </c>
      <c r="L91" s="744">
        <v>54.701529999999998</v>
      </c>
      <c r="M91" s="744">
        <v>47.905470000000001</v>
      </c>
      <c r="N91" s="744">
        <v>41.308880000000002</v>
      </c>
      <c r="O91" s="744">
        <v>0</v>
      </c>
      <c r="P91" s="721"/>
      <c r="Q91" s="721"/>
      <c r="R91" s="743"/>
      <c r="S91" s="743"/>
      <c r="T91" s="743"/>
      <c r="U91" s="743"/>
      <c r="V91" s="743"/>
      <c r="W91" s="743"/>
    </row>
    <row r="92" spans="1:23" s="718" customFormat="1" x14ac:dyDescent="0.2">
      <c r="B92" s="718" t="s">
        <v>351</v>
      </c>
      <c r="C92" s="718">
        <v>86</v>
      </c>
      <c r="D92" s="744">
        <v>0</v>
      </c>
      <c r="E92" s="744">
        <v>0</v>
      </c>
      <c r="F92" s="744">
        <v>3.8223630000000002</v>
      </c>
      <c r="G92" s="744">
        <v>5.5541510000000001</v>
      </c>
      <c r="H92" s="744">
        <v>5.9706299999999999</v>
      </c>
      <c r="I92" s="744">
        <v>5.9919729999999998</v>
      </c>
      <c r="J92" s="744">
        <v>6.306381</v>
      </c>
      <c r="K92" s="744">
        <v>6.3312249999999999</v>
      </c>
      <c r="L92" s="744">
        <v>6.47736</v>
      </c>
      <c r="M92" s="744">
        <v>5.6191269999999998</v>
      </c>
      <c r="N92" s="744">
        <v>5.4516109999999998</v>
      </c>
      <c r="O92" s="744">
        <v>4.0647390000000003</v>
      </c>
      <c r="P92" s="721"/>
      <c r="Q92" s="721"/>
      <c r="R92" s="745"/>
      <c r="S92" s="745"/>
      <c r="T92" s="743"/>
      <c r="U92" s="743"/>
      <c r="V92" s="743"/>
      <c r="W92" s="743"/>
    </row>
    <row r="93" spans="1:23" s="718" customFormat="1" x14ac:dyDescent="0.2">
      <c r="B93" s="718" t="s">
        <v>372</v>
      </c>
      <c r="C93" s="718">
        <v>87</v>
      </c>
      <c r="D93" s="744">
        <v>0</v>
      </c>
      <c r="E93" s="744">
        <v>0</v>
      </c>
      <c r="F93" s="744">
        <v>0</v>
      </c>
      <c r="G93" s="744">
        <v>262.26600000000002</v>
      </c>
      <c r="H93" s="744">
        <v>312.3014</v>
      </c>
      <c r="I93" s="744">
        <v>353.04090000000002</v>
      </c>
      <c r="J93" s="744">
        <v>365.73469999999998</v>
      </c>
      <c r="K93" s="744">
        <v>312.01679999999999</v>
      </c>
      <c r="L93" s="744">
        <v>327.76979999999998</v>
      </c>
      <c r="M93" s="744">
        <v>283.70179999999999</v>
      </c>
      <c r="N93" s="744">
        <v>241.9436</v>
      </c>
      <c r="O93" s="744">
        <v>0</v>
      </c>
      <c r="P93" s="721"/>
      <c r="Q93" s="721"/>
      <c r="R93" s="743"/>
      <c r="S93" s="743"/>
      <c r="T93" s="743"/>
      <c r="U93" s="743"/>
      <c r="V93" s="743"/>
      <c r="W93" s="743"/>
    </row>
    <row r="94" spans="1:23" s="718" customFormat="1" x14ac:dyDescent="0.2">
      <c r="B94" s="718" t="s">
        <v>353</v>
      </c>
      <c r="C94" s="718">
        <v>31</v>
      </c>
      <c r="D94" s="744">
        <v>0</v>
      </c>
      <c r="E94" s="744">
        <v>0</v>
      </c>
      <c r="F94" s="744">
        <v>0.36427500000000002</v>
      </c>
      <c r="G94" s="744">
        <v>0.622251</v>
      </c>
      <c r="H94" s="744">
        <v>0.84462899999999996</v>
      </c>
      <c r="I94" s="744">
        <v>0.98157099999999997</v>
      </c>
      <c r="J94" s="744">
        <v>1.0246230000000001</v>
      </c>
      <c r="K94" s="744">
        <v>0.96336599999999994</v>
      </c>
      <c r="L94" s="744">
        <v>0.87563599999999997</v>
      </c>
      <c r="M94" s="744">
        <v>0.62440799999999996</v>
      </c>
      <c r="N94" s="744">
        <v>0.46065400000000001</v>
      </c>
      <c r="O94" s="744">
        <v>0.267515</v>
      </c>
      <c r="P94" s="721"/>
      <c r="Q94" s="721"/>
      <c r="R94" s="743"/>
      <c r="S94" s="743"/>
      <c r="T94" s="743"/>
      <c r="U94" s="743"/>
      <c r="V94" s="743"/>
      <c r="W94" s="743"/>
    </row>
    <row r="95" spans="1:23" s="725" customFormat="1" x14ac:dyDescent="0.2">
      <c r="A95" s="718"/>
      <c r="B95" s="718" t="s">
        <v>354</v>
      </c>
      <c r="C95" s="718">
        <v>41</v>
      </c>
      <c r="D95" s="744">
        <v>0</v>
      </c>
      <c r="E95" s="744">
        <v>0</v>
      </c>
      <c r="F95" s="744">
        <v>0</v>
      </c>
      <c r="G95" s="744">
        <v>4.8871190000000002</v>
      </c>
      <c r="H95" s="744">
        <v>4.1200489999999999</v>
      </c>
      <c r="I95" s="744">
        <v>4.2082819999999996</v>
      </c>
      <c r="J95" s="744">
        <v>4.7613620000000001</v>
      </c>
      <c r="K95" s="744">
        <v>3.7076060000000002</v>
      </c>
      <c r="L95" s="744">
        <v>5.6337640000000002</v>
      </c>
      <c r="M95" s="744">
        <v>3.607056</v>
      </c>
      <c r="N95" s="744">
        <v>2.9865780000000002</v>
      </c>
      <c r="O95" s="744">
        <v>0</v>
      </c>
      <c r="P95" s="721"/>
      <c r="Q95" s="729"/>
      <c r="R95" s="746"/>
      <c r="S95" s="746"/>
      <c r="T95" s="747"/>
      <c r="U95" s="747"/>
      <c r="V95" s="747"/>
      <c r="W95" s="747"/>
    </row>
    <row r="96" spans="1:23" ht="15" x14ac:dyDescent="0.25">
      <c r="A96" s="725"/>
      <c r="B96" s="740"/>
      <c r="C96" s="726" t="s">
        <v>262</v>
      </c>
      <c r="D96" s="748">
        <v>0</v>
      </c>
      <c r="E96" s="748">
        <v>0</v>
      </c>
      <c r="F96" s="748">
        <v>191.56610000000001</v>
      </c>
      <c r="G96" s="748">
        <v>304.52820000000003</v>
      </c>
      <c r="H96" s="748">
        <v>327.96660000000003</v>
      </c>
      <c r="I96" s="748">
        <v>325.36750000000001</v>
      </c>
      <c r="J96" s="748">
        <v>366.29660000000001</v>
      </c>
      <c r="K96" s="748">
        <v>343.17970000000003</v>
      </c>
      <c r="L96" s="748">
        <v>353.94880000000001</v>
      </c>
      <c r="M96" s="748">
        <v>310.79880000000003</v>
      </c>
      <c r="N96" s="748">
        <v>284.05250000000001</v>
      </c>
      <c r="O96" s="748">
        <v>242.88679999999999</v>
      </c>
      <c r="P96" s="729"/>
      <c r="Q96" s="732"/>
    </row>
    <row r="97" spans="1:17" x14ac:dyDescent="0.2">
      <c r="C97" s="724"/>
      <c r="D97" s="732"/>
      <c r="E97" s="732"/>
      <c r="F97" s="732"/>
      <c r="G97" s="732"/>
      <c r="H97" s="732"/>
      <c r="I97" s="732"/>
      <c r="J97" s="732"/>
      <c r="K97" s="732"/>
      <c r="L97" s="732"/>
      <c r="M97" s="732"/>
      <c r="N97" s="732"/>
      <c r="O97" s="732"/>
      <c r="P97" s="732"/>
      <c r="Q97" s="732"/>
    </row>
    <row r="98" spans="1:17" x14ac:dyDescent="0.2">
      <c r="B98" s="715" t="s">
        <v>379</v>
      </c>
      <c r="C98" s="724"/>
      <c r="D98" s="732"/>
      <c r="E98" s="732"/>
      <c r="F98" s="732"/>
      <c r="G98" s="732"/>
      <c r="H98" s="732"/>
      <c r="I98" s="732"/>
      <c r="J98" s="732"/>
      <c r="K98" s="732"/>
      <c r="L98" s="732"/>
      <c r="M98" s="732"/>
      <c r="N98" s="732"/>
      <c r="O98" s="732"/>
      <c r="P98" s="732"/>
      <c r="Q98" s="732"/>
    </row>
    <row r="99" spans="1:17" x14ac:dyDescent="0.2">
      <c r="B99" s="709" t="s">
        <v>7</v>
      </c>
      <c r="C99" s="724">
        <v>23</v>
      </c>
      <c r="D99" s="732">
        <f t="shared" ref="D99:O101" si="16">IF(D65=0,0,D65+D85*(-D$82))</f>
        <v>17.687805659530856</v>
      </c>
      <c r="E99" s="732">
        <f t="shared" si="16"/>
        <v>16.743609705659246</v>
      </c>
      <c r="F99" s="732">
        <f t="shared" si="16"/>
        <v>28.306947066233374</v>
      </c>
      <c r="G99" s="732">
        <f t="shared" si="16"/>
        <v>60.476787866997412</v>
      </c>
      <c r="H99" s="732">
        <f t="shared" si="16"/>
        <v>95.270836699511619</v>
      </c>
      <c r="I99" s="732">
        <f t="shared" si="16"/>
        <v>115.61131520189504</v>
      </c>
      <c r="J99" s="732">
        <f t="shared" si="16"/>
        <v>124.27741837890858</v>
      </c>
      <c r="K99" s="732">
        <f t="shared" si="16"/>
        <v>97.741196282744539</v>
      </c>
      <c r="L99" s="732">
        <f t="shared" si="16"/>
        <v>98.289004001143269</v>
      </c>
      <c r="M99" s="732">
        <f t="shared" si="16"/>
        <v>65.1673154421524</v>
      </c>
      <c r="N99" s="732">
        <f t="shared" si="16"/>
        <v>40.798286645975054</v>
      </c>
      <c r="O99" s="732">
        <f t="shared" si="16"/>
        <v>24.826853683729396</v>
      </c>
      <c r="P99" s="732">
        <f>SUM(D99:O99)</f>
        <v>785.19737663448063</v>
      </c>
      <c r="Q99" s="732"/>
    </row>
    <row r="100" spans="1:17" x14ac:dyDescent="0.2">
      <c r="B100" s="718" t="s">
        <v>348</v>
      </c>
      <c r="C100" s="724">
        <v>31</v>
      </c>
      <c r="D100" s="732">
        <f t="shared" si="16"/>
        <v>141.2947522922185</v>
      </c>
      <c r="E100" s="732">
        <f t="shared" si="16"/>
        <v>138.13265685002597</v>
      </c>
      <c r="F100" s="732">
        <f t="shared" si="16"/>
        <v>167.78571084449061</v>
      </c>
      <c r="G100" s="732">
        <f t="shared" si="16"/>
        <v>295.08487982020216</v>
      </c>
      <c r="H100" s="732">
        <f t="shared" si="16"/>
        <v>438.81205138887253</v>
      </c>
      <c r="I100" s="732">
        <f t="shared" si="16"/>
        <v>542.2082071714492</v>
      </c>
      <c r="J100" s="732">
        <f t="shared" si="16"/>
        <v>572.210014674587</v>
      </c>
      <c r="K100" s="732">
        <f t="shared" si="16"/>
        <v>468.06880491889763</v>
      </c>
      <c r="L100" s="732">
        <f t="shared" si="16"/>
        <v>470.31662044267182</v>
      </c>
      <c r="M100" s="732">
        <f t="shared" si="16"/>
        <v>331.9815739167986</v>
      </c>
      <c r="N100" s="732">
        <f t="shared" si="16"/>
        <v>224.65102646344241</v>
      </c>
      <c r="O100" s="732">
        <f t="shared" si="16"/>
        <v>163.57530343546549</v>
      </c>
      <c r="P100" s="732">
        <f t="shared" ref="P100:P127" si="17">SUM(D100:O100)</f>
        <v>3954.1216022191215</v>
      </c>
      <c r="Q100" s="732"/>
    </row>
    <row r="101" spans="1:17" x14ac:dyDescent="0.2">
      <c r="B101" s="718" t="s">
        <v>349</v>
      </c>
      <c r="C101" s="718">
        <v>41</v>
      </c>
      <c r="D101" s="732">
        <f t="shared" si="16"/>
        <v>1905.1533260359654</v>
      </c>
      <c r="E101" s="732">
        <f t="shared" si="16"/>
        <v>1810.7253857030637</v>
      </c>
      <c r="F101" s="732">
        <f t="shared" si="16"/>
        <v>2237.9194044626552</v>
      </c>
      <c r="G101" s="732">
        <f t="shared" si="16"/>
        <v>3459.3592731188301</v>
      </c>
      <c r="H101" s="732">
        <f t="shared" si="16"/>
        <v>4487.7013974387201</v>
      </c>
      <c r="I101" s="732">
        <f t="shared" si="16"/>
        <v>5313.90178328199</v>
      </c>
      <c r="J101" s="732">
        <f t="shared" si="16"/>
        <v>5525.0690119683049</v>
      </c>
      <c r="K101" s="732">
        <f t="shared" si="16"/>
        <v>4738.5632311928885</v>
      </c>
      <c r="L101" s="732">
        <f t="shared" si="16"/>
        <v>4857.7276790855321</v>
      </c>
      <c r="M101" s="732">
        <f t="shared" si="16"/>
        <v>3815.5146178307473</v>
      </c>
      <c r="N101" s="732">
        <f t="shared" si="16"/>
        <v>2946.0371828903735</v>
      </c>
      <c r="O101" s="732">
        <f t="shared" si="16"/>
        <v>1311.176370875</v>
      </c>
      <c r="P101" s="732">
        <f t="shared" si="17"/>
        <v>42408.848663884077</v>
      </c>
      <c r="Q101" s="732"/>
    </row>
    <row r="102" spans="1:17" x14ac:dyDescent="0.2">
      <c r="B102" s="709" t="s">
        <v>359</v>
      </c>
      <c r="C102" s="724" t="s">
        <v>35</v>
      </c>
      <c r="D102" s="732">
        <f t="shared" ref="D102:O108" si="18">IF(D69=0,0,D69+D88*(-D$82))</f>
        <v>11698.312361111111</v>
      </c>
      <c r="E102" s="732">
        <f t="shared" si="18"/>
        <v>12591.843835616439</v>
      </c>
      <c r="F102" s="732">
        <f t="shared" si="18"/>
        <v>11819.167027027026</v>
      </c>
      <c r="G102" s="732">
        <f t="shared" si="18"/>
        <v>14032.186077276519</v>
      </c>
      <c r="H102" s="732">
        <f t="shared" si="18"/>
        <v>15315.51460039741</v>
      </c>
      <c r="I102" s="732">
        <f t="shared" si="18"/>
        <v>16460.746015200002</v>
      </c>
      <c r="J102" s="732">
        <f t="shared" si="18"/>
        <v>16901.518257781965</v>
      </c>
      <c r="K102" s="732">
        <f t="shared" si="18"/>
        <v>15126.123272846695</v>
      </c>
      <c r="L102" s="732">
        <f t="shared" si="18"/>
        <v>15835.661736175251</v>
      </c>
      <c r="M102" s="732">
        <f t="shared" si="18"/>
        <v>14154.297047166663</v>
      </c>
      <c r="N102" s="732">
        <f t="shared" si="18"/>
        <v>12704.12863338426</v>
      </c>
      <c r="O102" s="732">
        <f t="shared" si="18"/>
        <v>9566.5474117647063</v>
      </c>
      <c r="P102" s="732">
        <f t="shared" si="17"/>
        <v>166206.04627574806</v>
      </c>
      <c r="Q102" s="732"/>
    </row>
    <row r="103" spans="1:17" x14ac:dyDescent="0.2">
      <c r="B103" s="709" t="s">
        <v>360</v>
      </c>
      <c r="C103" s="724" t="s">
        <v>37</v>
      </c>
      <c r="D103" s="732">
        <f t="shared" si="18"/>
        <v>47604.094848484849</v>
      </c>
      <c r="E103" s="732">
        <f t="shared" si="18"/>
        <v>50075.781212121212</v>
      </c>
      <c r="F103" s="732">
        <f t="shared" si="18"/>
        <v>47377.325454545455</v>
      </c>
      <c r="G103" s="732">
        <f t="shared" si="18"/>
        <v>55185.312744123468</v>
      </c>
      <c r="H103" s="732">
        <f t="shared" si="18"/>
        <v>59820.165096757693</v>
      </c>
      <c r="I103" s="732">
        <f t="shared" si="18"/>
        <v>65069.365019676778</v>
      </c>
      <c r="J103" s="732">
        <f t="shared" si="18"/>
        <v>66632.439073444446</v>
      </c>
      <c r="K103" s="732">
        <f t="shared" si="18"/>
        <v>59819.922127474754</v>
      </c>
      <c r="L103" s="732">
        <f t="shared" si="18"/>
        <v>63837.163829143952</v>
      </c>
      <c r="M103" s="732">
        <f t="shared" si="18"/>
        <v>56074.145218005047</v>
      </c>
      <c r="N103" s="732">
        <f t="shared" si="18"/>
        <v>56873.151338565665</v>
      </c>
      <c r="O103" s="732">
        <f t="shared" si="18"/>
        <v>53080.513761431816</v>
      </c>
      <c r="P103" s="732">
        <f t="shared" si="17"/>
        <v>681449.37972377508</v>
      </c>
      <c r="Q103" s="732"/>
    </row>
    <row r="104" spans="1:17" x14ac:dyDescent="0.2">
      <c r="B104" s="709" t="s">
        <v>361</v>
      </c>
      <c r="C104" s="724" t="s">
        <v>41</v>
      </c>
      <c r="D104" s="732">
        <f t="shared" si="18"/>
        <v>361377.07</v>
      </c>
      <c r="E104" s="732">
        <f t="shared" si="18"/>
        <v>358753.91666666669</v>
      </c>
      <c r="F104" s="732">
        <f t="shared" si="18"/>
        <v>368109.05666666664</v>
      </c>
      <c r="G104" s="732">
        <f t="shared" si="18"/>
        <v>497142.59066086676</v>
      </c>
      <c r="H104" s="732">
        <f t="shared" si="18"/>
        <v>611787.06683816551</v>
      </c>
      <c r="I104" s="732">
        <f t="shared" si="18"/>
        <v>688760.54338555573</v>
      </c>
      <c r="J104" s="732">
        <f t="shared" si="18"/>
        <v>697608.76608166681</v>
      </c>
      <c r="K104" s="732">
        <f t="shared" si="18"/>
        <v>630566.5699972224</v>
      </c>
      <c r="L104" s="732">
        <f t="shared" si="18"/>
        <v>620525.57887444471</v>
      </c>
      <c r="M104" s="732">
        <f t="shared" si="18"/>
        <v>544189.90825277765</v>
      </c>
      <c r="N104" s="732">
        <f t="shared" si="18"/>
        <v>470641.70858277782</v>
      </c>
      <c r="O104" s="732">
        <f t="shared" si="18"/>
        <v>398086.61885333335</v>
      </c>
      <c r="P104" s="732">
        <f t="shared" si="17"/>
        <v>6247549.3948601438</v>
      </c>
      <c r="Q104" s="732"/>
    </row>
    <row r="105" spans="1:17" x14ac:dyDescent="0.2">
      <c r="B105" s="709" t="s">
        <v>350</v>
      </c>
      <c r="C105" s="709">
        <v>85</v>
      </c>
      <c r="D105" s="732">
        <f t="shared" si="18"/>
        <v>28722.91128</v>
      </c>
      <c r="E105" s="732">
        <f t="shared" si="18"/>
        <v>26575.580199999997</v>
      </c>
      <c r="F105" s="732">
        <f t="shared" si="18"/>
        <v>33002.231333333337</v>
      </c>
      <c r="G105" s="732">
        <f t="shared" si="18"/>
        <v>49895.945655106014</v>
      </c>
      <c r="H105" s="732">
        <f t="shared" si="18"/>
        <v>62986.669482926329</v>
      </c>
      <c r="I105" s="732">
        <f t="shared" si="18"/>
        <v>72960.721593777795</v>
      </c>
      <c r="J105" s="732">
        <f t="shared" si="18"/>
        <v>73589.995053222228</v>
      </c>
      <c r="K105" s="732">
        <f t="shared" si="18"/>
        <v>60306.420860000013</v>
      </c>
      <c r="L105" s="732">
        <f t="shared" si="18"/>
        <v>65862.523310805584</v>
      </c>
      <c r="M105" s="732">
        <f t="shared" si="18"/>
        <v>51236.331698499969</v>
      </c>
      <c r="N105" s="732">
        <f t="shared" si="18"/>
        <v>41940.073082888899</v>
      </c>
      <c r="O105" s="732">
        <f t="shared" si="18"/>
        <v>29572.531000000003</v>
      </c>
      <c r="P105" s="732">
        <f t="shared" si="17"/>
        <v>596651.93455056008</v>
      </c>
      <c r="Q105" s="732"/>
    </row>
    <row r="106" spans="1:17" x14ac:dyDescent="0.2">
      <c r="B106" s="709" t="s">
        <v>351</v>
      </c>
      <c r="C106" s="709">
        <v>86</v>
      </c>
      <c r="D106" s="732">
        <f t="shared" si="18"/>
        <v>936.08321076233176</v>
      </c>
      <c r="E106" s="732">
        <f t="shared" si="18"/>
        <v>865.70760986547077</v>
      </c>
      <c r="F106" s="732">
        <f t="shared" si="18"/>
        <v>1568.3355297440169</v>
      </c>
      <c r="G106" s="732">
        <f t="shared" si="18"/>
        <v>3371.2537461657707</v>
      </c>
      <c r="H106" s="732">
        <f t="shared" si="18"/>
        <v>4743.9668677876607</v>
      </c>
      <c r="I106" s="732">
        <f t="shared" si="18"/>
        <v>5579.8752531642649</v>
      </c>
      <c r="J106" s="732">
        <f t="shared" si="18"/>
        <v>5941.6790714815324</v>
      </c>
      <c r="K106" s="732">
        <f t="shared" si="18"/>
        <v>4588.2985848442204</v>
      </c>
      <c r="L106" s="732">
        <f t="shared" si="18"/>
        <v>5014.8503850270308</v>
      </c>
      <c r="M106" s="732">
        <f t="shared" si="18"/>
        <v>3953.5866436487959</v>
      </c>
      <c r="N106" s="732">
        <f t="shared" si="18"/>
        <v>2836.5578223240714</v>
      </c>
      <c r="O106" s="732">
        <f t="shared" si="18"/>
        <v>1546.1313676168552</v>
      </c>
      <c r="P106" s="732">
        <f t="shared" si="17"/>
        <v>40946.326092432028</v>
      </c>
      <c r="Q106" s="732"/>
    </row>
    <row r="107" spans="1:17" x14ac:dyDescent="0.2">
      <c r="B107" s="718" t="s">
        <v>372</v>
      </c>
      <c r="C107" s="718">
        <v>87</v>
      </c>
      <c r="D107" s="732">
        <f t="shared" si="18"/>
        <v>241032.62680000003</v>
      </c>
      <c r="E107" s="732">
        <f t="shared" si="18"/>
        <v>238246.59599999999</v>
      </c>
      <c r="F107" s="732">
        <f t="shared" si="18"/>
        <v>259490.80499999999</v>
      </c>
      <c r="G107" s="732">
        <f t="shared" si="18"/>
        <v>390831.23655886669</v>
      </c>
      <c r="H107" s="732">
        <f t="shared" si="18"/>
        <v>474531.82715750101</v>
      </c>
      <c r="I107" s="732">
        <f t="shared" si="18"/>
        <v>551872.60543666664</v>
      </c>
      <c r="J107" s="732">
        <f t="shared" si="18"/>
        <v>532178.64240944455</v>
      </c>
      <c r="K107" s="732">
        <f t="shared" si="18"/>
        <v>483861.88503333338</v>
      </c>
      <c r="L107" s="732">
        <f t="shared" si="18"/>
        <v>487020.43979833351</v>
      </c>
      <c r="M107" s="732">
        <f t="shared" si="18"/>
        <v>422074.88530111092</v>
      </c>
      <c r="N107" s="732">
        <f t="shared" si="18"/>
        <v>327192.10758555558</v>
      </c>
      <c r="O107" s="732">
        <f t="shared" si="18"/>
        <v>286110.21899999998</v>
      </c>
      <c r="P107" s="732">
        <f t="shared" si="17"/>
        <v>4694443.876080812</v>
      </c>
      <c r="Q107" s="732"/>
    </row>
    <row r="108" spans="1:17" x14ac:dyDescent="0.2">
      <c r="B108" s="709" t="s">
        <v>444</v>
      </c>
      <c r="C108" s="719" t="s">
        <v>33</v>
      </c>
      <c r="D108" s="732">
        <f t="shared" si="18"/>
        <v>76.98</v>
      </c>
      <c r="E108" s="732">
        <f t="shared" si="18"/>
        <v>27.25</v>
      </c>
      <c r="F108" s="732">
        <f t="shared" si="18"/>
        <v>231.45618290249993</v>
      </c>
      <c r="G108" s="732">
        <f t="shared" si="18"/>
        <v>1980.6509168667003</v>
      </c>
      <c r="H108" s="732">
        <f t="shared" si="18"/>
        <v>3340.4127663649833</v>
      </c>
      <c r="I108" s="732">
        <f t="shared" si="18"/>
        <v>4377.8945014111114</v>
      </c>
      <c r="J108" s="732">
        <f t="shared" si="18"/>
        <v>2627.7025658500002</v>
      </c>
      <c r="K108" s="732">
        <f t="shared" si="18"/>
        <v>3852.4195264166669</v>
      </c>
      <c r="L108" s="732">
        <f t="shared" si="18"/>
        <v>2824.0958210777785</v>
      </c>
      <c r="M108" s="732">
        <f t="shared" si="18"/>
        <v>2000.072557733333</v>
      </c>
      <c r="N108" s="732">
        <f t="shared" si="18"/>
        <v>653.12450639444455</v>
      </c>
      <c r="O108" s="732">
        <f t="shared" si="18"/>
        <v>37.518627625000008</v>
      </c>
      <c r="P108" s="732">
        <f t="shared" si="17"/>
        <v>22029.577972642517</v>
      </c>
      <c r="Q108" s="732"/>
    </row>
    <row r="109" spans="1:17" x14ac:dyDescent="0.2">
      <c r="B109" s="709" t="s">
        <v>353</v>
      </c>
      <c r="C109" s="709">
        <v>31</v>
      </c>
      <c r="D109" s="732">
        <f t="shared" ref="D109:O109" si="19">IF(D76=0,0,D76+D94*(-D$82))</f>
        <v>176.39866339285715</v>
      </c>
      <c r="E109" s="732">
        <f t="shared" si="19"/>
        <v>186.12542319749215</v>
      </c>
      <c r="F109" s="732">
        <f t="shared" si="19"/>
        <v>237.4837922424191</v>
      </c>
      <c r="G109" s="732">
        <f t="shared" si="19"/>
        <v>448.5774242492505</v>
      </c>
      <c r="H109" s="732">
        <f t="shared" si="19"/>
        <v>698.3686793890688</v>
      </c>
      <c r="I109" s="732">
        <f t="shared" si="19"/>
        <v>876.45511182963321</v>
      </c>
      <c r="J109" s="732">
        <f t="shared" si="19"/>
        <v>970.85007919519592</v>
      </c>
      <c r="K109" s="732">
        <f t="shared" si="19"/>
        <v>784.04363807147115</v>
      </c>
      <c r="L109" s="732">
        <f t="shared" si="19"/>
        <v>749.94071184154393</v>
      </c>
      <c r="M109" s="732">
        <f t="shared" si="19"/>
        <v>493.32822009413474</v>
      </c>
      <c r="N109" s="732">
        <f t="shared" si="19"/>
        <v>306.8983721393152</v>
      </c>
      <c r="O109" s="732">
        <f t="shared" si="19"/>
        <v>202.36224462723715</v>
      </c>
      <c r="P109" s="732">
        <f t="shared" si="17"/>
        <v>6130.8323602696191</v>
      </c>
      <c r="Q109" s="732"/>
    </row>
    <row r="110" spans="1:17" s="739" customFormat="1" x14ac:dyDescent="0.2">
      <c r="A110" s="709"/>
      <c r="B110" s="718" t="s">
        <v>354</v>
      </c>
      <c r="C110" s="718">
        <v>41</v>
      </c>
      <c r="D110" s="732">
        <f t="shared" ref="D110:O110" si="20">IF(D68=0,0,D68+D95*(-D$82))</f>
        <v>9059.3246329113917</v>
      </c>
      <c r="E110" s="732">
        <f t="shared" si="20"/>
        <v>9273.3659487179484</v>
      </c>
      <c r="F110" s="732">
        <f t="shared" si="20"/>
        <v>9134.0235316455692</v>
      </c>
      <c r="G110" s="732">
        <f t="shared" si="20"/>
        <v>11459.050037622987</v>
      </c>
      <c r="H110" s="732">
        <f t="shared" si="20"/>
        <v>11842.592157327304</v>
      </c>
      <c r="I110" s="732">
        <f t="shared" si="20"/>
        <v>12734.098123243275</v>
      </c>
      <c r="J110" s="732">
        <f t="shared" si="20"/>
        <v>13414.850791148099</v>
      </c>
      <c r="K110" s="732">
        <f t="shared" si="20"/>
        <v>12137.401966949392</v>
      </c>
      <c r="L110" s="732">
        <f t="shared" si="20"/>
        <v>12610.25984424186</v>
      </c>
      <c r="M110" s="732">
        <f t="shared" si="20"/>
        <v>11227.898932854794</v>
      </c>
      <c r="N110" s="732">
        <f t="shared" si="20"/>
        <v>9961.5872973486312</v>
      </c>
      <c r="O110" s="732">
        <f t="shared" si="20"/>
        <v>2898.4607500000002</v>
      </c>
      <c r="P110" s="732">
        <f t="shared" si="17"/>
        <v>125752.91401401124</v>
      </c>
      <c r="Q110" s="738"/>
    </row>
    <row r="111" spans="1:17" ht="15" x14ac:dyDescent="0.25">
      <c r="A111" s="739"/>
      <c r="B111" s="725" t="s">
        <v>366</v>
      </c>
      <c r="C111" s="740" t="s">
        <v>262</v>
      </c>
      <c r="D111" s="738">
        <f t="shared" ref="D111:O111" si="21">IF(D77=0,0,D77+D96*(-D$82))</f>
        <v>192133.49100000001</v>
      </c>
      <c r="E111" s="738">
        <f t="shared" si="21"/>
        <v>186918.77499999999</v>
      </c>
      <c r="F111" s="738">
        <f t="shared" si="21"/>
        <v>200938.26104795441</v>
      </c>
      <c r="G111" s="738">
        <f t="shared" si="21"/>
        <v>300482.59729260678</v>
      </c>
      <c r="H111" s="738">
        <f t="shared" si="21"/>
        <v>380992.47517207661</v>
      </c>
      <c r="I111" s="738">
        <f t="shared" si="21"/>
        <v>432946.01986111118</v>
      </c>
      <c r="J111" s="738">
        <f t="shared" si="21"/>
        <v>437859.83768111112</v>
      </c>
      <c r="K111" s="738">
        <f t="shared" si="21"/>
        <v>392409.98895694443</v>
      </c>
      <c r="L111" s="738">
        <f t="shared" si="21"/>
        <v>381755.04852888914</v>
      </c>
      <c r="M111" s="738">
        <f t="shared" si="21"/>
        <v>325304.41033999977</v>
      </c>
      <c r="N111" s="738">
        <f t="shared" si="21"/>
        <v>267020.31353472226</v>
      </c>
      <c r="O111" s="738">
        <f t="shared" si="21"/>
        <v>222839.26518999998</v>
      </c>
      <c r="P111" s="732">
        <f t="shared" si="17"/>
        <v>3721600.483605416</v>
      </c>
      <c r="Q111" s="732"/>
    </row>
    <row r="112" spans="1:17" x14ac:dyDescent="0.2">
      <c r="C112" s="724"/>
      <c r="D112" s="732"/>
      <c r="E112" s="732"/>
      <c r="F112" s="732"/>
      <c r="G112" s="732"/>
      <c r="H112" s="732"/>
      <c r="I112" s="732"/>
      <c r="J112" s="732"/>
      <c r="K112" s="732"/>
      <c r="L112" s="732"/>
      <c r="M112" s="732"/>
      <c r="N112" s="732"/>
      <c r="O112" s="732"/>
      <c r="P112" s="732">
        <f t="shared" si="17"/>
        <v>0</v>
      </c>
      <c r="Q112" s="732"/>
    </row>
    <row r="113" spans="1:17" x14ac:dyDescent="0.2">
      <c r="B113" s="715" t="s">
        <v>380</v>
      </c>
      <c r="C113" s="724"/>
      <c r="D113" s="732"/>
      <c r="E113" s="732"/>
      <c r="F113" s="732"/>
      <c r="G113" s="732"/>
      <c r="H113" s="732"/>
      <c r="I113" s="732"/>
      <c r="J113" s="732"/>
      <c r="K113" s="732"/>
      <c r="L113" s="732"/>
      <c r="M113" s="732"/>
      <c r="N113" s="732"/>
      <c r="O113" s="732"/>
      <c r="P113" s="732">
        <f t="shared" si="17"/>
        <v>0</v>
      </c>
      <c r="Q113" s="732"/>
    </row>
    <row r="114" spans="1:17" x14ac:dyDescent="0.2">
      <c r="B114" s="709" t="s">
        <v>7</v>
      </c>
      <c r="C114" s="724">
        <v>23</v>
      </c>
      <c r="D114" s="732">
        <f t="shared" ref="D114:O114" si="22">D99*D37</f>
        <v>13443846.633000001</v>
      </c>
      <c r="E114" s="732">
        <f t="shared" si="22"/>
        <v>12736009.979</v>
      </c>
      <c r="F114" s="732">
        <f t="shared" si="22"/>
        <v>21565789.157145228</v>
      </c>
      <c r="G114" s="732">
        <f t="shared" si="22"/>
        <v>46177777.097300276</v>
      </c>
      <c r="H114" s="732">
        <f t="shared" si="22"/>
        <v>72937542.431248799</v>
      </c>
      <c r="I114" s="732">
        <f t="shared" si="22"/>
        <v>88678156.378515959</v>
      </c>
      <c r="J114" s="732">
        <f t="shared" si="22"/>
        <v>95449655.57948181</v>
      </c>
      <c r="K114" s="732">
        <f t="shared" si="22"/>
        <v>75180768.839154005</v>
      </c>
      <c r="L114" s="732">
        <f t="shared" si="22"/>
        <v>75673097.336496204</v>
      </c>
      <c r="M114" s="732">
        <f t="shared" si="22"/>
        <v>50197992.081197344</v>
      </c>
      <c r="N114" s="732">
        <f t="shared" si="22"/>
        <v>31453031.106848009</v>
      </c>
      <c r="O114" s="732">
        <f t="shared" si="22"/>
        <v>19147859.864698399</v>
      </c>
      <c r="P114" s="732">
        <f t="shared" si="17"/>
        <v>602641526.48408616</v>
      </c>
      <c r="Q114" s="732"/>
    </row>
    <row r="115" spans="1:17" x14ac:dyDescent="0.2">
      <c r="B115" s="718" t="s">
        <v>348</v>
      </c>
      <c r="C115" s="724">
        <v>31</v>
      </c>
      <c r="D115" s="732">
        <f t="shared" ref="D115:O116" si="23">D100*D40</f>
        <v>7628079.7920000004</v>
      </c>
      <c r="E115" s="732">
        <f t="shared" si="23"/>
        <v>7453085.6330000013</v>
      </c>
      <c r="F115" s="732">
        <f t="shared" si="23"/>
        <v>9048012.2430000007</v>
      </c>
      <c r="G115" s="732">
        <f t="shared" si="23"/>
        <v>15936944.189329479</v>
      </c>
      <c r="H115" s="732">
        <f t="shared" si="23"/>
        <v>23775714.568351891</v>
      </c>
      <c r="I115" s="732">
        <f t="shared" si="23"/>
        <v>29457087.479210492</v>
      </c>
      <c r="J115" s="732">
        <f t="shared" si="23"/>
        <v>31133946.89844428</v>
      </c>
      <c r="K115" s="732">
        <f t="shared" si="23"/>
        <v>25469027.882051978</v>
      </c>
      <c r="L115" s="732">
        <f t="shared" si="23"/>
        <v>25625671.381439418</v>
      </c>
      <c r="M115" s="732">
        <f t="shared" si="23"/>
        <v>18078056.607639268</v>
      </c>
      <c r="N115" s="732">
        <f t="shared" si="23"/>
        <v>12230451.182722731</v>
      </c>
      <c r="O115" s="732">
        <f t="shared" si="23"/>
        <v>8894243.5490000006</v>
      </c>
      <c r="P115" s="732">
        <f t="shared" si="17"/>
        <v>214730321.4061895</v>
      </c>
      <c r="Q115" s="732"/>
    </row>
    <row r="116" spans="1:17" x14ac:dyDescent="0.2">
      <c r="B116" s="718" t="s">
        <v>349</v>
      </c>
      <c r="C116" s="718">
        <v>41</v>
      </c>
      <c r="D116" s="732">
        <f t="shared" si="23"/>
        <v>2436691.1039999998</v>
      </c>
      <c r="E116" s="732">
        <f t="shared" si="23"/>
        <v>2305053.4160000002</v>
      </c>
      <c r="F116" s="732">
        <f t="shared" si="23"/>
        <v>2864536.8377121985</v>
      </c>
      <c r="G116" s="732">
        <f t="shared" si="23"/>
        <v>4445276.6659576967</v>
      </c>
      <c r="H116" s="732">
        <f t="shared" si="23"/>
        <v>5762208.5943113165</v>
      </c>
      <c r="I116" s="732">
        <f t="shared" si="23"/>
        <v>6812422.0861675115</v>
      </c>
      <c r="J116" s="732">
        <f t="shared" si="23"/>
        <v>7121813.9564271448</v>
      </c>
      <c r="K116" s="732">
        <f t="shared" si="23"/>
        <v>6084315.1888516685</v>
      </c>
      <c r="L116" s="732">
        <f t="shared" si="23"/>
        <v>6251895.5229830798</v>
      </c>
      <c r="M116" s="732">
        <f t="shared" si="23"/>
        <v>4922013.8570016641</v>
      </c>
      <c r="N116" s="732">
        <f t="shared" si="23"/>
        <v>3794495.8915628009</v>
      </c>
      <c r="O116" s="732">
        <f t="shared" si="23"/>
        <v>1678305.7547200001</v>
      </c>
      <c r="P116" s="732">
        <f t="shared" si="17"/>
        <v>54479028.87569508</v>
      </c>
      <c r="Q116" s="732"/>
    </row>
    <row r="117" spans="1:17" x14ac:dyDescent="0.2">
      <c r="B117" s="709" t="s">
        <v>359</v>
      </c>
      <c r="C117" s="724" t="s">
        <v>35</v>
      </c>
      <c r="D117" s="732">
        <f t="shared" ref="D117:O119" si="24">D102*D54</f>
        <v>842278.49</v>
      </c>
      <c r="E117" s="732">
        <f t="shared" si="24"/>
        <v>919204.6</v>
      </c>
      <c r="F117" s="732">
        <f t="shared" si="24"/>
        <v>874618.35999999987</v>
      </c>
      <c r="G117" s="732">
        <f t="shared" si="24"/>
        <v>1038381.7697184625</v>
      </c>
      <c r="H117" s="732">
        <f t="shared" si="24"/>
        <v>1148663.5950298058</v>
      </c>
      <c r="I117" s="732">
        <f t="shared" si="24"/>
        <v>1234555.9511400003</v>
      </c>
      <c r="J117" s="732">
        <f t="shared" si="24"/>
        <v>1301416.9058492114</v>
      </c>
      <c r="K117" s="732">
        <f t="shared" si="24"/>
        <v>1194963.7385548889</v>
      </c>
      <c r="L117" s="732">
        <f t="shared" si="24"/>
        <v>1251017.2771578447</v>
      </c>
      <c r="M117" s="732">
        <f t="shared" si="24"/>
        <v>1132343.763773333</v>
      </c>
      <c r="N117" s="732">
        <f t="shared" si="24"/>
        <v>1029034.419304125</v>
      </c>
      <c r="O117" s="732">
        <f t="shared" si="24"/>
        <v>813156.53</v>
      </c>
      <c r="P117" s="732">
        <f t="shared" si="17"/>
        <v>12779635.400527673</v>
      </c>
      <c r="Q117" s="732"/>
    </row>
    <row r="118" spans="1:17" x14ac:dyDescent="0.2">
      <c r="B118" s="709" t="s">
        <v>360</v>
      </c>
      <c r="C118" s="724" t="s">
        <v>37</v>
      </c>
      <c r="D118" s="732">
        <f t="shared" si="24"/>
        <v>1570935.13</v>
      </c>
      <c r="E118" s="732">
        <f t="shared" si="24"/>
        <v>1652500.78</v>
      </c>
      <c r="F118" s="732">
        <f t="shared" si="24"/>
        <v>1563451.74</v>
      </c>
      <c r="G118" s="732">
        <f t="shared" si="24"/>
        <v>1821115.3205560744</v>
      </c>
      <c r="H118" s="732">
        <f t="shared" si="24"/>
        <v>1974065.4481930039</v>
      </c>
      <c r="I118" s="732">
        <f t="shared" si="24"/>
        <v>2147289.0456493339</v>
      </c>
      <c r="J118" s="732">
        <f t="shared" si="24"/>
        <v>2198870.4894236666</v>
      </c>
      <c r="K118" s="732">
        <f t="shared" si="24"/>
        <v>1974057.4302066669</v>
      </c>
      <c r="L118" s="732">
        <f t="shared" si="24"/>
        <v>2106626.4063617503</v>
      </c>
      <c r="M118" s="732">
        <f t="shared" si="24"/>
        <v>1850446.7921941665</v>
      </c>
      <c r="N118" s="732">
        <f t="shared" si="24"/>
        <v>1876813.9941726669</v>
      </c>
      <c r="O118" s="732">
        <f t="shared" si="24"/>
        <v>1751656.95412725</v>
      </c>
      <c r="P118" s="732">
        <f t="shared" si="17"/>
        <v>22487829.530884579</v>
      </c>
      <c r="Q118" s="732"/>
    </row>
    <row r="119" spans="1:17" x14ac:dyDescent="0.2">
      <c r="B119" s="709" t="s">
        <v>361</v>
      </c>
      <c r="C119" s="724" t="s">
        <v>41</v>
      </c>
      <c r="D119" s="732">
        <f t="shared" si="24"/>
        <v>1084131.21</v>
      </c>
      <c r="E119" s="732">
        <f t="shared" si="24"/>
        <v>1076261.75</v>
      </c>
      <c r="F119" s="732">
        <f t="shared" si="24"/>
        <v>1104327.17</v>
      </c>
      <c r="G119" s="732">
        <f t="shared" si="24"/>
        <v>1491427.7719826002</v>
      </c>
      <c r="H119" s="732">
        <f t="shared" si="24"/>
        <v>1835361.2005144965</v>
      </c>
      <c r="I119" s="732">
        <f t="shared" si="24"/>
        <v>2066281.6301566672</v>
      </c>
      <c r="J119" s="732">
        <f t="shared" si="24"/>
        <v>2092826.2982450004</v>
      </c>
      <c r="K119" s="732">
        <f t="shared" si="24"/>
        <v>1891699.7099916672</v>
      </c>
      <c r="L119" s="732">
        <f t="shared" si="24"/>
        <v>1861576.7366233342</v>
      </c>
      <c r="M119" s="732">
        <f t="shared" si="24"/>
        <v>1632569.7247583331</v>
      </c>
      <c r="N119" s="732">
        <f t="shared" si="24"/>
        <v>1411925.1257483335</v>
      </c>
      <c r="O119" s="732">
        <f t="shared" si="24"/>
        <v>1194259.85656</v>
      </c>
      <c r="P119" s="732">
        <f t="shared" si="17"/>
        <v>18742648.18458043</v>
      </c>
      <c r="Q119" s="732"/>
    </row>
    <row r="120" spans="1:17" x14ac:dyDescent="0.2">
      <c r="B120" s="709" t="s">
        <v>350</v>
      </c>
      <c r="C120" s="709">
        <v>85</v>
      </c>
      <c r="D120" s="732">
        <f t="shared" ref="D120:O122" si="25">D105*D44</f>
        <v>718072.78200000001</v>
      </c>
      <c r="E120" s="732">
        <f t="shared" si="25"/>
        <v>664389.50499999989</v>
      </c>
      <c r="F120" s="732">
        <f t="shared" si="25"/>
        <v>792053.55200000014</v>
      </c>
      <c r="G120" s="732">
        <f t="shared" si="25"/>
        <v>1247398.6413776504</v>
      </c>
      <c r="H120" s="732">
        <f t="shared" si="25"/>
        <v>1574666.7370731581</v>
      </c>
      <c r="I120" s="732">
        <f t="shared" si="25"/>
        <v>1824018.039844445</v>
      </c>
      <c r="J120" s="732">
        <f t="shared" si="25"/>
        <v>1839749.8763305556</v>
      </c>
      <c r="K120" s="732">
        <f t="shared" si="25"/>
        <v>1507660.5215000003</v>
      </c>
      <c r="L120" s="732">
        <f t="shared" si="25"/>
        <v>1646563.0827701397</v>
      </c>
      <c r="M120" s="732">
        <f t="shared" si="25"/>
        <v>1280908.2924624993</v>
      </c>
      <c r="N120" s="732">
        <f t="shared" si="25"/>
        <v>1048501.8270722225</v>
      </c>
      <c r="O120" s="732">
        <f t="shared" si="25"/>
        <v>709740.74400000006</v>
      </c>
      <c r="P120" s="732">
        <f t="shared" si="17"/>
        <v>14853723.601430671</v>
      </c>
      <c r="Q120" s="732"/>
    </row>
    <row r="121" spans="1:17" x14ac:dyDescent="0.2">
      <c r="B121" s="709" t="s">
        <v>351</v>
      </c>
      <c r="C121" s="709">
        <v>86</v>
      </c>
      <c r="D121" s="732">
        <f t="shared" si="25"/>
        <v>208746.55599999998</v>
      </c>
      <c r="E121" s="732">
        <f t="shared" si="25"/>
        <v>193052.79699999999</v>
      </c>
      <c r="F121" s="732">
        <f t="shared" si="25"/>
        <v>349738.82313291577</v>
      </c>
      <c r="G121" s="732">
        <f t="shared" si="25"/>
        <v>748418.3316488011</v>
      </c>
      <c r="H121" s="732">
        <f t="shared" si="25"/>
        <v>1053160.6446488607</v>
      </c>
      <c r="I121" s="732">
        <f t="shared" si="25"/>
        <v>1238732.3062024668</v>
      </c>
      <c r="J121" s="732">
        <f t="shared" si="25"/>
        <v>1319052.7538689002</v>
      </c>
      <c r="K121" s="732">
        <f t="shared" si="25"/>
        <v>1018602.2858354169</v>
      </c>
      <c r="L121" s="732">
        <f t="shared" si="25"/>
        <v>1113296.7854760007</v>
      </c>
      <c r="M121" s="732">
        <f t="shared" si="25"/>
        <v>877696.23489003268</v>
      </c>
      <c r="N121" s="732">
        <f t="shared" si="25"/>
        <v>626879.27873361972</v>
      </c>
      <c r="O121" s="732">
        <f t="shared" si="25"/>
        <v>341695.03224332497</v>
      </c>
      <c r="P121" s="732">
        <f t="shared" si="17"/>
        <v>9089071.8296803404</v>
      </c>
      <c r="Q121" s="732"/>
    </row>
    <row r="122" spans="1:17" x14ac:dyDescent="0.2">
      <c r="B122" s="718" t="s">
        <v>372</v>
      </c>
      <c r="C122" s="718">
        <v>87</v>
      </c>
      <c r="D122" s="732">
        <f t="shared" si="25"/>
        <v>1205163.1340000001</v>
      </c>
      <c r="E122" s="732">
        <f t="shared" si="25"/>
        <v>1191232.98</v>
      </c>
      <c r="F122" s="732">
        <f t="shared" si="25"/>
        <v>1297454.0249999999</v>
      </c>
      <c r="G122" s="732">
        <f t="shared" si="25"/>
        <v>1954156.1827943334</v>
      </c>
      <c r="H122" s="732">
        <f t="shared" si="25"/>
        <v>2372659.1357875052</v>
      </c>
      <c r="I122" s="732">
        <f t="shared" si="25"/>
        <v>2759363.0271833334</v>
      </c>
      <c r="J122" s="732">
        <f t="shared" si="25"/>
        <v>2660893.212047223</v>
      </c>
      <c r="K122" s="732">
        <f t="shared" si="25"/>
        <v>2419309.425166667</v>
      </c>
      <c r="L122" s="732">
        <f t="shared" si="25"/>
        <v>2435102.1989916675</v>
      </c>
      <c r="M122" s="732">
        <f t="shared" si="25"/>
        <v>2110374.4265055545</v>
      </c>
      <c r="N122" s="732">
        <f t="shared" si="25"/>
        <v>1635960.537927778</v>
      </c>
      <c r="O122" s="732">
        <f t="shared" si="25"/>
        <v>1430551.095</v>
      </c>
      <c r="P122" s="732">
        <f t="shared" si="17"/>
        <v>23472219.380404059</v>
      </c>
      <c r="Q122" s="732"/>
    </row>
    <row r="123" spans="1:17" x14ac:dyDescent="0.2">
      <c r="B123" s="709" t="s">
        <v>444</v>
      </c>
      <c r="C123" s="719" t="s">
        <v>33</v>
      </c>
      <c r="D123" s="732">
        <f t="shared" ref="D123:O123" si="26">D108*D42</f>
        <v>76.98</v>
      </c>
      <c r="E123" s="732">
        <f t="shared" si="26"/>
        <v>27.25</v>
      </c>
      <c r="F123" s="732">
        <f t="shared" si="26"/>
        <v>231.45618290249993</v>
      </c>
      <c r="G123" s="732">
        <f t="shared" si="26"/>
        <v>1980.6509168667003</v>
      </c>
      <c r="H123" s="732">
        <f t="shared" si="26"/>
        <v>3340.4127663649833</v>
      </c>
      <c r="I123" s="732">
        <f t="shared" si="26"/>
        <v>4377.8945014111114</v>
      </c>
      <c r="J123" s="732">
        <f t="shared" si="26"/>
        <v>2627.7025658500002</v>
      </c>
      <c r="K123" s="732">
        <f t="shared" si="26"/>
        <v>3852.4195264166669</v>
      </c>
      <c r="L123" s="732">
        <f t="shared" si="26"/>
        <v>2824.0958210777785</v>
      </c>
      <c r="M123" s="732">
        <f t="shared" si="26"/>
        <v>2000.072557733333</v>
      </c>
      <c r="N123" s="732">
        <f t="shared" si="26"/>
        <v>653.12450639444455</v>
      </c>
      <c r="O123" s="732">
        <f t="shared" si="26"/>
        <v>37.518627625000008</v>
      </c>
      <c r="P123" s="732">
        <f t="shared" si="17"/>
        <v>22029.577972642517</v>
      </c>
      <c r="Q123" s="732"/>
    </row>
    <row r="124" spans="1:17" x14ac:dyDescent="0.2">
      <c r="B124" s="709" t="s">
        <v>353</v>
      </c>
      <c r="C124" s="709">
        <v>31</v>
      </c>
      <c r="D124" s="732">
        <f t="shared" ref="D124:O125" si="27">D109*D47</f>
        <v>395133.00599999999</v>
      </c>
      <c r="E124" s="732">
        <f t="shared" si="27"/>
        <v>415618.07</v>
      </c>
      <c r="F124" s="732">
        <f t="shared" si="27"/>
        <v>528876.40532386734</v>
      </c>
      <c r="G124" s="732">
        <f t="shared" si="27"/>
        <v>1002570.5431970749</v>
      </c>
      <c r="H124" s="732">
        <f t="shared" si="27"/>
        <v>1565742.5791902922</v>
      </c>
      <c r="I124" s="732">
        <f t="shared" si="27"/>
        <v>1968518.1811693562</v>
      </c>
      <c r="J124" s="732">
        <f t="shared" si="27"/>
        <v>2182470.9780308004</v>
      </c>
      <c r="K124" s="732">
        <f t="shared" si="27"/>
        <v>1762530.0983846672</v>
      </c>
      <c r="L124" s="732">
        <f t="shared" si="27"/>
        <v>1688866.483067157</v>
      </c>
      <c r="M124" s="732">
        <f t="shared" si="27"/>
        <v>1107521.8541113324</v>
      </c>
      <c r="N124" s="732">
        <f t="shared" si="27"/>
        <v>688066.15033634473</v>
      </c>
      <c r="O124" s="732">
        <f t="shared" si="27"/>
        <v>452279.61674187501</v>
      </c>
      <c r="P124" s="732">
        <f t="shared" si="17"/>
        <v>13758193.965552768</v>
      </c>
      <c r="Q124" s="732"/>
    </row>
    <row r="125" spans="1:17" s="739" customFormat="1" x14ac:dyDescent="0.2">
      <c r="A125" s="709"/>
      <c r="B125" s="718" t="s">
        <v>354</v>
      </c>
      <c r="C125" s="718">
        <v>41</v>
      </c>
      <c r="D125" s="732">
        <f t="shared" si="27"/>
        <v>715686.64599999995</v>
      </c>
      <c r="E125" s="732">
        <f t="shared" si="27"/>
        <v>723322.54399999999</v>
      </c>
      <c r="F125" s="732">
        <f t="shared" si="27"/>
        <v>721587.85899999994</v>
      </c>
      <c r="G125" s="732">
        <f t="shared" si="27"/>
        <v>893805.90293459292</v>
      </c>
      <c r="H125" s="732">
        <f t="shared" si="27"/>
        <v>900037.00395687518</v>
      </c>
      <c r="I125" s="732">
        <f t="shared" si="27"/>
        <v>967791.45736648887</v>
      </c>
      <c r="J125" s="732">
        <f t="shared" si="27"/>
        <v>979284.10775381129</v>
      </c>
      <c r="K125" s="732">
        <f t="shared" si="27"/>
        <v>886030.34358730563</v>
      </c>
      <c r="L125" s="732">
        <f t="shared" si="27"/>
        <v>920548.96862965578</v>
      </c>
      <c r="M125" s="732">
        <f t="shared" si="27"/>
        <v>819636.62209840002</v>
      </c>
      <c r="N125" s="732">
        <f t="shared" si="27"/>
        <v>727195.87270645006</v>
      </c>
      <c r="O125" s="732">
        <f t="shared" si="27"/>
        <v>208689.174</v>
      </c>
      <c r="P125" s="732">
        <f t="shared" si="17"/>
        <v>9463616.5020335801</v>
      </c>
      <c r="Q125" s="738"/>
    </row>
    <row r="126" spans="1:17" ht="15" x14ac:dyDescent="0.25">
      <c r="A126" s="739"/>
      <c r="B126" s="725" t="s">
        <v>366</v>
      </c>
      <c r="C126" s="740" t="s">
        <v>262</v>
      </c>
      <c r="D126" s="738">
        <f t="shared" ref="D126:O126" si="28">D111*D61</f>
        <v>1921334.9100000001</v>
      </c>
      <c r="E126" s="738">
        <f t="shared" si="28"/>
        <v>1869187.75</v>
      </c>
      <c r="F126" s="738">
        <f t="shared" si="28"/>
        <v>2009382.6104795441</v>
      </c>
      <c r="G126" s="738">
        <f t="shared" si="28"/>
        <v>3004825.9729260677</v>
      </c>
      <c r="H126" s="738">
        <f t="shared" si="28"/>
        <v>3809924.7517207661</v>
      </c>
      <c r="I126" s="738">
        <f t="shared" si="28"/>
        <v>4329460.1986111123</v>
      </c>
      <c r="J126" s="738">
        <f t="shared" si="28"/>
        <v>4378598.3768111113</v>
      </c>
      <c r="K126" s="738">
        <f t="shared" si="28"/>
        <v>3924099.8895694446</v>
      </c>
      <c r="L126" s="738">
        <f t="shared" si="28"/>
        <v>3817550.4852888915</v>
      </c>
      <c r="M126" s="738">
        <f t="shared" si="28"/>
        <v>3253044.1033999976</v>
      </c>
      <c r="N126" s="738">
        <f t="shared" si="28"/>
        <v>2670203.1353472224</v>
      </c>
      <c r="O126" s="738">
        <f t="shared" si="28"/>
        <v>2228392.6518999999</v>
      </c>
      <c r="P126" s="749">
        <f t="shared" si="17"/>
        <v>37216004.836054161</v>
      </c>
      <c r="Q126" s="738"/>
    </row>
    <row r="127" spans="1:17" x14ac:dyDescent="0.2">
      <c r="B127" s="709" t="s">
        <v>381</v>
      </c>
      <c r="C127" s="724"/>
      <c r="D127" s="750">
        <f t="shared" ref="D127:O127" si="29">SUM(D114:D126)</f>
        <v>32170176.373000003</v>
      </c>
      <c r="E127" s="750">
        <f t="shared" si="29"/>
        <v>31198947.054000005</v>
      </c>
      <c r="F127" s="750">
        <f t="shared" si="29"/>
        <v>42720060.238976665</v>
      </c>
      <c r="G127" s="750">
        <f t="shared" si="29"/>
        <v>79764079.040639967</v>
      </c>
      <c r="H127" s="750">
        <f t="shared" si="29"/>
        <v>118713087.10279313</v>
      </c>
      <c r="I127" s="750">
        <f t="shared" si="29"/>
        <v>143488053.67571861</v>
      </c>
      <c r="J127" s="750">
        <f t="shared" si="29"/>
        <v>152661207.13527939</v>
      </c>
      <c r="K127" s="750">
        <f t="shared" si="29"/>
        <v>123316917.7723808</v>
      </c>
      <c r="L127" s="750">
        <f t="shared" si="29"/>
        <v>124394636.76110621</v>
      </c>
      <c r="M127" s="750">
        <f t="shared" si="29"/>
        <v>87264604.432589635</v>
      </c>
      <c r="N127" s="750">
        <f t="shared" si="29"/>
        <v>59193211.646988705</v>
      </c>
      <c r="O127" s="750">
        <f t="shared" si="29"/>
        <v>38850868.341618478</v>
      </c>
      <c r="P127" s="732">
        <f t="shared" si="17"/>
        <v>1033735849.5750916</v>
      </c>
      <c r="Q127" s="732"/>
    </row>
    <row r="128" spans="1:17" s="718" customFormat="1" x14ac:dyDescent="0.2">
      <c r="A128" s="709"/>
      <c r="B128" s="709"/>
      <c r="C128" s="724"/>
      <c r="D128" s="732"/>
      <c r="E128" s="732"/>
      <c r="F128" s="732"/>
      <c r="G128" s="732"/>
      <c r="H128" s="732"/>
      <c r="I128" s="732"/>
      <c r="J128" s="732"/>
      <c r="K128" s="732"/>
      <c r="L128" s="732"/>
      <c r="M128" s="732"/>
      <c r="N128" s="732"/>
      <c r="O128" s="732"/>
      <c r="P128" s="732"/>
      <c r="Q128" s="721"/>
    </row>
    <row r="129" spans="1:17" s="718" customFormat="1" x14ac:dyDescent="0.2">
      <c r="B129" s="731" t="s">
        <v>382</v>
      </c>
      <c r="D129" s="721"/>
      <c r="E129" s="721"/>
      <c r="F129" s="721"/>
      <c r="G129" s="721"/>
      <c r="H129" s="721"/>
      <c r="I129" s="721"/>
      <c r="J129" s="721"/>
      <c r="K129" s="721"/>
      <c r="L129" s="721"/>
      <c r="M129" s="721"/>
      <c r="N129" s="721"/>
      <c r="O129" s="721"/>
      <c r="P129" s="721"/>
      <c r="Q129" s="721"/>
    </row>
    <row r="130" spans="1:17" s="718" customFormat="1" x14ac:dyDescent="0.2">
      <c r="B130" s="709" t="s">
        <v>7</v>
      </c>
      <c r="C130" s="719">
        <v>23</v>
      </c>
      <c r="D130" s="721">
        <f t="shared" ref="D130:O130" si="30">D114-D9</f>
        <v>0</v>
      </c>
      <c r="E130" s="721">
        <f t="shared" si="30"/>
        <v>0</v>
      </c>
      <c r="F130" s="721">
        <f t="shared" si="30"/>
        <v>1612737.2201452293</v>
      </c>
      <c r="G130" s="721">
        <f t="shared" si="30"/>
        <v>-250988.15269972384</v>
      </c>
      <c r="H130" s="721">
        <f t="shared" si="30"/>
        <v>1978705.2702488005</v>
      </c>
      <c r="I130" s="721">
        <f t="shared" si="30"/>
        <v>-3545106.2484840453</v>
      </c>
      <c r="J130" s="721">
        <f t="shared" si="30"/>
        <v>10349646.235481814</v>
      </c>
      <c r="K130" s="721">
        <f t="shared" si="30"/>
        <v>-5801929.3138459921</v>
      </c>
      <c r="L130" s="721">
        <f t="shared" si="30"/>
        <v>302564.95149619877</v>
      </c>
      <c r="M130" s="721">
        <f t="shared" si="30"/>
        <v>2336261.0261973441</v>
      </c>
      <c r="N130" s="721">
        <f t="shared" si="30"/>
        <v>7375270.5608480088</v>
      </c>
      <c r="O130" s="721">
        <f t="shared" si="30"/>
        <v>1432745.9976984002</v>
      </c>
      <c r="P130" s="721">
        <f>SUM(D130:O130)</f>
        <v>15789907.547086034</v>
      </c>
      <c r="Q130" s="721"/>
    </row>
    <row r="131" spans="1:17" s="718" customFormat="1" x14ac:dyDescent="0.2">
      <c r="B131" s="718" t="s">
        <v>348</v>
      </c>
      <c r="C131" s="724">
        <v>31</v>
      </c>
      <c r="D131" s="721">
        <f t="shared" ref="D131:O132" si="31">D115-D11</f>
        <v>0</v>
      </c>
      <c r="E131" s="721">
        <f t="shared" si="31"/>
        <v>0</v>
      </c>
      <c r="F131" s="721">
        <f t="shared" si="31"/>
        <v>0</v>
      </c>
      <c r="G131" s="721">
        <f t="shared" si="31"/>
        <v>-49132.243670521304</v>
      </c>
      <c r="H131" s="721">
        <f t="shared" si="31"/>
        <v>469996.41835189238</v>
      </c>
      <c r="I131" s="721">
        <f t="shared" si="31"/>
        <v>-926322.31178950891</v>
      </c>
      <c r="J131" s="721">
        <f t="shared" si="31"/>
        <v>2725526.7334442809</v>
      </c>
      <c r="K131" s="721">
        <f t="shared" si="31"/>
        <v>-1461243.7829480208</v>
      </c>
      <c r="L131" s="721">
        <f t="shared" si="31"/>
        <v>75908.50943941623</v>
      </c>
      <c r="M131" s="721">
        <f t="shared" si="31"/>
        <v>524494.81463926658</v>
      </c>
      <c r="N131" s="721">
        <f t="shared" si="31"/>
        <v>1385955.62272273</v>
      </c>
      <c r="O131" s="721">
        <f t="shared" si="31"/>
        <v>0</v>
      </c>
      <c r="P131" s="721">
        <f t="shared" ref="P131:P143" si="32">SUM(D131:O131)</f>
        <v>2745183.7601895351</v>
      </c>
      <c r="Q131" s="721"/>
    </row>
    <row r="132" spans="1:17" s="718" customFormat="1" x14ac:dyDescent="0.2">
      <c r="B132" s="718" t="s">
        <v>349</v>
      </c>
      <c r="C132" s="718">
        <v>41</v>
      </c>
      <c r="D132" s="721">
        <f t="shared" si="31"/>
        <v>0</v>
      </c>
      <c r="E132" s="721">
        <f t="shared" si="31"/>
        <v>0</v>
      </c>
      <c r="F132" s="721">
        <f t="shared" si="31"/>
        <v>83451.935712198727</v>
      </c>
      <c r="G132" s="721">
        <f t="shared" si="31"/>
        <v>-13619.737042303197</v>
      </c>
      <c r="H132" s="721">
        <f t="shared" si="31"/>
        <v>100335.63231131621</v>
      </c>
      <c r="I132" s="721">
        <f t="shared" si="31"/>
        <v>-181593.14883248787</v>
      </c>
      <c r="J132" s="721">
        <f t="shared" si="31"/>
        <v>538828.02042714506</v>
      </c>
      <c r="K132" s="721">
        <f t="shared" si="31"/>
        <v>-292406.89414833207</v>
      </c>
      <c r="L132" s="721">
        <f t="shared" si="31"/>
        <v>17234.839983079582</v>
      </c>
      <c r="M132" s="721">
        <f t="shared" si="31"/>
        <v>133095.68600166403</v>
      </c>
      <c r="N132" s="721">
        <f t="shared" si="31"/>
        <v>493546.36856280081</v>
      </c>
      <c r="O132" s="721">
        <f t="shared" si="31"/>
        <v>114406.85872000013</v>
      </c>
      <c r="P132" s="721">
        <f t="shared" si="32"/>
        <v>993279.56169508141</v>
      </c>
      <c r="Q132" s="721"/>
    </row>
    <row r="133" spans="1:17" s="718" customFormat="1" x14ac:dyDescent="0.2">
      <c r="B133" s="709" t="s">
        <v>359</v>
      </c>
      <c r="C133" s="724" t="s">
        <v>35</v>
      </c>
      <c r="D133" s="721">
        <f t="shared" ref="D133:O135" si="33">D117-D23</f>
        <v>0</v>
      </c>
      <c r="E133" s="721">
        <f t="shared" si="33"/>
        <v>0</v>
      </c>
      <c r="F133" s="721">
        <f t="shared" si="33"/>
        <v>0</v>
      </c>
      <c r="G133" s="721">
        <f t="shared" si="33"/>
        <v>-1154.9102815375663</v>
      </c>
      <c r="H133" s="721">
        <f t="shared" si="33"/>
        <v>7534.3560298057273</v>
      </c>
      <c r="I133" s="721">
        <f t="shared" si="33"/>
        <v>-14812.688859999878</v>
      </c>
      <c r="J133" s="721">
        <f t="shared" si="33"/>
        <v>45444.515849211253</v>
      </c>
      <c r="K133" s="721">
        <f t="shared" si="33"/>
        <v>-24527.271445111139</v>
      </c>
      <c r="L133" s="721">
        <f t="shared" si="33"/>
        <v>1641.4171578448731</v>
      </c>
      <c r="M133" s="721">
        <f t="shared" si="33"/>
        <v>11023.833773333114</v>
      </c>
      <c r="N133" s="721">
        <f t="shared" si="33"/>
        <v>31592.199304125039</v>
      </c>
      <c r="O133" s="721">
        <f t="shared" si="33"/>
        <v>0</v>
      </c>
      <c r="P133" s="721">
        <f t="shared" si="32"/>
        <v>56741.451527671423</v>
      </c>
      <c r="Q133" s="721"/>
    </row>
    <row r="134" spans="1:17" s="718" customFormat="1" x14ac:dyDescent="0.2">
      <c r="B134" s="709" t="s">
        <v>360</v>
      </c>
      <c r="C134" s="724" t="s">
        <v>37</v>
      </c>
      <c r="D134" s="721">
        <f t="shared" si="33"/>
        <v>0</v>
      </c>
      <c r="E134" s="721">
        <f t="shared" si="33"/>
        <v>0</v>
      </c>
      <c r="F134" s="721">
        <f t="shared" si="33"/>
        <v>0</v>
      </c>
      <c r="G134" s="721">
        <f t="shared" si="33"/>
        <v>-2038.4594439256471</v>
      </c>
      <c r="H134" s="721">
        <f t="shared" si="33"/>
        <v>13372.328193003777</v>
      </c>
      <c r="I134" s="721">
        <f t="shared" si="33"/>
        <v>-27321.234350666404</v>
      </c>
      <c r="J134" s="721">
        <f t="shared" si="33"/>
        <v>80658.56942366669</v>
      </c>
      <c r="K134" s="721">
        <f t="shared" si="33"/>
        <v>-31232.019793333253</v>
      </c>
      <c r="L134" s="721">
        <f t="shared" si="33"/>
        <v>2425.8263617502525</v>
      </c>
      <c r="M134" s="721">
        <f t="shared" si="33"/>
        <v>18404.69219416636</v>
      </c>
      <c r="N134" s="721">
        <f t="shared" si="33"/>
        <v>75780.874172666809</v>
      </c>
      <c r="O134" s="721">
        <f t="shared" si="33"/>
        <v>19482.604127250146</v>
      </c>
      <c r="P134" s="721">
        <f t="shared" si="32"/>
        <v>149533.18088457873</v>
      </c>
      <c r="Q134" s="721"/>
    </row>
    <row r="135" spans="1:17" s="718" customFormat="1" x14ac:dyDescent="0.2">
      <c r="B135" s="709" t="s">
        <v>361</v>
      </c>
      <c r="C135" s="724" t="s">
        <v>41</v>
      </c>
      <c r="D135" s="721">
        <f t="shared" si="33"/>
        <v>0</v>
      </c>
      <c r="E135" s="721">
        <f t="shared" si="33"/>
        <v>0</v>
      </c>
      <c r="F135" s="721">
        <f t="shared" si="33"/>
        <v>0</v>
      </c>
      <c r="G135" s="721">
        <f t="shared" si="33"/>
        <v>-2789.2480173998047</v>
      </c>
      <c r="H135" s="721">
        <f t="shared" si="33"/>
        <v>23969.140514496481</v>
      </c>
      <c r="I135" s="721">
        <f t="shared" si="33"/>
        <v>-48393.009843332926</v>
      </c>
      <c r="J135" s="721">
        <f t="shared" si="33"/>
        <v>141366.42824500031</v>
      </c>
      <c r="K135" s="721">
        <f t="shared" si="33"/>
        <v>-69394.240008332999</v>
      </c>
      <c r="L135" s="721">
        <f t="shared" si="33"/>
        <v>4134.0866233343259</v>
      </c>
      <c r="M135" s="721">
        <f t="shared" si="33"/>
        <v>32708.84475833294</v>
      </c>
      <c r="N135" s="721">
        <f t="shared" si="33"/>
        <v>133235.27574833366</v>
      </c>
      <c r="O135" s="721">
        <f t="shared" si="33"/>
        <v>26218.906560000032</v>
      </c>
      <c r="P135" s="721">
        <f t="shared" si="32"/>
        <v>241056.18458043202</v>
      </c>
      <c r="Q135" s="721"/>
    </row>
    <row r="136" spans="1:17" s="718" customFormat="1" x14ac:dyDescent="0.2">
      <c r="B136" s="718" t="s">
        <v>350</v>
      </c>
      <c r="C136" s="718">
        <v>85</v>
      </c>
      <c r="D136" s="721">
        <f t="shared" ref="D136:O138" si="34">D120-D14</f>
        <v>0</v>
      </c>
      <c r="E136" s="721">
        <f t="shared" si="34"/>
        <v>0</v>
      </c>
      <c r="F136" s="721">
        <f t="shared" si="34"/>
        <v>0</v>
      </c>
      <c r="G136" s="721">
        <f t="shared" si="34"/>
        <v>-3357.6916223496664</v>
      </c>
      <c r="H136" s="721">
        <f t="shared" si="34"/>
        <v>23354.762073158054</v>
      </c>
      <c r="I136" s="721">
        <f t="shared" si="34"/>
        <v>-42424.168155555148</v>
      </c>
      <c r="J136" s="721">
        <f t="shared" si="34"/>
        <v>129233.93733055564</v>
      </c>
      <c r="K136" s="721">
        <f t="shared" si="34"/>
        <v>-72076.016499999911</v>
      </c>
      <c r="L136" s="721">
        <f t="shared" si="34"/>
        <v>4303.9467701397371</v>
      </c>
      <c r="M136" s="721">
        <f t="shared" si="34"/>
        <v>37253.156462499406</v>
      </c>
      <c r="N136" s="721">
        <f t="shared" si="34"/>
        <v>128266.94107222243</v>
      </c>
      <c r="O136" s="721">
        <f t="shared" si="34"/>
        <v>0</v>
      </c>
      <c r="P136" s="721">
        <f t="shared" si="32"/>
        <v>204554.86743067054</v>
      </c>
      <c r="Q136" s="721"/>
    </row>
    <row r="137" spans="1:17" s="718" customFormat="1" x14ac:dyDescent="0.2">
      <c r="B137" s="718" t="s">
        <v>351</v>
      </c>
      <c r="C137" s="718">
        <v>86</v>
      </c>
      <c r="D137" s="721">
        <f t="shared" si="34"/>
        <v>0</v>
      </c>
      <c r="E137" s="721">
        <f t="shared" si="34"/>
        <v>0</v>
      </c>
      <c r="F137" s="721">
        <f t="shared" si="34"/>
        <v>29451.096132915758</v>
      </c>
      <c r="G137" s="721">
        <f t="shared" si="34"/>
        <v>-3921.6523511989508</v>
      </c>
      <c r="H137" s="721">
        <f t="shared" si="34"/>
        <v>26133.256648860639</v>
      </c>
      <c r="I137" s="721">
        <f t="shared" si="34"/>
        <v>-43793.732797533041</v>
      </c>
      <c r="J137" s="721">
        <f t="shared" si="34"/>
        <v>132309.34486890025</v>
      </c>
      <c r="K137" s="721">
        <f t="shared" si="34"/>
        <v>-78143.672164583229</v>
      </c>
      <c r="L137" s="721">
        <f t="shared" si="34"/>
        <v>4525.6234760007355</v>
      </c>
      <c r="M137" s="721">
        <f t="shared" si="34"/>
        <v>38802.506890032557</v>
      </c>
      <c r="N137" s="721">
        <f t="shared" si="34"/>
        <v>149640.25573361968</v>
      </c>
      <c r="O137" s="721">
        <f t="shared" si="34"/>
        <v>33843.728243324964</v>
      </c>
      <c r="P137" s="721">
        <f t="shared" si="32"/>
        <v>288846.75468033936</v>
      </c>
      <c r="Q137" s="721"/>
    </row>
    <row r="138" spans="1:17" s="718" customFormat="1" x14ac:dyDescent="0.2">
      <c r="B138" s="718" t="s">
        <v>372</v>
      </c>
      <c r="C138" s="718">
        <v>87</v>
      </c>
      <c r="D138" s="721">
        <f t="shared" si="34"/>
        <v>0</v>
      </c>
      <c r="E138" s="721">
        <f t="shared" si="34"/>
        <v>0</v>
      </c>
      <c r="F138" s="721">
        <f t="shared" si="34"/>
        <v>0</v>
      </c>
      <c r="G138" s="721">
        <f t="shared" si="34"/>
        <v>-4170.7142056664452</v>
      </c>
      <c r="H138" s="721">
        <f t="shared" si="34"/>
        <v>30786.784787505399</v>
      </c>
      <c r="I138" s="721">
        <f t="shared" si="34"/>
        <v>-58114.454816666432</v>
      </c>
      <c r="J138" s="721">
        <f t="shared" si="34"/>
        <v>172819.80504722288</v>
      </c>
      <c r="K138" s="721">
        <f t="shared" si="34"/>
        <v>-86736.336833333131</v>
      </c>
      <c r="L138" s="721">
        <f t="shared" si="34"/>
        <v>5157.8219916676171</v>
      </c>
      <c r="M138" s="721">
        <f t="shared" si="34"/>
        <v>44123.510505554499</v>
      </c>
      <c r="N138" s="721">
        <f t="shared" si="34"/>
        <v>150250.33592777792</v>
      </c>
      <c r="O138" s="721">
        <f t="shared" si="34"/>
        <v>0</v>
      </c>
      <c r="P138" s="721">
        <f t="shared" si="32"/>
        <v>254116.75240406231</v>
      </c>
      <c r="Q138" s="721"/>
    </row>
    <row r="139" spans="1:17" s="718" customFormat="1" x14ac:dyDescent="0.2">
      <c r="B139" s="709" t="s">
        <v>444</v>
      </c>
      <c r="C139" s="719" t="s">
        <v>33</v>
      </c>
      <c r="D139" s="721">
        <f t="shared" ref="D139:O139" si="35">D123-D13</f>
        <v>0</v>
      </c>
      <c r="E139" s="721">
        <f t="shared" si="35"/>
        <v>0</v>
      </c>
      <c r="F139" s="721">
        <f t="shared" si="35"/>
        <v>12.586182902499928</v>
      </c>
      <c r="G139" s="721">
        <f t="shared" si="35"/>
        <v>-1.9790831332998096</v>
      </c>
      <c r="H139" s="721">
        <f t="shared" si="35"/>
        <v>16.652766364983108</v>
      </c>
      <c r="I139" s="721">
        <f t="shared" si="35"/>
        <v>-32.315498588888659</v>
      </c>
      <c r="J139" s="721">
        <f t="shared" si="35"/>
        <v>96.832565850000265</v>
      </c>
      <c r="K139" s="721">
        <f t="shared" si="35"/>
        <v>-53.560473583333078</v>
      </c>
      <c r="L139" s="721">
        <f t="shared" si="35"/>
        <v>2.7558210777783643</v>
      </c>
      <c r="M139" s="721">
        <f t="shared" si="35"/>
        <v>19.422557733332951</v>
      </c>
      <c r="N139" s="721">
        <f t="shared" si="35"/>
        <v>57.214506394444584</v>
      </c>
      <c r="O139" s="721">
        <f t="shared" si="35"/>
        <v>10.078627625000006</v>
      </c>
      <c r="P139" s="721">
        <f t="shared" si="32"/>
        <v>127.68797264251766</v>
      </c>
      <c r="Q139" s="721"/>
    </row>
    <row r="140" spans="1:17" s="718" customFormat="1" x14ac:dyDescent="0.2">
      <c r="B140" s="718" t="s">
        <v>353</v>
      </c>
      <c r="C140" s="718">
        <v>31</v>
      </c>
      <c r="D140" s="721">
        <f t="shared" ref="D140:O141" si="36">D124-D17</f>
        <v>0</v>
      </c>
      <c r="E140" s="721">
        <f t="shared" si="36"/>
        <v>0</v>
      </c>
      <c r="F140" s="721">
        <f t="shared" si="36"/>
        <v>28029.429323867313</v>
      </c>
      <c r="G140" s="721">
        <f t="shared" si="36"/>
        <v>-4423.2508029250894</v>
      </c>
      <c r="H140" s="721">
        <f t="shared" si="36"/>
        <v>37335.502190292114</v>
      </c>
      <c r="I140" s="721">
        <f t="shared" si="36"/>
        <v>-72580.609830643982</v>
      </c>
      <c r="J140" s="721">
        <f t="shared" si="36"/>
        <v>217679.60803080024</v>
      </c>
      <c r="K140" s="721">
        <f t="shared" si="36"/>
        <v>-120403.94461533288</v>
      </c>
      <c r="L140" s="721">
        <f t="shared" si="36"/>
        <v>6206.1090671569109</v>
      </c>
      <c r="M140" s="721">
        <f t="shared" si="36"/>
        <v>43603.642111332389</v>
      </c>
      <c r="N140" s="721">
        <f t="shared" si="36"/>
        <v>128274.92333634477</v>
      </c>
      <c r="O140" s="721">
        <f t="shared" si="36"/>
        <v>22525.732741874992</v>
      </c>
      <c r="P140" s="721">
        <f t="shared" si="32"/>
        <v>286247.14155276679</v>
      </c>
      <c r="Q140" s="721"/>
    </row>
    <row r="141" spans="1:17" s="725" customFormat="1" x14ac:dyDescent="0.2">
      <c r="A141" s="718"/>
      <c r="B141" s="718" t="s">
        <v>354</v>
      </c>
      <c r="C141" s="718">
        <v>41</v>
      </c>
      <c r="D141" s="721">
        <f t="shared" si="36"/>
        <v>0</v>
      </c>
      <c r="E141" s="721">
        <f t="shared" si="36"/>
        <v>0</v>
      </c>
      <c r="F141" s="721">
        <f t="shared" si="36"/>
        <v>0</v>
      </c>
      <c r="G141" s="721">
        <f t="shared" si="36"/>
        <v>-1212.4000654071569</v>
      </c>
      <c r="H141" s="721">
        <f t="shared" si="36"/>
        <v>6173.569956875057</v>
      </c>
      <c r="I141" s="721">
        <f t="shared" si="36"/>
        <v>-10529.495633511106</v>
      </c>
      <c r="J141" s="721">
        <f t="shared" si="36"/>
        <v>32848.186753811315</v>
      </c>
      <c r="K141" s="721">
        <f t="shared" si="36"/>
        <v>-15047.679412694415</v>
      </c>
      <c r="L141" s="721">
        <f t="shared" si="36"/>
        <v>1294.3416296557989</v>
      </c>
      <c r="M141" s="721">
        <f t="shared" si="36"/>
        <v>8190.5620983999688</v>
      </c>
      <c r="N141" s="721">
        <f t="shared" si="36"/>
        <v>27078.713706450071</v>
      </c>
      <c r="O141" s="721">
        <f t="shared" si="36"/>
        <v>0</v>
      </c>
      <c r="P141" s="721">
        <f t="shared" si="32"/>
        <v>48795.799033579533</v>
      </c>
      <c r="Q141" s="729"/>
    </row>
    <row r="142" spans="1:17" s="718" customFormat="1" ht="15" x14ac:dyDescent="0.25">
      <c r="A142" s="725"/>
      <c r="B142" s="725" t="s">
        <v>366</v>
      </c>
      <c r="C142" s="740" t="s">
        <v>262</v>
      </c>
      <c r="D142" s="729">
        <f t="shared" ref="D142:O142" si="37">D126-D30</f>
        <v>0</v>
      </c>
      <c r="E142" s="729">
        <f t="shared" si="37"/>
        <v>0</v>
      </c>
      <c r="F142" s="729">
        <f t="shared" si="37"/>
        <v>66188.620479544159</v>
      </c>
      <c r="G142" s="729">
        <f t="shared" si="37"/>
        <v>-9685.5870739324018</v>
      </c>
      <c r="H142" s="729">
        <f t="shared" si="37"/>
        <v>64662.131720765959</v>
      </c>
      <c r="I142" s="729">
        <f t="shared" si="37"/>
        <v>-107118.21138888784</v>
      </c>
      <c r="J142" s="729">
        <f t="shared" si="37"/>
        <v>346170.63681111159</v>
      </c>
      <c r="K142" s="729">
        <f t="shared" si="37"/>
        <v>-190798.38043055497</v>
      </c>
      <c r="L142" s="729">
        <f t="shared" si="37"/>
        <v>11139.555288891308</v>
      </c>
      <c r="M142" s="729">
        <f t="shared" si="37"/>
        <v>96675.693399997894</v>
      </c>
      <c r="N142" s="729">
        <f t="shared" si="37"/>
        <v>352801.09534722241</v>
      </c>
      <c r="O142" s="729">
        <f t="shared" si="37"/>
        <v>91507.601900000125</v>
      </c>
      <c r="P142" s="728">
        <f t="shared" si="32"/>
        <v>721543.15605415823</v>
      </c>
      <c r="Q142" s="729"/>
    </row>
    <row r="143" spans="1:17" s="718" customFormat="1" x14ac:dyDescent="0.2">
      <c r="B143" s="718" t="s">
        <v>383</v>
      </c>
      <c r="C143" s="719"/>
      <c r="D143" s="730">
        <f t="shared" ref="D143:O143" si="38">SUM(D130:D142)</f>
        <v>0</v>
      </c>
      <c r="E143" s="730">
        <f t="shared" si="38"/>
        <v>0</v>
      </c>
      <c r="F143" s="730">
        <f t="shared" si="38"/>
        <v>1819870.8879766576</v>
      </c>
      <c r="G143" s="730">
        <f t="shared" si="38"/>
        <v>-346496.02636002435</v>
      </c>
      <c r="H143" s="730">
        <f t="shared" si="38"/>
        <v>2782375.8057931373</v>
      </c>
      <c r="I143" s="730">
        <f t="shared" si="38"/>
        <v>-5078141.6302814269</v>
      </c>
      <c r="J143" s="730">
        <f t="shared" si="38"/>
        <v>14912628.854279367</v>
      </c>
      <c r="K143" s="730">
        <f t="shared" si="38"/>
        <v>-8243993.1126192044</v>
      </c>
      <c r="L143" s="730">
        <f t="shared" si="38"/>
        <v>436539.78510621394</v>
      </c>
      <c r="M143" s="730">
        <f t="shared" si="38"/>
        <v>3324657.3915896569</v>
      </c>
      <c r="N143" s="730">
        <f t="shared" si="38"/>
        <v>10431750.380988697</v>
      </c>
      <c r="O143" s="730">
        <f t="shared" si="38"/>
        <v>1740741.5086184754</v>
      </c>
      <c r="P143" s="721">
        <f t="shared" si="32"/>
        <v>21779933.845091544</v>
      </c>
      <c r="Q143" s="751"/>
    </row>
    <row r="144" spans="1:17" s="718" customFormat="1" x14ac:dyDescent="0.2">
      <c r="B144" s="718" t="s">
        <v>384</v>
      </c>
      <c r="C144" s="719"/>
      <c r="D144" s="742">
        <f t="shared" ref="D144:O144" si="39">IFERROR(D143/D31,0)</f>
        <v>0</v>
      </c>
      <c r="E144" s="742">
        <f t="shared" si="39"/>
        <v>0</v>
      </c>
      <c r="F144" s="742">
        <f t="shared" si="39"/>
        <v>3.3958520352696871E-2</v>
      </c>
      <c r="G144" s="742">
        <f t="shared" si="39"/>
        <v>-3.7072958643154966E-3</v>
      </c>
      <c r="H144" s="742">
        <f t="shared" si="39"/>
        <v>2.1838351508207694E-2</v>
      </c>
      <c r="I144" s="742">
        <f t="shared" si="39"/>
        <v>-3.1415094925637481E-2</v>
      </c>
      <c r="J144" s="742">
        <f t="shared" si="39"/>
        <v>9.9857179787548295E-2</v>
      </c>
      <c r="K144" s="742">
        <f t="shared" si="39"/>
        <v>-5.7504365870454439E-2</v>
      </c>
      <c r="L144" s="742">
        <f t="shared" si="39"/>
        <v>3.1777382049537383E-3</v>
      </c>
      <c r="M144" s="742">
        <f t="shared" si="39"/>
        <v>3.4763531893776171E-2</v>
      </c>
      <c r="N144" s="742">
        <f t="shared" si="39"/>
        <v>0.17215570633871652</v>
      </c>
      <c r="O144" s="742">
        <f t="shared" si="39"/>
        <v>3.5946046897907244E-2</v>
      </c>
      <c r="P144" s="742">
        <f t="shared" ref="P144" si="40">SUM(D144:L144)</f>
        <v>6.6205033192999169E-2</v>
      </c>
      <c r="Q144" s="751"/>
    </row>
    <row r="145" spans="2:18" s="718" customFormat="1" x14ac:dyDescent="0.2">
      <c r="C145" s="719"/>
      <c r="D145" s="751"/>
      <c r="E145" s="751"/>
      <c r="F145" s="751"/>
      <c r="G145" s="751"/>
      <c r="H145" s="751"/>
      <c r="I145" s="751"/>
      <c r="J145" s="751"/>
      <c r="K145" s="751"/>
      <c r="L145" s="751"/>
      <c r="M145" s="751"/>
      <c r="N145" s="751"/>
      <c r="O145" s="751"/>
      <c r="P145" s="751"/>
      <c r="Q145" s="751"/>
    </row>
    <row r="146" spans="2:18" s="718" customFormat="1" x14ac:dyDescent="0.2">
      <c r="B146" s="731" t="s">
        <v>385</v>
      </c>
      <c r="C146" s="719"/>
      <c r="D146" s="751"/>
      <c r="E146" s="751"/>
      <c r="F146" s="751"/>
      <c r="G146" s="751"/>
      <c r="H146" s="751"/>
      <c r="I146" s="751"/>
      <c r="J146" s="751"/>
      <c r="K146" s="751"/>
      <c r="L146" s="751"/>
      <c r="M146" s="751"/>
      <c r="N146" s="751"/>
      <c r="O146" s="751"/>
      <c r="P146" s="751"/>
      <c r="Q146" s="721"/>
    </row>
    <row r="147" spans="2:18" s="718" customFormat="1" x14ac:dyDescent="0.2">
      <c r="B147" s="718" t="s">
        <v>386</v>
      </c>
      <c r="C147" s="719"/>
      <c r="D147" s="741">
        <v>0</v>
      </c>
      <c r="E147" s="741">
        <v>0</v>
      </c>
      <c r="F147" s="741">
        <v>1811812.5051385127</v>
      </c>
      <c r="G147" s="741">
        <v>-347119.28372423351</v>
      </c>
      <c r="H147" s="741">
        <v>3646431.0186053962</v>
      </c>
      <c r="I147" s="741">
        <v>-4961286.0856280923</v>
      </c>
      <c r="J147" s="741">
        <v>16245071.132224679</v>
      </c>
      <c r="K147" s="741">
        <v>-10094133.903440788</v>
      </c>
      <c r="L147" s="741">
        <v>630373.3332798481</v>
      </c>
      <c r="M147" s="741">
        <v>3139156.0031094402</v>
      </c>
      <c r="N147" s="741">
        <v>8688222.5962853134</v>
      </c>
      <c r="O147" s="741">
        <v>1709352.0919530019</v>
      </c>
      <c r="P147" s="721">
        <f>SUM(D147:O147)</f>
        <v>20467879.407803077</v>
      </c>
      <c r="Q147" s="721"/>
    </row>
    <row r="148" spans="2:18" s="718" customFormat="1" x14ac:dyDescent="0.2">
      <c r="B148" s="718" t="s">
        <v>10</v>
      </c>
      <c r="C148" s="719"/>
      <c r="D148" s="741">
        <v>0</v>
      </c>
      <c r="E148" s="741">
        <v>0</v>
      </c>
      <c r="F148" s="741">
        <v>0</v>
      </c>
      <c r="G148" s="741">
        <v>-4020.0455273543485</v>
      </c>
      <c r="H148" s="741">
        <v>10896.43266033195</v>
      </c>
      <c r="I148" s="741">
        <v>0</v>
      </c>
      <c r="J148" s="741">
        <v>236312.47551807761</v>
      </c>
      <c r="K148" s="741">
        <v>-142539.83520227671</v>
      </c>
      <c r="L148" s="741">
        <v>5630.268187135458</v>
      </c>
      <c r="M148" s="741">
        <v>22930.327251821756</v>
      </c>
      <c r="N148" s="741">
        <v>0</v>
      </c>
      <c r="O148" s="741">
        <v>0</v>
      </c>
      <c r="P148" s="721">
        <f t="shared" ref="P148:P149" si="41">SUM(D148:O148)</f>
        <v>129209.62288773572</v>
      </c>
      <c r="Q148" s="721"/>
    </row>
    <row r="149" spans="2:18" s="718" customFormat="1" x14ac:dyDescent="0.2">
      <c r="B149" s="718" t="s">
        <v>118</v>
      </c>
      <c r="C149" s="719"/>
      <c r="D149" s="741">
        <v>0</v>
      </c>
      <c r="E149" s="741">
        <v>0</v>
      </c>
      <c r="F149" s="741">
        <v>125813.081255503</v>
      </c>
      <c r="G149" s="741">
        <v>-12360.879142869264</v>
      </c>
      <c r="H149" s="741">
        <v>150204.909042079</v>
      </c>
      <c r="I149" s="741">
        <v>-154389.95157866925</v>
      </c>
      <c r="J149" s="741">
        <v>728746.42588699982</v>
      </c>
      <c r="K149" s="741">
        <v>-409771.28147083148</v>
      </c>
      <c r="L149" s="741">
        <v>12863.452807337046</v>
      </c>
      <c r="M149" s="741">
        <v>180403.77861916646</v>
      </c>
      <c r="N149" s="741">
        <v>488124.25953488797</v>
      </c>
      <c r="O149" s="741">
        <v>130561.97256299853</v>
      </c>
      <c r="P149" s="721">
        <f t="shared" si="41"/>
        <v>1240195.7675166018</v>
      </c>
      <c r="Q149" s="729"/>
    </row>
    <row r="150" spans="2:18" s="718" customFormat="1" x14ac:dyDescent="0.2">
      <c r="B150" s="718" t="s">
        <v>383</v>
      </c>
      <c r="C150" s="719"/>
      <c r="D150" s="730">
        <f t="shared" ref="D150:H150" si="42">SUM(D147:D149)</f>
        <v>0</v>
      </c>
      <c r="E150" s="730">
        <f t="shared" si="42"/>
        <v>0</v>
      </c>
      <c r="F150" s="730">
        <f t="shared" si="42"/>
        <v>1937625.5863940157</v>
      </c>
      <c r="G150" s="730">
        <f t="shared" si="42"/>
        <v>-363500.20839445712</v>
      </c>
      <c r="H150" s="730">
        <f t="shared" si="42"/>
        <v>3807532.3603078071</v>
      </c>
      <c r="I150" s="730">
        <f>SUM(I147:I149)</f>
        <v>-5115676.0372067615</v>
      </c>
      <c r="J150" s="730">
        <f t="shared" ref="J150:O150" si="43">SUM(J147:J149)</f>
        <v>17210130.033629756</v>
      </c>
      <c r="K150" s="730">
        <f t="shared" si="43"/>
        <v>-10646445.020113897</v>
      </c>
      <c r="L150" s="730">
        <f t="shared" si="43"/>
        <v>648867.0542743206</v>
      </c>
      <c r="M150" s="730">
        <f t="shared" si="43"/>
        <v>3342490.1089804284</v>
      </c>
      <c r="N150" s="730">
        <f t="shared" si="43"/>
        <v>9176346.8558202013</v>
      </c>
      <c r="O150" s="730">
        <f t="shared" si="43"/>
        <v>1839914.0645160004</v>
      </c>
      <c r="P150" s="730">
        <f>SUM(D150:O150)</f>
        <v>21837284.798207417</v>
      </c>
      <c r="Q150" s="751"/>
    </row>
    <row r="151" spans="2:18" s="718" customFormat="1" x14ac:dyDescent="0.2">
      <c r="C151" s="719"/>
      <c r="D151" s="751"/>
      <c r="E151" s="751"/>
      <c r="F151" s="751"/>
      <c r="G151" s="751"/>
      <c r="H151" s="751"/>
      <c r="I151" s="751"/>
      <c r="J151" s="751"/>
      <c r="K151" s="751"/>
      <c r="L151" s="751"/>
      <c r="M151" s="751"/>
      <c r="N151" s="751"/>
      <c r="O151" s="751"/>
      <c r="P151" s="751"/>
      <c r="Q151" s="751"/>
    </row>
    <row r="152" spans="2:18" s="718" customFormat="1" x14ac:dyDescent="0.2">
      <c r="B152" s="731" t="s">
        <v>387</v>
      </c>
      <c r="C152" s="719"/>
      <c r="D152" s="751"/>
      <c r="E152" s="751"/>
      <c r="F152" s="751"/>
      <c r="G152" s="751"/>
      <c r="H152" s="751"/>
      <c r="I152" s="751"/>
      <c r="J152" s="751"/>
      <c r="K152" s="751"/>
      <c r="L152" s="751"/>
      <c r="M152" s="751"/>
      <c r="N152" s="751"/>
      <c r="O152" s="751"/>
      <c r="P152" s="751"/>
      <c r="Q152" s="721"/>
      <c r="R152" s="722"/>
    </row>
    <row r="153" spans="2:18" s="718" customFormat="1" x14ac:dyDescent="0.2">
      <c r="B153" s="709" t="s">
        <v>7</v>
      </c>
      <c r="C153" s="719">
        <v>23</v>
      </c>
      <c r="D153" s="721">
        <f t="shared" ref="D153:O155" si="44">ROUND(IF(SUM(D$130:D$132,D$140:D$141)&lt;&gt;0,D$147*D130/SUM(D$130:D$132,D$140:D$141),0),0)</f>
        <v>0</v>
      </c>
      <c r="E153" s="721">
        <f t="shared" si="44"/>
        <v>0</v>
      </c>
      <c r="F153" s="721">
        <f t="shared" si="44"/>
        <v>1694668</v>
      </c>
      <c r="G153" s="721">
        <f t="shared" si="44"/>
        <v>-272791</v>
      </c>
      <c r="H153" s="721">
        <f t="shared" si="44"/>
        <v>2783060</v>
      </c>
      <c r="I153" s="721">
        <f t="shared" si="44"/>
        <v>-3713640</v>
      </c>
      <c r="J153" s="721">
        <f t="shared" si="44"/>
        <v>12126683</v>
      </c>
      <c r="K153" s="721">
        <f t="shared" si="44"/>
        <v>-7614772</v>
      </c>
      <c r="L153" s="721">
        <f t="shared" si="44"/>
        <v>473028</v>
      </c>
      <c r="M153" s="721">
        <f t="shared" si="44"/>
        <v>2407991</v>
      </c>
      <c r="N153" s="721">
        <f t="shared" si="44"/>
        <v>6809472</v>
      </c>
      <c r="O153" s="721">
        <f t="shared" si="44"/>
        <v>1560235</v>
      </c>
      <c r="P153" s="721">
        <f>SUM(D153:O153)</f>
        <v>16253934</v>
      </c>
      <c r="Q153" s="721"/>
    </row>
    <row r="154" spans="2:18" s="718" customFormat="1" x14ac:dyDescent="0.2">
      <c r="B154" s="718" t="s">
        <v>348</v>
      </c>
      <c r="C154" s="724">
        <v>31</v>
      </c>
      <c r="D154" s="721">
        <f t="shared" si="44"/>
        <v>0</v>
      </c>
      <c r="E154" s="721">
        <f t="shared" si="44"/>
        <v>0</v>
      </c>
      <c r="F154" s="721">
        <f t="shared" si="44"/>
        <v>0</v>
      </c>
      <c r="G154" s="721">
        <f t="shared" si="44"/>
        <v>-53400</v>
      </c>
      <c r="H154" s="721">
        <f t="shared" si="44"/>
        <v>661053</v>
      </c>
      <c r="I154" s="721">
        <f t="shared" si="44"/>
        <v>-970359</v>
      </c>
      <c r="J154" s="721">
        <f t="shared" si="44"/>
        <v>3193500</v>
      </c>
      <c r="K154" s="721">
        <f t="shared" si="44"/>
        <v>-1917817</v>
      </c>
      <c r="L154" s="721">
        <f t="shared" si="44"/>
        <v>118675</v>
      </c>
      <c r="M154" s="721">
        <f t="shared" si="44"/>
        <v>540598</v>
      </c>
      <c r="N154" s="721">
        <f t="shared" si="44"/>
        <v>1279631</v>
      </c>
      <c r="O154" s="721">
        <f t="shared" si="44"/>
        <v>0</v>
      </c>
      <c r="P154" s="721">
        <f t="shared" ref="P154:P166" si="45">SUM(D154:O154)</f>
        <v>2851881</v>
      </c>
      <c r="Q154" s="721"/>
    </row>
    <row r="155" spans="2:18" s="718" customFormat="1" x14ac:dyDescent="0.2">
      <c r="B155" s="718" t="s">
        <v>349</v>
      </c>
      <c r="C155" s="718">
        <v>41</v>
      </c>
      <c r="D155" s="721">
        <f t="shared" si="44"/>
        <v>0</v>
      </c>
      <c r="E155" s="721">
        <f t="shared" si="44"/>
        <v>0</v>
      </c>
      <c r="F155" s="721">
        <f t="shared" si="44"/>
        <v>87691</v>
      </c>
      <c r="G155" s="721">
        <f t="shared" si="44"/>
        <v>-14803</v>
      </c>
      <c r="H155" s="721">
        <f t="shared" si="44"/>
        <v>141123</v>
      </c>
      <c r="I155" s="721">
        <f t="shared" si="44"/>
        <v>-190226</v>
      </c>
      <c r="J155" s="721">
        <f t="shared" si="44"/>
        <v>631345</v>
      </c>
      <c r="K155" s="721">
        <f t="shared" si="44"/>
        <v>-383771</v>
      </c>
      <c r="L155" s="721">
        <f t="shared" si="44"/>
        <v>26945</v>
      </c>
      <c r="M155" s="721">
        <f t="shared" si="44"/>
        <v>137182</v>
      </c>
      <c r="N155" s="721">
        <f t="shared" si="44"/>
        <v>455684</v>
      </c>
      <c r="O155" s="721">
        <f t="shared" si="44"/>
        <v>124587</v>
      </c>
      <c r="P155" s="721">
        <f t="shared" si="45"/>
        <v>1015757</v>
      </c>
      <c r="Q155" s="721"/>
    </row>
    <row r="156" spans="2:18" s="718" customFormat="1" x14ac:dyDescent="0.2">
      <c r="B156" s="709" t="s">
        <v>359</v>
      </c>
      <c r="C156" s="724" t="s">
        <v>35</v>
      </c>
      <c r="D156" s="721">
        <f t="shared" ref="D156:O158" si="46">ROUND(IF(SUM(D$133:D$135,D$142,D$139)&lt;&gt;0,D$149*D133/SUM(D$133:D$135,D$142,D$139),0),0)</f>
        <v>0</v>
      </c>
      <c r="E156" s="721">
        <f t="shared" si="46"/>
        <v>0</v>
      </c>
      <c r="F156" s="721">
        <f t="shared" si="46"/>
        <v>0</v>
      </c>
      <c r="G156" s="721">
        <f t="shared" si="46"/>
        <v>-911</v>
      </c>
      <c r="H156" s="721">
        <f t="shared" si="46"/>
        <v>10330</v>
      </c>
      <c r="I156" s="721">
        <f t="shared" si="46"/>
        <v>-11569</v>
      </c>
      <c r="J156" s="721">
        <f t="shared" si="46"/>
        <v>53960</v>
      </c>
      <c r="K156" s="721">
        <f t="shared" si="46"/>
        <v>-31805</v>
      </c>
      <c r="L156" s="721">
        <f t="shared" si="46"/>
        <v>1092</v>
      </c>
      <c r="M156" s="721">
        <f t="shared" si="46"/>
        <v>12521</v>
      </c>
      <c r="N156" s="721">
        <f t="shared" si="46"/>
        <v>25984</v>
      </c>
      <c r="O156" s="721">
        <f t="shared" si="46"/>
        <v>0</v>
      </c>
      <c r="P156" s="721">
        <f t="shared" si="45"/>
        <v>59602</v>
      </c>
      <c r="Q156" s="721"/>
    </row>
    <row r="157" spans="2:18" s="718" customFormat="1" x14ac:dyDescent="0.2">
      <c r="B157" s="709" t="s">
        <v>360</v>
      </c>
      <c r="C157" s="724" t="s">
        <v>37</v>
      </c>
      <c r="D157" s="721">
        <f t="shared" si="46"/>
        <v>0</v>
      </c>
      <c r="E157" s="721">
        <f t="shared" si="46"/>
        <v>0</v>
      </c>
      <c r="F157" s="721">
        <f t="shared" si="46"/>
        <v>0</v>
      </c>
      <c r="G157" s="721">
        <f t="shared" si="46"/>
        <v>-1608</v>
      </c>
      <c r="H157" s="721">
        <f t="shared" si="46"/>
        <v>18334</v>
      </c>
      <c r="I157" s="721">
        <f t="shared" si="46"/>
        <v>-21338</v>
      </c>
      <c r="J157" s="721">
        <f t="shared" si="46"/>
        <v>95773</v>
      </c>
      <c r="K157" s="721">
        <f t="shared" si="46"/>
        <v>-40499</v>
      </c>
      <c r="L157" s="721">
        <f t="shared" si="46"/>
        <v>1613</v>
      </c>
      <c r="M157" s="721">
        <f t="shared" si="46"/>
        <v>20904</v>
      </c>
      <c r="N157" s="721">
        <f t="shared" si="46"/>
        <v>62330</v>
      </c>
      <c r="O157" s="721">
        <f t="shared" si="46"/>
        <v>18537</v>
      </c>
      <c r="P157" s="721">
        <f t="shared" si="45"/>
        <v>154046</v>
      </c>
      <c r="Q157" s="721"/>
    </row>
    <row r="158" spans="2:18" s="718" customFormat="1" x14ac:dyDescent="0.2">
      <c r="B158" s="709" t="s">
        <v>361</v>
      </c>
      <c r="C158" s="724" t="s">
        <v>41</v>
      </c>
      <c r="D158" s="721">
        <f t="shared" si="46"/>
        <v>0</v>
      </c>
      <c r="E158" s="721">
        <f t="shared" si="46"/>
        <v>0</v>
      </c>
      <c r="F158" s="721">
        <f t="shared" si="46"/>
        <v>0</v>
      </c>
      <c r="G158" s="721">
        <f t="shared" si="46"/>
        <v>-2200</v>
      </c>
      <c r="H158" s="721">
        <f t="shared" si="46"/>
        <v>32863</v>
      </c>
      <c r="I158" s="721">
        <f t="shared" si="46"/>
        <v>-37796</v>
      </c>
      <c r="J158" s="721">
        <f t="shared" si="46"/>
        <v>167857</v>
      </c>
      <c r="K158" s="721">
        <f t="shared" si="46"/>
        <v>-89985</v>
      </c>
      <c r="L158" s="721">
        <f t="shared" si="46"/>
        <v>2749</v>
      </c>
      <c r="M158" s="721">
        <f t="shared" si="46"/>
        <v>37151</v>
      </c>
      <c r="N158" s="721">
        <f t="shared" si="46"/>
        <v>109586</v>
      </c>
      <c r="O158" s="721">
        <f t="shared" si="46"/>
        <v>24947</v>
      </c>
      <c r="P158" s="721">
        <f t="shared" si="45"/>
        <v>245172</v>
      </c>
      <c r="Q158" s="721"/>
    </row>
    <row r="159" spans="2:18" s="718" customFormat="1" x14ac:dyDescent="0.2">
      <c r="B159" s="718" t="s">
        <v>350</v>
      </c>
      <c r="C159" s="718">
        <v>85</v>
      </c>
      <c r="D159" s="721">
        <f t="shared" ref="D159:L159" si="47">ROUND(IF(SUM(D$136:D$138)&lt;&gt;0,D$148*D136/SUM(D$136:D$138),0),0)</f>
        <v>0</v>
      </c>
      <c r="E159" s="721">
        <f t="shared" si="47"/>
        <v>0</v>
      </c>
      <c r="F159" s="721">
        <f t="shared" si="47"/>
        <v>0</v>
      </c>
      <c r="G159" s="721">
        <f t="shared" si="47"/>
        <v>-1179</v>
      </c>
      <c r="H159" s="721">
        <f t="shared" si="47"/>
        <v>3170</v>
      </c>
      <c r="I159" s="721">
        <f t="shared" si="47"/>
        <v>0</v>
      </c>
      <c r="J159" s="721">
        <f t="shared" si="47"/>
        <v>70309</v>
      </c>
      <c r="K159" s="721">
        <f t="shared" si="47"/>
        <v>-43357</v>
      </c>
      <c r="L159" s="721">
        <f t="shared" si="47"/>
        <v>1732</v>
      </c>
      <c r="M159" s="721">
        <f t="shared" ref="M159:O161" si="48">ROUND(IF(SUM(M$136:M$138)&lt;&gt;0,M$148*M136/SUM(M$136:M$138),0),0)</f>
        <v>7108</v>
      </c>
      <c r="N159" s="721">
        <f t="shared" si="48"/>
        <v>0</v>
      </c>
      <c r="O159" s="721">
        <f t="shared" si="48"/>
        <v>0</v>
      </c>
      <c r="P159" s="721">
        <f t="shared" si="45"/>
        <v>37783</v>
      </c>
      <c r="Q159" s="721"/>
    </row>
    <row r="160" spans="2:18" s="718" customFormat="1" x14ac:dyDescent="0.2">
      <c r="B160" s="718" t="s">
        <v>351</v>
      </c>
      <c r="C160" s="718">
        <v>86</v>
      </c>
      <c r="D160" s="721">
        <f t="shared" ref="D160:L161" si="49">ROUND(IF(SUM(D$136:D$138)&lt;&gt;0,D$148*D137/SUM(D$136:D$138),0),0)</f>
        <v>0</v>
      </c>
      <c r="E160" s="721">
        <f t="shared" si="49"/>
        <v>0</v>
      </c>
      <c r="F160" s="721">
        <f t="shared" si="49"/>
        <v>0</v>
      </c>
      <c r="G160" s="721">
        <f t="shared" si="49"/>
        <v>-1377</v>
      </c>
      <c r="H160" s="721">
        <f t="shared" si="49"/>
        <v>3547</v>
      </c>
      <c r="I160" s="721">
        <f t="shared" si="49"/>
        <v>0</v>
      </c>
      <c r="J160" s="721">
        <f t="shared" si="49"/>
        <v>71982</v>
      </c>
      <c r="K160" s="721">
        <f t="shared" si="49"/>
        <v>-47007</v>
      </c>
      <c r="L160" s="721">
        <f t="shared" si="49"/>
        <v>1822</v>
      </c>
      <c r="M160" s="721">
        <f t="shared" si="48"/>
        <v>7404</v>
      </c>
      <c r="N160" s="721">
        <f t="shared" si="48"/>
        <v>0</v>
      </c>
      <c r="O160" s="721">
        <f t="shared" si="48"/>
        <v>0</v>
      </c>
      <c r="P160" s="721">
        <f t="shared" si="45"/>
        <v>36371</v>
      </c>
      <c r="Q160" s="721"/>
    </row>
    <row r="161" spans="1:17" s="718" customFormat="1" x14ac:dyDescent="0.2">
      <c r="B161" s="718" t="s">
        <v>372</v>
      </c>
      <c r="C161" s="718">
        <v>87</v>
      </c>
      <c r="D161" s="721">
        <f t="shared" si="49"/>
        <v>0</v>
      </c>
      <c r="E161" s="721">
        <f t="shared" si="49"/>
        <v>0</v>
      </c>
      <c r="F161" s="721">
        <f t="shared" si="49"/>
        <v>0</v>
      </c>
      <c r="G161" s="721">
        <f t="shared" si="49"/>
        <v>-1464</v>
      </c>
      <c r="H161" s="721">
        <f t="shared" si="49"/>
        <v>4179</v>
      </c>
      <c r="I161" s="721">
        <f t="shared" si="49"/>
        <v>0</v>
      </c>
      <c r="J161" s="721">
        <f t="shared" si="49"/>
        <v>94022</v>
      </c>
      <c r="K161" s="721">
        <f t="shared" si="49"/>
        <v>-52176</v>
      </c>
      <c r="L161" s="721">
        <f t="shared" si="49"/>
        <v>2076</v>
      </c>
      <c r="M161" s="721">
        <f t="shared" si="48"/>
        <v>8419</v>
      </c>
      <c r="N161" s="721">
        <f t="shared" si="48"/>
        <v>0</v>
      </c>
      <c r="O161" s="721">
        <f t="shared" si="48"/>
        <v>0</v>
      </c>
      <c r="P161" s="721">
        <f t="shared" si="45"/>
        <v>55056</v>
      </c>
      <c r="Q161" s="721"/>
    </row>
    <row r="162" spans="1:17" s="718" customFormat="1" x14ac:dyDescent="0.2">
      <c r="B162" s="709" t="s">
        <v>444</v>
      </c>
      <c r="C162" s="719" t="s">
        <v>33</v>
      </c>
      <c r="D162" s="721">
        <f t="shared" ref="D162:O162" si="50">ROUND(IF(SUM(D$133:D$135,D$142,D$139)&lt;&gt;0,D$149*D139/SUM(D$133:D$135,D$142,D$139),0),0)</f>
        <v>0</v>
      </c>
      <c r="E162" s="721">
        <f t="shared" si="50"/>
        <v>0</v>
      </c>
      <c r="F162" s="721">
        <f t="shared" si="50"/>
        <v>24</v>
      </c>
      <c r="G162" s="721">
        <f t="shared" si="50"/>
        <v>-2</v>
      </c>
      <c r="H162" s="721">
        <f t="shared" si="50"/>
        <v>23</v>
      </c>
      <c r="I162" s="721">
        <f t="shared" si="50"/>
        <v>-25</v>
      </c>
      <c r="J162" s="721">
        <f t="shared" si="50"/>
        <v>115</v>
      </c>
      <c r="K162" s="721">
        <f t="shared" si="50"/>
        <v>-69</v>
      </c>
      <c r="L162" s="721">
        <f t="shared" si="50"/>
        <v>2</v>
      </c>
      <c r="M162" s="721">
        <f t="shared" si="50"/>
        <v>22</v>
      </c>
      <c r="N162" s="721">
        <f t="shared" si="50"/>
        <v>47</v>
      </c>
      <c r="O162" s="721">
        <f t="shared" si="50"/>
        <v>10</v>
      </c>
      <c r="P162" s="721">
        <f t="shared" si="45"/>
        <v>147</v>
      </c>
      <c r="Q162" s="721"/>
    </row>
    <row r="163" spans="1:17" s="718" customFormat="1" x14ac:dyDescent="0.2">
      <c r="B163" s="718" t="s">
        <v>353</v>
      </c>
      <c r="C163" s="718">
        <v>31</v>
      </c>
      <c r="D163" s="721">
        <f t="shared" ref="D163:O164" si="51">ROUND(IF(SUM(D$130:D$132,D$140:D$141)&lt;&gt;0,D$147*D140/SUM(D$130:D$132,D$140:D$141),0),0)</f>
        <v>0</v>
      </c>
      <c r="E163" s="721">
        <f t="shared" si="51"/>
        <v>0</v>
      </c>
      <c r="F163" s="721">
        <f t="shared" si="51"/>
        <v>29453</v>
      </c>
      <c r="G163" s="721">
        <f t="shared" si="51"/>
        <v>-4807</v>
      </c>
      <c r="H163" s="721">
        <f t="shared" si="51"/>
        <v>52513</v>
      </c>
      <c r="I163" s="721">
        <f t="shared" si="51"/>
        <v>-76031</v>
      </c>
      <c r="J163" s="721">
        <f t="shared" si="51"/>
        <v>255055</v>
      </c>
      <c r="K163" s="721">
        <f t="shared" si="51"/>
        <v>-158025</v>
      </c>
      <c r="L163" s="721">
        <f t="shared" si="51"/>
        <v>9703</v>
      </c>
      <c r="M163" s="721">
        <f t="shared" si="51"/>
        <v>44942</v>
      </c>
      <c r="N163" s="721">
        <f t="shared" si="51"/>
        <v>118434</v>
      </c>
      <c r="O163" s="721">
        <f t="shared" si="51"/>
        <v>24530</v>
      </c>
      <c r="P163" s="721">
        <f t="shared" si="45"/>
        <v>295767</v>
      </c>
      <c r="Q163" s="721"/>
    </row>
    <row r="164" spans="1:17" s="725" customFormat="1" x14ac:dyDescent="0.2">
      <c r="A164" s="718"/>
      <c r="B164" s="718" t="s">
        <v>354</v>
      </c>
      <c r="C164" s="718">
        <v>41</v>
      </c>
      <c r="D164" s="721">
        <f t="shared" si="51"/>
        <v>0</v>
      </c>
      <c r="E164" s="721">
        <f t="shared" si="51"/>
        <v>0</v>
      </c>
      <c r="F164" s="721">
        <f t="shared" si="51"/>
        <v>0</v>
      </c>
      <c r="G164" s="721">
        <f t="shared" si="51"/>
        <v>-1318</v>
      </c>
      <c r="H164" s="721">
        <f t="shared" si="51"/>
        <v>8683</v>
      </c>
      <c r="I164" s="721">
        <f t="shared" si="51"/>
        <v>-11030</v>
      </c>
      <c r="J164" s="721">
        <f t="shared" si="51"/>
        <v>38488</v>
      </c>
      <c r="K164" s="721">
        <f t="shared" si="51"/>
        <v>-19749</v>
      </c>
      <c r="L164" s="721">
        <f t="shared" si="51"/>
        <v>2024</v>
      </c>
      <c r="M164" s="721">
        <f t="shared" si="51"/>
        <v>8442</v>
      </c>
      <c r="N164" s="721">
        <f t="shared" si="51"/>
        <v>25001</v>
      </c>
      <c r="O164" s="721">
        <f t="shared" si="51"/>
        <v>0</v>
      </c>
      <c r="P164" s="721">
        <f t="shared" si="45"/>
        <v>50541</v>
      </c>
      <c r="Q164" s="729"/>
    </row>
    <row r="165" spans="1:17" s="718" customFormat="1" ht="15" x14ac:dyDescent="0.25">
      <c r="A165" s="725"/>
      <c r="B165" s="725" t="s">
        <v>366</v>
      </c>
      <c r="C165" s="740" t="s">
        <v>262</v>
      </c>
      <c r="D165" s="721">
        <f t="shared" ref="D165:O165" si="52">ROUND(IF(SUM(D$133:D$135,D$142,D$139)&lt;&gt;0,D$149*D142/SUM(D$133:D$135,D$142,D$139),0),0)</f>
        <v>0</v>
      </c>
      <c r="E165" s="721">
        <f t="shared" si="52"/>
        <v>0</v>
      </c>
      <c r="F165" s="721">
        <f t="shared" si="52"/>
        <v>125789</v>
      </c>
      <c r="G165" s="721">
        <f t="shared" si="52"/>
        <v>-7640</v>
      </c>
      <c r="H165" s="721">
        <f t="shared" si="52"/>
        <v>88655</v>
      </c>
      <c r="I165" s="721">
        <f t="shared" si="52"/>
        <v>-83661</v>
      </c>
      <c r="J165" s="721">
        <f t="shared" si="52"/>
        <v>411040</v>
      </c>
      <c r="K165" s="721">
        <f t="shared" si="52"/>
        <v>-247412</v>
      </c>
      <c r="L165" s="721">
        <f t="shared" si="52"/>
        <v>7408</v>
      </c>
      <c r="M165" s="721">
        <f t="shared" si="52"/>
        <v>109805</v>
      </c>
      <c r="N165" s="721">
        <f t="shared" si="52"/>
        <v>290178</v>
      </c>
      <c r="O165" s="721">
        <f t="shared" si="52"/>
        <v>87068</v>
      </c>
      <c r="P165" s="729">
        <f t="shared" si="45"/>
        <v>781230</v>
      </c>
      <c r="Q165" s="729"/>
    </row>
    <row r="166" spans="1:17" s="718" customFormat="1" x14ac:dyDescent="0.2">
      <c r="B166" s="718" t="s">
        <v>383</v>
      </c>
      <c r="C166" s="719"/>
      <c r="D166" s="730">
        <f t="shared" ref="D166:I166" si="53">SUM(D153:D165)</f>
        <v>0</v>
      </c>
      <c r="E166" s="730">
        <f t="shared" si="53"/>
        <v>0</v>
      </c>
      <c r="F166" s="730">
        <f t="shared" si="53"/>
        <v>1937625</v>
      </c>
      <c r="G166" s="730">
        <f t="shared" si="53"/>
        <v>-363500</v>
      </c>
      <c r="H166" s="730">
        <f t="shared" si="53"/>
        <v>3807533</v>
      </c>
      <c r="I166" s="730">
        <f t="shared" si="53"/>
        <v>-5115675</v>
      </c>
      <c r="J166" s="730">
        <f>SUM(J153:J165)</f>
        <v>17210129</v>
      </c>
      <c r="K166" s="730">
        <f t="shared" ref="K166:O166" si="54">SUM(K153:K165)</f>
        <v>-10646444</v>
      </c>
      <c r="L166" s="730">
        <f t="shared" si="54"/>
        <v>648869</v>
      </c>
      <c r="M166" s="730">
        <f t="shared" si="54"/>
        <v>3342489</v>
      </c>
      <c r="N166" s="730">
        <f t="shared" si="54"/>
        <v>9176347</v>
      </c>
      <c r="O166" s="730">
        <f t="shared" si="54"/>
        <v>1839914</v>
      </c>
      <c r="P166" s="730">
        <f t="shared" si="45"/>
        <v>21837287</v>
      </c>
      <c r="Q166" s="742"/>
    </row>
    <row r="167" spans="1:17" s="718" customFormat="1" x14ac:dyDescent="0.2">
      <c r="B167" s="718" t="s">
        <v>384</v>
      </c>
      <c r="C167" s="719"/>
      <c r="D167" s="742">
        <f t="shared" ref="D167:O167" si="55">IFERROR(D166/D31,0)</f>
        <v>0</v>
      </c>
      <c r="E167" s="742">
        <f t="shared" si="55"/>
        <v>0</v>
      </c>
      <c r="F167" s="742">
        <f t="shared" si="55"/>
        <v>3.6155794585818024E-2</v>
      </c>
      <c r="G167" s="742">
        <f t="shared" si="55"/>
        <v>-3.8892279973175401E-3</v>
      </c>
      <c r="H167" s="742">
        <f t="shared" si="55"/>
        <v>2.9884620136494448E-2</v>
      </c>
      <c r="I167" s="742">
        <f t="shared" si="55"/>
        <v>-3.1647288995522584E-2</v>
      </c>
      <c r="J167" s="742">
        <f t="shared" si="55"/>
        <v>0.11524158232012445</v>
      </c>
      <c r="K167" s="742">
        <f t="shared" si="55"/>
        <v>-7.426219340942615E-2</v>
      </c>
      <c r="L167" s="742">
        <f t="shared" si="55"/>
        <v>4.723362867850499E-3</v>
      </c>
      <c r="M167" s="742">
        <f t="shared" si="55"/>
        <v>3.4949984094612987E-2</v>
      </c>
      <c r="N167" s="742">
        <f>IFERROR(N166/N31,0)</f>
        <v>0.15143772058361277</v>
      </c>
      <c r="O167" s="742">
        <f t="shared" si="55"/>
        <v>3.799394373298174E-2</v>
      </c>
      <c r="P167" s="742">
        <f t="shared" ref="P167" si="56">SUM(D167:L167)</f>
        <v>7.6206649508021154E-2</v>
      </c>
      <c r="Q167" s="729"/>
    </row>
    <row r="168" spans="1:17" s="718" customFormat="1" x14ac:dyDescent="0.2">
      <c r="C168" s="719"/>
      <c r="D168" s="729"/>
      <c r="E168" s="729"/>
      <c r="F168" s="729"/>
      <c r="G168" s="729"/>
      <c r="H168" s="729"/>
      <c r="I168" s="729"/>
      <c r="J168" s="729"/>
      <c r="K168" s="729"/>
      <c r="L168" s="729"/>
      <c r="M168" s="729"/>
      <c r="N168" s="729"/>
      <c r="O168" s="729"/>
      <c r="P168" s="729"/>
      <c r="Q168" s="729"/>
    </row>
    <row r="169" spans="1:17" s="718" customFormat="1" x14ac:dyDescent="0.2">
      <c r="B169" s="731" t="s">
        <v>388</v>
      </c>
      <c r="C169" s="719"/>
      <c r="D169" s="729"/>
      <c r="E169" s="729"/>
      <c r="F169" s="729"/>
      <c r="G169" s="729"/>
      <c r="H169" s="729"/>
      <c r="I169" s="729"/>
      <c r="J169" s="729"/>
      <c r="K169" s="729"/>
      <c r="L169" s="729"/>
      <c r="M169" s="729"/>
      <c r="N169" s="729"/>
      <c r="O169" s="729"/>
      <c r="P169" s="729"/>
      <c r="Q169" s="721"/>
    </row>
    <row r="170" spans="1:17" s="718" customFormat="1" x14ac:dyDescent="0.2">
      <c r="B170" s="718" t="s">
        <v>7</v>
      </c>
      <c r="C170" s="719">
        <v>23</v>
      </c>
      <c r="D170" s="721">
        <f t="shared" ref="D170:O170" si="57">D9+D153</f>
        <v>13443846.632999999</v>
      </c>
      <c r="E170" s="721">
        <f t="shared" si="57"/>
        <v>12736009.979</v>
      </c>
      <c r="F170" s="721">
        <f t="shared" si="57"/>
        <v>21647719.936999999</v>
      </c>
      <c r="G170" s="721">
        <f t="shared" si="57"/>
        <v>46155974.25</v>
      </c>
      <c r="H170" s="721">
        <f t="shared" si="57"/>
        <v>73741897.160999998</v>
      </c>
      <c r="I170" s="721">
        <f t="shared" si="57"/>
        <v>88509622.627000004</v>
      </c>
      <c r="J170" s="721">
        <f t="shared" si="57"/>
        <v>97226692.343999997</v>
      </c>
      <c r="K170" s="721">
        <f t="shared" si="57"/>
        <v>73367926.152999997</v>
      </c>
      <c r="L170" s="721">
        <f t="shared" si="57"/>
        <v>75843560.385000005</v>
      </c>
      <c r="M170" s="721">
        <f t="shared" si="57"/>
        <v>50269722.055</v>
      </c>
      <c r="N170" s="721">
        <f t="shared" si="57"/>
        <v>30887232.546</v>
      </c>
      <c r="O170" s="721">
        <f t="shared" si="57"/>
        <v>19275348.866999999</v>
      </c>
      <c r="P170" s="721">
        <f>SUM(D170:O170)</f>
        <v>603105552.93699992</v>
      </c>
      <c r="Q170" s="721"/>
    </row>
    <row r="171" spans="1:17" s="718" customFormat="1" x14ac:dyDescent="0.2">
      <c r="B171" s="718" t="s">
        <v>348</v>
      </c>
      <c r="C171" s="724">
        <v>31</v>
      </c>
      <c r="D171" s="721">
        <f t="shared" ref="D171:O172" si="58">D11+D154</f>
        <v>7628079.7920000004</v>
      </c>
      <c r="E171" s="721">
        <f t="shared" si="58"/>
        <v>7453085.6330000004</v>
      </c>
      <c r="F171" s="721">
        <f t="shared" si="58"/>
        <v>9048012.2430000007</v>
      </c>
      <c r="G171" s="721">
        <f t="shared" si="58"/>
        <v>15932676.433</v>
      </c>
      <c r="H171" s="721">
        <f t="shared" si="58"/>
        <v>23966771.149999999</v>
      </c>
      <c r="I171" s="721">
        <f t="shared" si="58"/>
        <v>29413050.791000001</v>
      </c>
      <c r="J171" s="721">
        <f t="shared" si="58"/>
        <v>31601920.164999999</v>
      </c>
      <c r="K171" s="721">
        <f t="shared" si="58"/>
        <v>25012454.664999999</v>
      </c>
      <c r="L171" s="721">
        <f t="shared" si="58"/>
        <v>25668437.872000001</v>
      </c>
      <c r="M171" s="721">
        <f t="shared" si="58"/>
        <v>18094159.793000001</v>
      </c>
      <c r="N171" s="721">
        <f t="shared" si="58"/>
        <v>12124126.560000001</v>
      </c>
      <c r="O171" s="721">
        <f t="shared" si="58"/>
        <v>8894243.5490000006</v>
      </c>
      <c r="P171" s="721">
        <f t="shared" ref="P171:P183" si="59">SUM(D171:O171)</f>
        <v>214837018.646</v>
      </c>
      <c r="Q171" s="721"/>
    </row>
    <row r="172" spans="1:17" s="718" customFormat="1" x14ac:dyDescent="0.2">
      <c r="B172" s="718" t="s">
        <v>349</v>
      </c>
      <c r="C172" s="718">
        <v>41</v>
      </c>
      <c r="D172" s="721">
        <f t="shared" si="58"/>
        <v>2436691.1039999998</v>
      </c>
      <c r="E172" s="721">
        <f t="shared" si="58"/>
        <v>2305053.4160000002</v>
      </c>
      <c r="F172" s="721">
        <f t="shared" si="58"/>
        <v>2868775.9019999998</v>
      </c>
      <c r="G172" s="721">
        <f t="shared" si="58"/>
        <v>4444093.4029999999</v>
      </c>
      <c r="H172" s="721">
        <f t="shared" si="58"/>
        <v>5802995.9620000003</v>
      </c>
      <c r="I172" s="721">
        <f t="shared" si="58"/>
        <v>6803789.2349999994</v>
      </c>
      <c r="J172" s="721">
        <f t="shared" si="58"/>
        <v>7214330.9359999998</v>
      </c>
      <c r="K172" s="721">
        <f t="shared" si="58"/>
        <v>5992951.0830000006</v>
      </c>
      <c r="L172" s="721">
        <f t="shared" si="58"/>
        <v>6261605.6830000002</v>
      </c>
      <c r="M172" s="721">
        <f t="shared" si="58"/>
        <v>4926100.1710000001</v>
      </c>
      <c r="N172" s="721">
        <f t="shared" si="58"/>
        <v>3756633.523</v>
      </c>
      <c r="O172" s="721">
        <f t="shared" si="58"/>
        <v>1688485.8959999999</v>
      </c>
      <c r="P172" s="721">
        <f t="shared" si="59"/>
        <v>54501506.313999996</v>
      </c>
      <c r="Q172" s="721"/>
    </row>
    <row r="173" spans="1:17" s="718" customFormat="1" x14ac:dyDescent="0.2">
      <c r="B173" s="709" t="s">
        <v>359</v>
      </c>
      <c r="C173" s="724" t="s">
        <v>35</v>
      </c>
      <c r="D173" s="721">
        <f t="shared" ref="D173:O175" si="60">D23+D156</f>
        <v>842278.49</v>
      </c>
      <c r="E173" s="721">
        <f t="shared" si="60"/>
        <v>919204.60000000009</v>
      </c>
      <c r="F173" s="721">
        <f t="shared" si="60"/>
        <v>874618.36</v>
      </c>
      <c r="G173" s="721">
        <f t="shared" si="60"/>
        <v>1038625.68</v>
      </c>
      <c r="H173" s="721">
        <f t="shared" si="60"/>
        <v>1151459.2390000001</v>
      </c>
      <c r="I173" s="721">
        <f t="shared" si="60"/>
        <v>1237799.6400000001</v>
      </c>
      <c r="J173" s="721">
        <f t="shared" si="60"/>
        <v>1309932.3900000001</v>
      </c>
      <c r="K173" s="721">
        <f t="shared" si="60"/>
        <v>1187686.01</v>
      </c>
      <c r="L173" s="721">
        <f t="shared" si="60"/>
        <v>1250467.8599999999</v>
      </c>
      <c r="M173" s="721">
        <f t="shared" si="60"/>
        <v>1133840.93</v>
      </c>
      <c r="N173" s="721">
        <f t="shared" si="60"/>
        <v>1023426.22</v>
      </c>
      <c r="O173" s="721">
        <f t="shared" si="60"/>
        <v>813156.53</v>
      </c>
      <c r="P173" s="721">
        <f t="shared" si="59"/>
        <v>12782495.949000001</v>
      </c>
      <c r="Q173" s="721"/>
    </row>
    <row r="174" spans="1:17" s="718" customFormat="1" x14ac:dyDescent="0.2">
      <c r="B174" s="709" t="s">
        <v>360</v>
      </c>
      <c r="C174" s="724" t="s">
        <v>37</v>
      </c>
      <c r="D174" s="721">
        <f t="shared" si="60"/>
        <v>1570935.13</v>
      </c>
      <c r="E174" s="721">
        <f t="shared" si="60"/>
        <v>1652500.78</v>
      </c>
      <c r="F174" s="721">
        <f t="shared" si="60"/>
        <v>1563451.74</v>
      </c>
      <c r="G174" s="721">
        <f t="shared" si="60"/>
        <v>1821545.78</v>
      </c>
      <c r="H174" s="721">
        <f t="shared" si="60"/>
        <v>1979027.12</v>
      </c>
      <c r="I174" s="721">
        <f t="shared" si="60"/>
        <v>2153272.2800000003</v>
      </c>
      <c r="J174" s="721">
        <f t="shared" si="60"/>
        <v>2213984.92</v>
      </c>
      <c r="K174" s="721">
        <f t="shared" si="60"/>
        <v>1964790.4500000002</v>
      </c>
      <c r="L174" s="721">
        <f t="shared" si="60"/>
        <v>2105813.58</v>
      </c>
      <c r="M174" s="721">
        <f t="shared" si="60"/>
        <v>1852946.1</v>
      </c>
      <c r="N174" s="721">
        <f t="shared" si="60"/>
        <v>1863363.12</v>
      </c>
      <c r="O174" s="721">
        <f t="shared" si="60"/>
        <v>1750711.3499999999</v>
      </c>
      <c r="P174" s="721">
        <f t="shared" si="59"/>
        <v>22492342.350000005</v>
      </c>
      <c r="Q174" s="721"/>
    </row>
    <row r="175" spans="1:17" s="718" customFormat="1" x14ac:dyDescent="0.2">
      <c r="B175" s="709" t="s">
        <v>361</v>
      </c>
      <c r="C175" s="724" t="s">
        <v>41</v>
      </c>
      <c r="D175" s="721">
        <f t="shared" si="60"/>
        <v>1084131.21</v>
      </c>
      <c r="E175" s="721">
        <f t="shared" si="60"/>
        <v>1076261.75</v>
      </c>
      <c r="F175" s="721">
        <f t="shared" si="60"/>
        <v>1104327.17</v>
      </c>
      <c r="G175" s="721">
        <f t="shared" si="60"/>
        <v>1492017.02</v>
      </c>
      <c r="H175" s="721">
        <f t="shared" si="60"/>
        <v>1844255.06</v>
      </c>
      <c r="I175" s="721">
        <f t="shared" si="60"/>
        <v>2076878.6400000001</v>
      </c>
      <c r="J175" s="721">
        <f t="shared" si="60"/>
        <v>2119316.87</v>
      </c>
      <c r="K175" s="721">
        <f t="shared" si="60"/>
        <v>1871108.9500000002</v>
      </c>
      <c r="L175" s="721">
        <f t="shared" si="60"/>
        <v>1860191.65</v>
      </c>
      <c r="M175" s="721">
        <f t="shared" si="60"/>
        <v>1637011.8800000001</v>
      </c>
      <c r="N175" s="721">
        <f t="shared" si="60"/>
        <v>1388275.8499999999</v>
      </c>
      <c r="O175" s="721">
        <f t="shared" si="60"/>
        <v>1192987.95</v>
      </c>
      <c r="P175" s="721">
        <f t="shared" si="59"/>
        <v>18746764.000000004</v>
      </c>
      <c r="Q175" s="721"/>
    </row>
    <row r="176" spans="1:17" s="718" customFormat="1" x14ac:dyDescent="0.2">
      <c r="B176" s="718" t="s">
        <v>350</v>
      </c>
      <c r="C176" s="718">
        <v>85</v>
      </c>
      <c r="D176" s="721">
        <f t="shared" ref="D176:O178" si="61">D14+D159</f>
        <v>718072.78200000001</v>
      </c>
      <c r="E176" s="721">
        <f t="shared" si="61"/>
        <v>664389.50499999989</v>
      </c>
      <c r="F176" s="721">
        <f t="shared" si="61"/>
        <v>792053.55200000003</v>
      </c>
      <c r="G176" s="721">
        <f t="shared" si="61"/>
        <v>1249577.3330000001</v>
      </c>
      <c r="H176" s="721">
        <f t="shared" si="61"/>
        <v>1554481.9750000001</v>
      </c>
      <c r="I176" s="721">
        <f t="shared" si="61"/>
        <v>1866442.2080000001</v>
      </c>
      <c r="J176" s="721">
        <f t="shared" si="61"/>
        <v>1780824.939</v>
      </c>
      <c r="K176" s="721">
        <f t="shared" si="61"/>
        <v>1536379.5380000002</v>
      </c>
      <c r="L176" s="721">
        <f t="shared" si="61"/>
        <v>1643991.1359999999</v>
      </c>
      <c r="M176" s="721">
        <f t="shared" si="61"/>
        <v>1250763.1359999999</v>
      </c>
      <c r="N176" s="721">
        <f t="shared" si="61"/>
        <v>920234.88600000006</v>
      </c>
      <c r="O176" s="721">
        <f t="shared" si="61"/>
        <v>709740.74400000006</v>
      </c>
      <c r="P176" s="721">
        <f t="shared" si="59"/>
        <v>14686951.734000001</v>
      </c>
      <c r="Q176" s="721"/>
    </row>
    <row r="177" spans="1:17" s="718" customFormat="1" x14ac:dyDescent="0.2">
      <c r="B177" s="718" t="s">
        <v>351</v>
      </c>
      <c r="C177" s="718">
        <v>86</v>
      </c>
      <c r="D177" s="721">
        <f t="shared" si="61"/>
        <v>208746.55599999998</v>
      </c>
      <c r="E177" s="721">
        <f t="shared" si="61"/>
        <v>193052.79699999999</v>
      </c>
      <c r="F177" s="721">
        <f t="shared" si="61"/>
        <v>320287.72700000001</v>
      </c>
      <c r="G177" s="721">
        <f t="shared" si="61"/>
        <v>750962.98400000005</v>
      </c>
      <c r="H177" s="721">
        <f t="shared" si="61"/>
        <v>1030574.388</v>
      </c>
      <c r="I177" s="721">
        <f t="shared" si="61"/>
        <v>1282526.0389999999</v>
      </c>
      <c r="J177" s="721">
        <f t="shared" si="61"/>
        <v>1258725.409</v>
      </c>
      <c r="K177" s="721">
        <f t="shared" si="61"/>
        <v>1049738.9580000001</v>
      </c>
      <c r="L177" s="721">
        <f t="shared" si="61"/>
        <v>1110593.162</v>
      </c>
      <c r="M177" s="721">
        <f t="shared" si="61"/>
        <v>846297.72800000012</v>
      </c>
      <c r="N177" s="721">
        <f t="shared" si="61"/>
        <v>477239.02300000004</v>
      </c>
      <c r="O177" s="721">
        <f t="shared" si="61"/>
        <v>307851.304</v>
      </c>
      <c r="P177" s="721">
        <f t="shared" si="59"/>
        <v>8836596.0750000011</v>
      </c>
      <c r="Q177" s="721"/>
    </row>
    <row r="178" spans="1:17" s="718" customFormat="1" x14ac:dyDescent="0.2">
      <c r="B178" s="718" t="s">
        <v>372</v>
      </c>
      <c r="C178" s="718">
        <v>87</v>
      </c>
      <c r="D178" s="721">
        <f t="shared" si="61"/>
        <v>1205163.1340000001</v>
      </c>
      <c r="E178" s="721">
        <f t="shared" si="61"/>
        <v>1191232.98</v>
      </c>
      <c r="F178" s="721">
        <f t="shared" si="61"/>
        <v>1297454.0249999999</v>
      </c>
      <c r="G178" s="721">
        <f t="shared" si="61"/>
        <v>1956862.8969999999</v>
      </c>
      <c r="H178" s="721">
        <f t="shared" si="61"/>
        <v>2346051.3509999998</v>
      </c>
      <c r="I178" s="721">
        <f t="shared" si="61"/>
        <v>2817477.4819999998</v>
      </c>
      <c r="J178" s="721">
        <f t="shared" si="61"/>
        <v>2582095.4070000001</v>
      </c>
      <c r="K178" s="721">
        <f t="shared" si="61"/>
        <v>2453869.7620000001</v>
      </c>
      <c r="L178" s="721">
        <f t="shared" si="61"/>
        <v>2432020.3769999999</v>
      </c>
      <c r="M178" s="721">
        <f t="shared" si="61"/>
        <v>2074669.916</v>
      </c>
      <c r="N178" s="721">
        <f t="shared" si="61"/>
        <v>1485710.202</v>
      </c>
      <c r="O178" s="721">
        <f t="shared" si="61"/>
        <v>1430551.095</v>
      </c>
      <c r="P178" s="721">
        <f t="shared" si="59"/>
        <v>23273158.627999999</v>
      </c>
      <c r="Q178" s="721"/>
    </row>
    <row r="179" spans="1:17" s="718" customFormat="1" x14ac:dyDescent="0.2">
      <c r="B179" s="709" t="s">
        <v>444</v>
      </c>
      <c r="C179" s="719" t="s">
        <v>33</v>
      </c>
      <c r="D179" s="721">
        <f t="shared" ref="D179:O179" si="62">D13+D162</f>
        <v>76.98</v>
      </c>
      <c r="E179" s="721">
        <f t="shared" si="62"/>
        <v>27.25</v>
      </c>
      <c r="F179" s="721">
        <f t="shared" si="62"/>
        <v>242.87</v>
      </c>
      <c r="G179" s="721">
        <f t="shared" si="62"/>
        <v>1980.63</v>
      </c>
      <c r="H179" s="721">
        <f t="shared" si="62"/>
        <v>3346.76</v>
      </c>
      <c r="I179" s="721">
        <f t="shared" si="62"/>
        <v>4385.21</v>
      </c>
      <c r="J179" s="721">
        <f t="shared" si="62"/>
        <v>2645.87</v>
      </c>
      <c r="K179" s="721">
        <f t="shared" si="62"/>
        <v>3836.98</v>
      </c>
      <c r="L179" s="721">
        <f t="shared" si="62"/>
        <v>2823.34</v>
      </c>
      <c r="M179" s="721">
        <f t="shared" si="62"/>
        <v>2002.65</v>
      </c>
      <c r="N179" s="721">
        <f t="shared" si="62"/>
        <v>642.91</v>
      </c>
      <c r="O179" s="721">
        <f t="shared" si="62"/>
        <v>37.44</v>
      </c>
      <c r="P179" s="721">
        <f t="shared" si="59"/>
        <v>22048.89</v>
      </c>
      <c r="Q179" s="721"/>
    </row>
    <row r="180" spans="1:17" s="718" customFormat="1" x14ac:dyDescent="0.2">
      <c r="B180" s="718" t="s">
        <v>353</v>
      </c>
      <c r="C180" s="718">
        <v>31</v>
      </c>
      <c r="D180" s="721">
        <f t="shared" ref="D180:O181" si="63">D17+D163</f>
        <v>395133.00599999999</v>
      </c>
      <c r="E180" s="721">
        <f t="shared" si="63"/>
        <v>415618.07</v>
      </c>
      <c r="F180" s="721">
        <f t="shared" si="63"/>
        <v>530299.97600000002</v>
      </c>
      <c r="G180" s="721">
        <f t="shared" si="63"/>
        <v>1002186.794</v>
      </c>
      <c r="H180" s="721">
        <f t="shared" si="63"/>
        <v>1580920.077</v>
      </c>
      <c r="I180" s="721">
        <f t="shared" si="63"/>
        <v>1965067.7910000002</v>
      </c>
      <c r="J180" s="721">
        <f t="shared" si="63"/>
        <v>2219846.37</v>
      </c>
      <c r="K180" s="721">
        <f t="shared" si="63"/>
        <v>1724909.0430000001</v>
      </c>
      <c r="L180" s="721">
        <f t="shared" si="63"/>
        <v>1692363.3740000001</v>
      </c>
      <c r="M180" s="721">
        <f t="shared" si="63"/>
        <v>1108860.2120000001</v>
      </c>
      <c r="N180" s="721">
        <f t="shared" si="63"/>
        <v>678225.22699999996</v>
      </c>
      <c r="O180" s="721">
        <f t="shared" si="63"/>
        <v>454283.88400000002</v>
      </c>
      <c r="P180" s="721">
        <f t="shared" si="59"/>
        <v>13767713.823999999</v>
      </c>
      <c r="Q180" s="721"/>
    </row>
    <row r="181" spans="1:17" s="725" customFormat="1" x14ac:dyDescent="0.2">
      <c r="A181" s="718"/>
      <c r="B181" s="718" t="s">
        <v>354</v>
      </c>
      <c r="C181" s="718">
        <v>41</v>
      </c>
      <c r="D181" s="721">
        <f t="shared" si="63"/>
        <v>715686.64599999995</v>
      </c>
      <c r="E181" s="721">
        <f t="shared" si="63"/>
        <v>723322.54399999999</v>
      </c>
      <c r="F181" s="721">
        <f t="shared" si="63"/>
        <v>721587.85899999994</v>
      </c>
      <c r="G181" s="721">
        <f t="shared" si="63"/>
        <v>893700.30300000007</v>
      </c>
      <c r="H181" s="721">
        <f t="shared" si="63"/>
        <v>902546.43400000012</v>
      </c>
      <c r="I181" s="721">
        <f t="shared" si="63"/>
        <v>967290.95299999998</v>
      </c>
      <c r="J181" s="721">
        <f t="shared" si="63"/>
        <v>984923.92099999997</v>
      </c>
      <c r="K181" s="721">
        <f t="shared" si="63"/>
        <v>881329.02300000004</v>
      </c>
      <c r="L181" s="721">
        <f t="shared" si="63"/>
        <v>921278.62699999998</v>
      </c>
      <c r="M181" s="721">
        <f t="shared" si="63"/>
        <v>819888.06</v>
      </c>
      <c r="N181" s="721">
        <f t="shared" si="63"/>
        <v>725118.15899999999</v>
      </c>
      <c r="O181" s="721">
        <f t="shared" si="63"/>
        <v>208689.174</v>
      </c>
      <c r="P181" s="721">
        <f t="shared" si="59"/>
        <v>9465361.7030000016</v>
      </c>
      <c r="Q181" s="729"/>
    </row>
    <row r="182" spans="1:17" s="718" customFormat="1" ht="15" x14ac:dyDescent="0.25">
      <c r="A182" s="725"/>
      <c r="B182" s="725" t="s">
        <v>366</v>
      </c>
      <c r="C182" s="740" t="s">
        <v>262</v>
      </c>
      <c r="D182" s="729">
        <f t="shared" ref="D182:O182" si="64">D30+D165</f>
        <v>1921334.9100000001</v>
      </c>
      <c r="E182" s="729">
        <f t="shared" si="64"/>
        <v>1869187.75</v>
      </c>
      <c r="F182" s="729">
        <f t="shared" si="64"/>
        <v>2068982.99</v>
      </c>
      <c r="G182" s="729">
        <f t="shared" si="64"/>
        <v>3006871.56</v>
      </c>
      <c r="H182" s="729">
        <f t="shared" si="64"/>
        <v>3833917.62</v>
      </c>
      <c r="I182" s="729">
        <f t="shared" si="64"/>
        <v>4352917.41</v>
      </c>
      <c r="J182" s="729">
        <f t="shared" si="64"/>
        <v>4443467.74</v>
      </c>
      <c r="K182" s="729">
        <f t="shared" si="64"/>
        <v>3867486.2699999996</v>
      </c>
      <c r="L182" s="729">
        <f t="shared" si="64"/>
        <v>3813818.93</v>
      </c>
      <c r="M182" s="729">
        <f t="shared" si="64"/>
        <v>3266173.4099999997</v>
      </c>
      <c r="N182" s="729">
        <f t="shared" si="64"/>
        <v>2607580.04</v>
      </c>
      <c r="O182" s="729">
        <f t="shared" si="64"/>
        <v>2223953.0499999998</v>
      </c>
      <c r="P182" s="729">
        <f t="shared" si="59"/>
        <v>37275691.68</v>
      </c>
      <c r="Q182" s="729"/>
    </row>
    <row r="183" spans="1:17" s="718" customFormat="1" x14ac:dyDescent="0.2">
      <c r="B183" s="718" t="s">
        <v>381</v>
      </c>
      <c r="C183" s="719"/>
      <c r="D183" s="730">
        <f t="shared" ref="D183:O183" si="65">SUM(D170:D182)</f>
        <v>32170176.373000003</v>
      </c>
      <c r="E183" s="730">
        <f t="shared" si="65"/>
        <v>31198947.054000001</v>
      </c>
      <c r="F183" s="730">
        <f t="shared" si="65"/>
        <v>42837814.351000004</v>
      </c>
      <c r="G183" s="730">
        <f t="shared" si="65"/>
        <v>79747075.067000002</v>
      </c>
      <c r="H183" s="730">
        <f t="shared" si="65"/>
        <v>119738244.29700001</v>
      </c>
      <c r="I183" s="730">
        <f t="shared" si="65"/>
        <v>143450520.30600005</v>
      </c>
      <c r="J183" s="730">
        <f t="shared" si="65"/>
        <v>154958707.28100002</v>
      </c>
      <c r="K183" s="730">
        <f t="shared" si="65"/>
        <v>120914466.88500001</v>
      </c>
      <c r="L183" s="730">
        <f t="shared" si="65"/>
        <v>124606965.97600003</v>
      </c>
      <c r="M183" s="730">
        <f t="shared" si="65"/>
        <v>87282436.040999994</v>
      </c>
      <c r="N183" s="730">
        <f t="shared" si="65"/>
        <v>57937808.265999995</v>
      </c>
      <c r="O183" s="730">
        <f t="shared" si="65"/>
        <v>38950040.833000004</v>
      </c>
      <c r="P183" s="730">
        <f t="shared" si="59"/>
        <v>1033793202.7300003</v>
      </c>
      <c r="Q183" s="721"/>
    </row>
    <row r="184" spans="1:17" s="718" customFormat="1" x14ac:dyDescent="0.2">
      <c r="D184" s="721"/>
      <c r="E184" s="721"/>
      <c r="F184" s="721"/>
      <c r="G184" s="721"/>
      <c r="H184" s="721"/>
      <c r="I184" s="721"/>
      <c r="J184" s="721"/>
      <c r="K184" s="721"/>
      <c r="L184" s="721"/>
      <c r="M184" s="721"/>
      <c r="N184" s="721"/>
      <c r="O184" s="721"/>
      <c r="P184" s="721"/>
      <c r="Q184" s="721"/>
    </row>
    <row r="185" spans="1:17" s="718" customFormat="1" x14ac:dyDescent="0.2">
      <c r="B185" s="718" t="s">
        <v>389</v>
      </c>
      <c r="C185" s="718">
        <v>16</v>
      </c>
      <c r="D185" s="721">
        <f t="shared" ref="D185:O185" si="66">D8</f>
        <v>826.07600000000002</v>
      </c>
      <c r="E185" s="721">
        <f t="shared" si="66"/>
        <v>820.92700000000002</v>
      </c>
      <c r="F185" s="721">
        <f t="shared" si="66"/>
        <v>774.51800000000003</v>
      </c>
      <c r="G185" s="721">
        <f t="shared" si="66"/>
        <v>824.08199999999999</v>
      </c>
      <c r="H185" s="721">
        <f t="shared" si="66"/>
        <v>783.54899999999998</v>
      </c>
      <c r="I185" s="721">
        <f t="shared" si="66"/>
        <v>800.10699999999997</v>
      </c>
      <c r="J185" s="721">
        <f t="shared" si="66"/>
        <v>797.62900000000002</v>
      </c>
      <c r="K185" s="721">
        <f t="shared" si="66"/>
        <v>723.62300000000005</v>
      </c>
      <c r="L185" s="721">
        <f t="shared" si="66"/>
        <v>835.85599999999999</v>
      </c>
      <c r="M185" s="721">
        <f t="shared" si="66"/>
        <v>821.65099999999995</v>
      </c>
      <c r="N185" s="721">
        <f t="shared" si="66"/>
        <v>818.67499999999995</v>
      </c>
      <c r="O185" s="721">
        <f t="shared" si="66"/>
        <v>765.35199999999998</v>
      </c>
      <c r="P185" s="721">
        <f t="shared" ref="P185:P195" si="67">SUM(D185:O185)</f>
        <v>9592.0450000000001</v>
      </c>
      <c r="Q185" s="721"/>
    </row>
    <row r="186" spans="1:17" s="718" customFormat="1" x14ac:dyDescent="0.2">
      <c r="B186" s="718" t="str">
        <f t="shared" ref="B186:O186" si="68">B10</f>
        <v>Propane</v>
      </c>
      <c r="C186" s="719">
        <f t="shared" si="68"/>
        <v>53</v>
      </c>
      <c r="D186" s="721">
        <f t="shared" si="68"/>
        <v>9.0079999999999991</v>
      </c>
      <c r="E186" s="721">
        <f t="shared" si="68"/>
        <v>9.2899999999999991</v>
      </c>
      <c r="F186" s="721">
        <f t="shared" si="68"/>
        <v>23.614000000000001</v>
      </c>
      <c r="G186" s="721">
        <f t="shared" si="68"/>
        <v>52.81</v>
      </c>
      <c r="H186" s="721">
        <f t="shared" si="68"/>
        <v>67.945999999999998</v>
      </c>
      <c r="I186" s="721">
        <f t="shared" si="68"/>
        <v>68.12700000000001</v>
      </c>
      <c r="J186" s="721">
        <f t="shared" si="68"/>
        <v>56.914999999999999</v>
      </c>
      <c r="K186" s="721">
        <f t="shared" si="68"/>
        <v>7.5629999999999997</v>
      </c>
      <c r="L186" s="721">
        <f t="shared" si="68"/>
        <v>0</v>
      </c>
      <c r="M186" s="721">
        <f t="shared" si="68"/>
        <v>0</v>
      </c>
      <c r="N186" s="721">
        <f t="shared" si="68"/>
        <v>0</v>
      </c>
      <c r="O186" s="721">
        <f t="shared" si="68"/>
        <v>0</v>
      </c>
      <c r="P186" s="721">
        <f t="shared" si="67"/>
        <v>295.27300000000002</v>
      </c>
      <c r="Q186" s="721"/>
    </row>
    <row r="187" spans="1:17" s="718" customFormat="1" x14ac:dyDescent="0.2">
      <c r="B187" s="709" t="s">
        <v>390</v>
      </c>
      <c r="C187" s="724" t="s">
        <v>33</v>
      </c>
      <c r="D187" s="721">
        <f t="shared" ref="D187:O187" si="69">D22</f>
        <v>833.33</v>
      </c>
      <c r="E187" s="721">
        <f t="shared" si="69"/>
        <v>852.46</v>
      </c>
      <c r="F187" s="721">
        <f t="shared" si="69"/>
        <v>1004.34</v>
      </c>
      <c r="G187" s="721">
        <f t="shared" si="69"/>
        <v>1858.11</v>
      </c>
      <c r="H187" s="721">
        <f t="shared" si="69"/>
        <v>2420.34</v>
      </c>
      <c r="I187" s="721">
        <f t="shared" si="69"/>
        <v>3639.8599999999997</v>
      </c>
      <c r="J187" s="721">
        <f t="shared" si="69"/>
        <v>2356.8000000000002</v>
      </c>
      <c r="K187" s="721">
        <f t="shared" si="69"/>
        <v>2713.47</v>
      </c>
      <c r="L187" s="721">
        <f t="shared" si="69"/>
        <v>2240.84</v>
      </c>
      <c r="M187" s="721">
        <f t="shared" si="69"/>
        <v>1514.91</v>
      </c>
      <c r="N187" s="721">
        <f t="shared" si="69"/>
        <v>975.42</v>
      </c>
      <c r="O187" s="721">
        <f t="shared" si="69"/>
        <v>955</v>
      </c>
      <c r="P187" s="721">
        <f t="shared" si="67"/>
        <v>21364.879999999994</v>
      </c>
      <c r="Q187" s="721"/>
    </row>
    <row r="188" spans="1:17" s="718" customFormat="1" x14ac:dyDescent="0.2">
      <c r="B188" s="718" t="str">
        <f t="shared" ref="B188:O190" si="70">B19</f>
        <v>Interruptible with firm option - ind</v>
      </c>
      <c r="C188" s="719">
        <f t="shared" si="70"/>
        <v>85</v>
      </c>
      <c r="D188" s="721">
        <f t="shared" si="70"/>
        <v>118216.663</v>
      </c>
      <c r="E188" s="721">
        <f t="shared" si="70"/>
        <v>108078.61899999999</v>
      </c>
      <c r="F188" s="721">
        <f t="shared" si="70"/>
        <v>117621.26699999999</v>
      </c>
      <c r="G188" s="721">
        <f t="shared" si="70"/>
        <v>132658.54500000001</v>
      </c>
      <c r="H188" s="721">
        <f t="shared" si="70"/>
        <v>150576.024</v>
      </c>
      <c r="I188" s="721">
        <f t="shared" si="70"/>
        <v>162942.16400000002</v>
      </c>
      <c r="J188" s="721">
        <f t="shared" si="70"/>
        <v>152783.32999999999</v>
      </c>
      <c r="K188" s="721">
        <f t="shared" si="70"/>
        <v>144144.49599999998</v>
      </c>
      <c r="L188" s="721">
        <f t="shared" si="70"/>
        <v>145396.611</v>
      </c>
      <c r="M188" s="721">
        <f t="shared" si="70"/>
        <v>149688.77699999997</v>
      </c>
      <c r="N188" s="721">
        <f t="shared" si="70"/>
        <v>126713.5</v>
      </c>
      <c r="O188" s="721">
        <f t="shared" si="70"/>
        <v>112017.696</v>
      </c>
      <c r="P188" s="721">
        <f t="shared" si="67"/>
        <v>1620837.692</v>
      </c>
      <c r="Q188" s="721"/>
    </row>
    <row r="189" spans="1:17" s="718" customFormat="1" x14ac:dyDescent="0.2">
      <c r="B189" s="718" t="str">
        <f t="shared" si="70"/>
        <v>Limited interrupt w/ firm option - ind</v>
      </c>
      <c r="C189" s="719">
        <f t="shared" si="70"/>
        <v>86</v>
      </c>
      <c r="D189" s="721">
        <f t="shared" si="70"/>
        <v>7050.719000000001</v>
      </c>
      <c r="E189" s="721">
        <f t="shared" si="70"/>
        <v>6990.4639999999999</v>
      </c>
      <c r="F189" s="721">
        <f t="shared" si="70"/>
        <v>59473.29</v>
      </c>
      <c r="G189" s="721">
        <f t="shared" si="70"/>
        <v>65278.603999999999</v>
      </c>
      <c r="H189" s="721">
        <f t="shared" si="70"/>
        <v>18252.848999999998</v>
      </c>
      <c r="I189" s="721">
        <f t="shared" si="70"/>
        <v>18496.313999999998</v>
      </c>
      <c r="J189" s="721">
        <f t="shared" si="70"/>
        <v>17702.267</v>
      </c>
      <c r="K189" s="721">
        <f t="shared" si="70"/>
        <v>18723.310999999998</v>
      </c>
      <c r="L189" s="721">
        <f t="shared" si="70"/>
        <v>17030.457000000002</v>
      </c>
      <c r="M189" s="721">
        <f t="shared" si="70"/>
        <v>21970.927</v>
      </c>
      <c r="N189" s="721">
        <f t="shared" si="70"/>
        <v>11131.916000000001</v>
      </c>
      <c r="O189" s="721">
        <f t="shared" si="70"/>
        <v>8571.3490000000002</v>
      </c>
      <c r="P189" s="721">
        <f t="shared" si="67"/>
        <v>270672.46699999995</v>
      </c>
      <c r="Q189" s="721"/>
    </row>
    <row r="190" spans="1:17" s="718" customFormat="1" x14ac:dyDescent="0.2">
      <c r="B190" s="718" t="str">
        <f t="shared" si="70"/>
        <v>Non-excl interrupt w/ firm option - ind</v>
      </c>
      <c r="C190" s="719">
        <f t="shared" si="70"/>
        <v>87</v>
      </c>
      <c r="D190" s="721">
        <f t="shared" si="70"/>
        <v>0</v>
      </c>
      <c r="E190" s="721">
        <f t="shared" si="70"/>
        <v>0</v>
      </c>
      <c r="F190" s="721">
        <f t="shared" si="70"/>
        <v>0</v>
      </c>
      <c r="G190" s="721">
        <f t="shared" si="70"/>
        <v>0</v>
      </c>
      <c r="H190" s="721">
        <f t="shared" si="70"/>
        <v>0</v>
      </c>
      <c r="I190" s="721">
        <f t="shared" si="70"/>
        <v>0</v>
      </c>
      <c r="J190" s="721">
        <f t="shared" si="70"/>
        <v>0</v>
      </c>
      <c r="K190" s="721">
        <f t="shared" si="70"/>
        <v>0</v>
      </c>
      <c r="L190" s="721">
        <f t="shared" si="70"/>
        <v>0</v>
      </c>
      <c r="M190" s="721">
        <f t="shared" si="70"/>
        <v>0</v>
      </c>
      <c r="N190" s="721">
        <f t="shared" si="70"/>
        <v>0</v>
      </c>
      <c r="O190" s="721">
        <f t="shared" si="70"/>
        <v>0</v>
      </c>
      <c r="P190" s="721">
        <f t="shared" si="67"/>
        <v>0</v>
      </c>
      <c r="Q190" s="721"/>
    </row>
    <row r="191" spans="1:17" s="718" customFormat="1" x14ac:dyDescent="0.2">
      <c r="B191" s="709" t="s">
        <v>362</v>
      </c>
      <c r="C191" s="724" t="s">
        <v>35</v>
      </c>
      <c r="D191" s="721">
        <f t="shared" ref="D191:O194" si="71">D26</f>
        <v>566917.64</v>
      </c>
      <c r="E191" s="721">
        <f t="shared" si="71"/>
        <v>536778.17999999993</v>
      </c>
      <c r="F191" s="721">
        <f t="shared" si="71"/>
        <v>501521.2</v>
      </c>
      <c r="G191" s="721">
        <f t="shared" si="71"/>
        <v>548774.43999999994</v>
      </c>
      <c r="H191" s="721">
        <f t="shared" si="71"/>
        <v>530865.47</v>
      </c>
      <c r="I191" s="721">
        <f t="shared" si="71"/>
        <v>502356.32999999996</v>
      </c>
      <c r="J191" s="721">
        <f t="shared" si="71"/>
        <v>587041.71</v>
      </c>
      <c r="K191" s="721">
        <f t="shared" si="71"/>
        <v>560063.15999999992</v>
      </c>
      <c r="L191" s="721">
        <f t="shared" si="71"/>
        <v>653291.67999999993</v>
      </c>
      <c r="M191" s="721">
        <f t="shared" si="71"/>
        <v>562059.31000000006</v>
      </c>
      <c r="N191" s="721">
        <f t="shared" si="71"/>
        <v>465111.51</v>
      </c>
      <c r="O191" s="721">
        <f t="shared" si="71"/>
        <v>456972.94</v>
      </c>
      <c r="P191" s="721">
        <f t="shared" si="67"/>
        <v>6471753.5699999994</v>
      </c>
      <c r="Q191" s="721"/>
    </row>
    <row r="192" spans="1:17" s="718" customFormat="1" x14ac:dyDescent="0.2">
      <c r="B192" s="709" t="s">
        <v>363</v>
      </c>
      <c r="C192" s="724" t="s">
        <v>37</v>
      </c>
      <c r="D192" s="721">
        <f t="shared" si="71"/>
        <v>4280828.5600000005</v>
      </c>
      <c r="E192" s="721">
        <f t="shared" si="71"/>
        <v>4715349.79</v>
      </c>
      <c r="F192" s="721">
        <f t="shared" si="71"/>
        <v>4631320.07</v>
      </c>
      <c r="G192" s="721">
        <f t="shared" si="71"/>
        <v>5126915.4399999995</v>
      </c>
      <c r="H192" s="721">
        <f t="shared" si="71"/>
        <v>4478198.82</v>
      </c>
      <c r="I192" s="721">
        <f t="shared" si="71"/>
        <v>4595260.34</v>
      </c>
      <c r="J192" s="721">
        <f t="shared" si="71"/>
        <v>4463633.12</v>
      </c>
      <c r="K192" s="721">
        <f t="shared" si="71"/>
        <v>4116771.16</v>
      </c>
      <c r="L192" s="721">
        <f t="shared" si="71"/>
        <v>4871480.7699999996</v>
      </c>
      <c r="M192" s="721">
        <f t="shared" si="71"/>
        <v>4319936.82</v>
      </c>
      <c r="N192" s="721">
        <f t="shared" si="71"/>
        <v>4256767.37</v>
      </c>
      <c r="O192" s="721">
        <f t="shared" si="71"/>
        <v>4233782.51</v>
      </c>
      <c r="P192" s="721">
        <f t="shared" si="67"/>
        <v>54090244.769999988</v>
      </c>
      <c r="Q192" s="721"/>
    </row>
    <row r="193" spans="1:17" s="718" customFormat="1" x14ac:dyDescent="0.2">
      <c r="B193" s="718" t="s">
        <v>364</v>
      </c>
      <c r="C193" s="724" t="s">
        <v>39</v>
      </c>
      <c r="D193" s="721">
        <f t="shared" si="71"/>
        <v>24835.61</v>
      </c>
      <c r="E193" s="721">
        <f t="shared" si="71"/>
        <v>18950.099999999999</v>
      </c>
      <c r="F193" s="721">
        <f t="shared" si="71"/>
        <v>14249</v>
      </c>
      <c r="G193" s="721">
        <f t="shared" si="71"/>
        <v>31358.14</v>
      </c>
      <c r="H193" s="721">
        <f t="shared" si="71"/>
        <v>28587.62</v>
      </c>
      <c r="I193" s="721">
        <f t="shared" si="71"/>
        <v>29791.48</v>
      </c>
      <c r="J193" s="721">
        <f t="shared" si="71"/>
        <v>49343.94</v>
      </c>
      <c r="K193" s="721">
        <f t="shared" si="71"/>
        <v>52603.87</v>
      </c>
      <c r="L193" s="721">
        <f t="shared" si="71"/>
        <v>40825.67</v>
      </c>
      <c r="M193" s="721">
        <f t="shared" si="71"/>
        <v>24785.5</v>
      </c>
      <c r="N193" s="721">
        <f t="shared" si="71"/>
        <v>18363.18</v>
      </c>
      <c r="O193" s="721">
        <f t="shared" si="71"/>
        <v>20942.59</v>
      </c>
      <c r="P193" s="721">
        <f t="shared" si="67"/>
        <v>354636.7</v>
      </c>
      <c r="Q193" s="721"/>
    </row>
    <row r="194" spans="1:17" s="718" customFormat="1" x14ac:dyDescent="0.2">
      <c r="B194" s="709" t="s">
        <v>365</v>
      </c>
      <c r="C194" s="724" t="s">
        <v>41</v>
      </c>
      <c r="D194" s="721">
        <f t="shared" si="71"/>
        <v>7598296.1299999999</v>
      </c>
      <c r="E194" s="721">
        <f t="shared" si="71"/>
        <v>7734935.3200000003</v>
      </c>
      <c r="F194" s="721">
        <f t="shared" si="71"/>
        <v>7364818.1600000001</v>
      </c>
      <c r="G194" s="721">
        <f t="shared" si="71"/>
        <v>7444983.4000000004</v>
      </c>
      <c r="H194" s="721">
        <f t="shared" si="71"/>
        <v>6267312.4800000004</v>
      </c>
      <c r="I194" s="721">
        <f t="shared" si="71"/>
        <v>7766997.3499999996</v>
      </c>
      <c r="J194" s="721">
        <f t="shared" si="71"/>
        <v>6317281.6500000004</v>
      </c>
      <c r="K194" s="721">
        <f t="shared" si="71"/>
        <v>6906246.4400000004</v>
      </c>
      <c r="L194" s="721">
        <f t="shared" si="71"/>
        <v>7685171.5099999998</v>
      </c>
      <c r="M194" s="721">
        <f t="shared" si="71"/>
        <v>6615627.5999999996</v>
      </c>
      <c r="N194" s="721">
        <f t="shared" si="71"/>
        <v>6953514.0099999998</v>
      </c>
      <c r="O194" s="721">
        <f t="shared" si="71"/>
        <v>6482373.2000000002</v>
      </c>
      <c r="P194" s="721">
        <f t="shared" si="67"/>
        <v>85137557.25</v>
      </c>
      <c r="Q194" s="729"/>
    </row>
    <row r="195" spans="1:17" s="718" customFormat="1" x14ac:dyDescent="0.2">
      <c r="B195" s="718" t="s">
        <v>391</v>
      </c>
      <c r="C195" s="719"/>
      <c r="D195" s="730">
        <f t="shared" ref="D195:O195" si="72">SUM(D185:D194)</f>
        <v>12597813.736000001</v>
      </c>
      <c r="E195" s="730">
        <f t="shared" si="72"/>
        <v>13122765.15</v>
      </c>
      <c r="F195" s="730">
        <f t="shared" si="72"/>
        <v>12690805.459000001</v>
      </c>
      <c r="G195" s="730">
        <f t="shared" si="72"/>
        <v>13352703.570999999</v>
      </c>
      <c r="H195" s="730">
        <f t="shared" si="72"/>
        <v>11477065.098000001</v>
      </c>
      <c r="I195" s="730">
        <f t="shared" si="72"/>
        <v>13080352.072000001</v>
      </c>
      <c r="J195" s="730">
        <f t="shared" si="72"/>
        <v>11590997.361000001</v>
      </c>
      <c r="K195" s="730">
        <f t="shared" si="72"/>
        <v>11801997.093</v>
      </c>
      <c r="L195" s="730">
        <f t="shared" si="72"/>
        <v>13416273.393999999</v>
      </c>
      <c r="M195" s="730">
        <f t="shared" si="72"/>
        <v>11696405.495000001</v>
      </c>
      <c r="N195" s="730">
        <f t="shared" si="72"/>
        <v>11833395.581</v>
      </c>
      <c r="O195" s="730">
        <f t="shared" si="72"/>
        <v>11316380.637</v>
      </c>
      <c r="P195" s="730">
        <f t="shared" si="67"/>
        <v>147976954.64699998</v>
      </c>
      <c r="Q195" s="729"/>
    </row>
    <row r="196" spans="1:17" x14ac:dyDescent="0.2">
      <c r="A196" s="718"/>
      <c r="B196" s="718" t="s">
        <v>392</v>
      </c>
      <c r="C196" s="719"/>
      <c r="D196" s="730">
        <f t="shared" ref="D196:O196" si="73">D183+D195</f>
        <v>44767990.109000005</v>
      </c>
      <c r="E196" s="730">
        <f t="shared" si="73"/>
        <v>44321712.204000004</v>
      </c>
      <c r="F196" s="730">
        <f t="shared" si="73"/>
        <v>55528619.810000002</v>
      </c>
      <c r="G196" s="730">
        <f t="shared" si="73"/>
        <v>93099778.637999997</v>
      </c>
      <c r="H196" s="730">
        <f t="shared" si="73"/>
        <v>131215309.39500001</v>
      </c>
      <c r="I196" s="730">
        <f t="shared" si="73"/>
        <v>156530872.37800005</v>
      </c>
      <c r="J196" s="730">
        <f t="shared" si="73"/>
        <v>166549704.64200002</v>
      </c>
      <c r="K196" s="730">
        <f t="shared" si="73"/>
        <v>132716463.978</v>
      </c>
      <c r="L196" s="730">
        <f t="shared" si="73"/>
        <v>138023239.37000003</v>
      </c>
      <c r="M196" s="730">
        <f t="shared" si="73"/>
        <v>98978841.535999998</v>
      </c>
      <c r="N196" s="730">
        <f t="shared" si="73"/>
        <v>69771203.847000003</v>
      </c>
      <c r="O196" s="730">
        <f t="shared" si="73"/>
        <v>50266421.470000006</v>
      </c>
      <c r="P196" s="730">
        <f>SUM(D196:O196)</f>
        <v>1181770157.3770001</v>
      </c>
      <c r="Q196" s="738"/>
    </row>
    <row r="197" spans="1:17" x14ac:dyDescent="0.2">
      <c r="C197" s="724"/>
      <c r="D197" s="738"/>
      <c r="E197" s="738"/>
      <c r="F197" s="738"/>
      <c r="G197" s="738"/>
      <c r="H197" s="738"/>
      <c r="I197" s="738"/>
      <c r="J197" s="738"/>
      <c r="K197" s="738"/>
      <c r="L197" s="738"/>
      <c r="M197" s="738"/>
      <c r="N197" s="738"/>
      <c r="O197" s="738"/>
      <c r="P197" s="738"/>
      <c r="Q197" s="738"/>
    </row>
    <row r="198" spans="1:17" x14ac:dyDescent="0.2">
      <c r="B198" s="731" t="s">
        <v>393</v>
      </c>
      <c r="C198" s="724"/>
      <c r="D198" s="738"/>
      <c r="E198" s="738"/>
      <c r="F198" s="738"/>
      <c r="G198" s="738"/>
      <c r="H198" s="738"/>
      <c r="I198" s="738"/>
      <c r="J198" s="738"/>
      <c r="K198" s="738"/>
      <c r="L198" s="738"/>
      <c r="M198" s="738"/>
      <c r="N198" s="738"/>
      <c r="O198" s="738"/>
      <c r="P198" s="738"/>
      <c r="Q198" s="732"/>
    </row>
    <row r="199" spans="1:17" x14ac:dyDescent="0.2">
      <c r="B199" s="752" t="s">
        <v>191</v>
      </c>
      <c r="C199" s="724"/>
      <c r="D199" s="738">
        <v>0</v>
      </c>
      <c r="E199" s="738">
        <v>0</v>
      </c>
      <c r="F199" s="738">
        <v>0</v>
      </c>
      <c r="G199" s="738">
        <v>0</v>
      </c>
      <c r="H199" s="738">
        <v>0</v>
      </c>
      <c r="I199" s="738">
        <v>0</v>
      </c>
      <c r="J199" s="738">
        <v>0</v>
      </c>
      <c r="K199" s="738">
        <v>0</v>
      </c>
      <c r="L199" s="738">
        <v>0</v>
      </c>
      <c r="M199" s="738">
        <v>0</v>
      </c>
      <c r="N199" s="738">
        <v>0</v>
      </c>
      <c r="O199" s="738">
        <v>0</v>
      </c>
      <c r="P199" s="732">
        <f>SUM(D199:O199)</f>
        <v>0</v>
      </c>
      <c r="Q199" s="732"/>
    </row>
    <row r="200" spans="1:17" x14ac:dyDescent="0.2">
      <c r="B200" s="752" t="s">
        <v>394</v>
      </c>
      <c r="C200" s="724"/>
      <c r="D200" s="738">
        <f t="shared" ref="D200:O200" si="74">D153</f>
        <v>0</v>
      </c>
      <c r="E200" s="738">
        <f t="shared" si="74"/>
        <v>0</v>
      </c>
      <c r="F200" s="738">
        <f t="shared" si="74"/>
        <v>1694668</v>
      </c>
      <c r="G200" s="738">
        <f t="shared" si="74"/>
        <v>-272791</v>
      </c>
      <c r="H200" s="738">
        <f t="shared" si="74"/>
        <v>2783060</v>
      </c>
      <c r="I200" s="738">
        <f t="shared" si="74"/>
        <v>-3713640</v>
      </c>
      <c r="J200" s="738">
        <f t="shared" si="74"/>
        <v>12126683</v>
      </c>
      <c r="K200" s="738">
        <f t="shared" si="74"/>
        <v>-7614772</v>
      </c>
      <c r="L200" s="738">
        <f t="shared" si="74"/>
        <v>473028</v>
      </c>
      <c r="M200" s="738">
        <f t="shared" si="74"/>
        <v>2407991</v>
      </c>
      <c r="N200" s="738">
        <f t="shared" si="74"/>
        <v>6809472</v>
      </c>
      <c r="O200" s="738">
        <f t="shared" si="74"/>
        <v>1560235</v>
      </c>
      <c r="P200" s="732">
        <f t="shared" ref="P200:P213" si="75">SUM(D200:O200)</f>
        <v>16253934</v>
      </c>
      <c r="Q200" s="732"/>
    </row>
    <row r="201" spans="1:17" x14ac:dyDescent="0.2">
      <c r="B201" s="753" t="s">
        <v>194</v>
      </c>
      <c r="C201" s="724"/>
      <c r="D201" s="738">
        <f t="shared" ref="D201:L201" si="76">SUM(D154:D154)+D163</f>
        <v>0</v>
      </c>
      <c r="E201" s="738">
        <f t="shared" si="76"/>
        <v>0</v>
      </c>
      <c r="F201" s="738">
        <f t="shared" si="76"/>
        <v>29453</v>
      </c>
      <c r="G201" s="738">
        <f t="shared" si="76"/>
        <v>-58207</v>
      </c>
      <c r="H201" s="738">
        <f t="shared" si="76"/>
        <v>713566</v>
      </c>
      <c r="I201" s="738">
        <f t="shared" si="76"/>
        <v>-1046390</v>
      </c>
      <c r="J201" s="738">
        <f t="shared" si="76"/>
        <v>3448555</v>
      </c>
      <c r="K201" s="738">
        <f t="shared" si="76"/>
        <v>-2075842</v>
      </c>
      <c r="L201" s="738">
        <f t="shared" si="76"/>
        <v>128378</v>
      </c>
      <c r="M201" s="738">
        <f t="shared" ref="M201:O201" si="77">SUM(M154:M154)+M163</f>
        <v>585540</v>
      </c>
      <c r="N201" s="738">
        <f t="shared" si="77"/>
        <v>1398065</v>
      </c>
      <c r="O201" s="738">
        <f t="shared" si="77"/>
        <v>24530</v>
      </c>
      <c r="P201" s="732">
        <f t="shared" si="75"/>
        <v>3147648</v>
      </c>
      <c r="Q201" s="732"/>
    </row>
    <row r="202" spans="1:17" x14ac:dyDescent="0.2">
      <c r="B202" s="752" t="s">
        <v>195</v>
      </c>
      <c r="C202" s="724"/>
      <c r="D202" s="738">
        <f t="shared" ref="D202:O202" si="78">SUM(D155:D155)+D164</f>
        <v>0</v>
      </c>
      <c r="E202" s="738">
        <f t="shared" si="78"/>
        <v>0</v>
      </c>
      <c r="F202" s="738">
        <f t="shared" si="78"/>
        <v>87691</v>
      </c>
      <c r="G202" s="738">
        <f t="shared" si="78"/>
        <v>-16121</v>
      </c>
      <c r="H202" s="738">
        <f t="shared" si="78"/>
        <v>149806</v>
      </c>
      <c r="I202" s="738">
        <f t="shared" si="78"/>
        <v>-201256</v>
      </c>
      <c r="J202" s="738">
        <f t="shared" si="78"/>
        <v>669833</v>
      </c>
      <c r="K202" s="738">
        <f t="shared" si="78"/>
        <v>-403520</v>
      </c>
      <c r="L202" s="738">
        <f t="shared" si="78"/>
        <v>28969</v>
      </c>
      <c r="M202" s="738">
        <f t="shared" si="78"/>
        <v>145624</v>
      </c>
      <c r="N202" s="738">
        <f t="shared" si="78"/>
        <v>480685</v>
      </c>
      <c r="O202" s="738">
        <f t="shared" si="78"/>
        <v>124587</v>
      </c>
      <c r="P202" s="732">
        <f t="shared" si="75"/>
        <v>1066298</v>
      </c>
      <c r="Q202" s="732"/>
    </row>
    <row r="203" spans="1:17" x14ac:dyDescent="0.2">
      <c r="B203" s="752" t="s">
        <v>395</v>
      </c>
      <c r="C203" s="724"/>
      <c r="D203" s="738">
        <v>0</v>
      </c>
      <c r="E203" s="738">
        <v>0</v>
      </c>
      <c r="F203" s="738">
        <v>0</v>
      </c>
      <c r="G203" s="738">
        <v>0</v>
      </c>
      <c r="H203" s="738">
        <v>0</v>
      </c>
      <c r="I203" s="738">
        <v>0</v>
      </c>
      <c r="J203" s="738">
        <v>0</v>
      </c>
      <c r="K203" s="738">
        <v>0</v>
      </c>
      <c r="L203" s="738">
        <v>0</v>
      </c>
      <c r="M203" s="738">
        <v>0</v>
      </c>
      <c r="N203" s="738">
        <v>0</v>
      </c>
      <c r="O203" s="738">
        <v>0</v>
      </c>
      <c r="P203" s="732">
        <f t="shared" si="75"/>
        <v>0</v>
      </c>
      <c r="Q203" s="732"/>
    </row>
    <row r="204" spans="1:17" x14ac:dyDescent="0.2">
      <c r="B204" s="752" t="s">
        <v>198</v>
      </c>
      <c r="C204" s="724"/>
      <c r="D204" s="738">
        <f t="shared" ref="D204:O207" si="79">D159</f>
        <v>0</v>
      </c>
      <c r="E204" s="738">
        <f t="shared" si="79"/>
        <v>0</v>
      </c>
      <c r="F204" s="738">
        <f t="shared" si="79"/>
        <v>0</v>
      </c>
      <c r="G204" s="738">
        <f t="shared" si="79"/>
        <v>-1179</v>
      </c>
      <c r="H204" s="738">
        <f t="shared" si="79"/>
        <v>3170</v>
      </c>
      <c r="I204" s="738">
        <f t="shared" si="79"/>
        <v>0</v>
      </c>
      <c r="J204" s="738">
        <f t="shared" si="79"/>
        <v>70309</v>
      </c>
      <c r="K204" s="738">
        <f t="shared" si="79"/>
        <v>-43357</v>
      </c>
      <c r="L204" s="738">
        <f t="shared" si="79"/>
        <v>1732</v>
      </c>
      <c r="M204" s="738">
        <f t="shared" si="79"/>
        <v>7108</v>
      </c>
      <c r="N204" s="738">
        <f t="shared" si="79"/>
        <v>0</v>
      </c>
      <c r="O204" s="738">
        <f t="shared" si="79"/>
        <v>0</v>
      </c>
      <c r="P204" s="732">
        <f t="shared" si="75"/>
        <v>37783</v>
      </c>
      <c r="Q204" s="732"/>
    </row>
    <row r="205" spans="1:17" x14ac:dyDescent="0.2">
      <c r="B205" s="752" t="s">
        <v>200</v>
      </c>
      <c r="C205" s="724"/>
      <c r="D205" s="738">
        <f t="shared" si="79"/>
        <v>0</v>
      </c>
      <c r="E205" s="738">
        <f t="shared" si="79"/>
        <v>0</v>
      </c>
      <c r="F205" s="738">
        <f t="shared" si="79"/>
        <v>0</v>
      </c>
      <c r="G205" s="738">
        <f t="shared" si="79"/>
        <v>-1377</v>
      </c>
      <c r="H205" s="738">
        <f t="shared" si="79"/>
        <v>3547</v>
      </c>
      <c r="I205" s="738">
        <f t="shared" si="79"/>
        <v>0</v>
      </c>
      <c r="J205" s="738">
        <f t="shared" si="79"/>
        <v>71982</v>
      </c>
      <c r="K205" s="738">
        <f t="shared" si="79"/>
        <v>-47007</v>
      </c>
      <c r="L205" s="738">
        <f t="shared" si="79"/>
        <v>1822</v>
      </c>
      <c r="M205" s="738">
        <f t="shared" si="79"/>
        <v>7404</v>
      </c>
      <c r="N205" s="738">
        <f t="shared" si="79"/>
        <v>0</v>
      </c>
      <c r="O205" s="738">
        <f t="shared" si="79"/>
        <v>0</v>
      </c>
      <c r="P205" s="732">
        <f t="shared" si="75"/>
        <v>36371</v>
      </c>
      <c r="Q205" s="732"/>
    </row>
    <row r="206" spans="1:17" x14ac:dyDescent="0.2">
      <c r="B206" s="752" t="s">
        <v>202</v>
      </c>
      <c r="C206" s="724"/>
      <c r="D206" s="738">
        <f t="shared" si="79"/>
        <v>0</v>
      </c>
      <c r="E206" s="738">
        <f t="shared" si="79"/>
        <v>0</v>
      </c>
      <c r="F206" s="738">
        <f t="shared" si="79"/>
        <v>0</v>
      </c>
      <c r="G206" s="738">
        <f t="shared" si="79"/>
        <v>-1464</v>
      </c>
      <c r="H206" s="738">
        <f t="shared" si="79"/>
        <v>4179</v>
      </c>
      <c r="I206" s="738">
        <f t="shared" si="79"/>
        <v>0</v>
      </c>
      <c r="J206" s="738">
        <f t="shared" si="79"/>
        <v>94022</v>
      </c>
      <c r="K206" s="738">
        <f t="shared" si="79"/>
        <v>-52176</v>
      </c>
      <c r="L206" s="738">
        <f t="shared" si="79"/>
        <v>2076</v>
      </c>
      <c r="M206" s="738">
        <f t="shared" si="79"/>
        <v>8419</v>
      </c>
      <c r="N206" s="738">
        <f t="shared" si="79"/>
        <v>0</v>
      </c>
      <c r="O206" s="738">
        <f t="shared" si="79"/>
        <v>0</v>
      </c>
      <c r="P206" s="732">
        <f t="shared" si="75"/>
        <v>55056</v>
      </c>
      <c r="Q206" s="732"/>
    </row>
    <row r="207" spans="1:17" x14ac:dyDescent="0.2">
      <c r="B207" s="709" t="s">
        <v>396</v>
      </c>
      <c r="C207" s="724"/>
      <c r="D207" s="738">
        <f t="shared" si="79"/>
        <v>0</v>
      </c>
      <c r="E207" s="738">
        <f t="shared" si="79"/>
        <v>0</v>
      </c>
      <c r="F207" s="738">
        <f t="shared" si="79"/>
        <v>24</v>
      </c>
      <c r="G207" s="738">
        <f t="shared" si="79"/>
        <v>-2</v>
      </c>
      <c r="H207" s="738">
        <f t="shared" si="79"/>
        <v>23</v>
      </c>
      <c r="I207" s="738">
        <f t="shared" si="79"/>
        <v>-25</v>
      </c>
      <c r="J207" s="738">
        <f t="shared" si="79"/>
        <v>115</v>
      </c>
      <c r="K207" s="738">
        <f t="shared" si="79"/>
        <v>-69</v>
      </c>
      <c r="L207" s="738">
        <f t="shared" si="79"/>
        <v>2</v>
      </c>
      <c r="M207" s="738">
        <f t="shared" si="79"/>
        <v>22</v>
      </c>
      <c r="N207" s="738">
        <f t="shared" si="79"/>
        <v>47</v>
      </c>
      <c r="O207" s="738">
        <f t="shared" si="79"/>
        <v>10</v>
      </c>
      <c r="P207" s="732">
        <f t="shared" si="75"/>
        <v>147</v>
      </c>
      <c r="Q207" s="732"/>
    </row>
    <row r="208" spans="1:17" x14ac:dyDescent="0.2">
      <c r="B208" s="709" t="s">
        <v>397</v>
      </c>
      <c r="C208" s="724"/>
      <c r="D208" s="738">
        <f t="shared" ref="D208:O209" si="80">D156</f>
        <v>0</v>
      </c>
      <c r="E208" s="738">
        <f t="shared" si="80"/>
        <v>0</v>
      </c>
      <c r="F208" s="738">
        <f t="shared" si="80"/>
        <v>0</v>
      </c>
      <c r="G208" s="738">
        <f t="shared" si="80"/>
        <v>-911</v>
      </c>
      <c r="H208" s="738">
        <f t="shared" si="80"/>
        <v>10330</v>
      </c>
      <c r="I208" s="738">
        <f t="shared" si="80"/>
        <v>-11569</v>
      </c>
      <c r="J208" s="738">
        <f t="shared" si="80"/>
        <v>53960</v>
      </c>
      <c r="K208" s="738">
        <f t="shared" si="80"/>
        <v>-31805</v>
      </c>
      <c r="L208" s="738">
        <f t="shared" si="80"/>
        <v>1092</v>
      </c>
      <c r="M208" s="738">
        <f t="shared" si="80"/>
        <v>12521</v>
      </c>
      <c r="N208" s="738">
        <f t="shared" si="80"/>
        <v>25984</v>
      </c>
      <c r="O208" s="738">
        <f t="shared" si="80"/>
        <v>0</v>
      </c>
      <c r="P208" s="732">
        <f t="shared" si="75"/>
        <v>59602</v>
      </c>
      <c r="Q208" s="732"/>
    </row>
    <row r="209" spans="1:17" x14ac:dyDescent="0.2">
      <c r="B209" s="709" t="s">
        <v>398</v>
      </c>
      <c r="C209" s="724"/>
      <c r="D209" s="738">
        <f t="shared" si="80"/>
        <v>0</v>
      </c>
      <c r="E209" s="738">
        <f t="shared" si="80"/>
        <v>0</v>
      </c>
      <c r="F209" s="738">
        <f t="shared" si="80"/>
        <v>0</v>
      </c>
      <c r="G209" s="738">
        <f t="shared" si="80"/>
        <v>-1608</v>
      </c>
      <c r="H209" s="738">
        <f t="shared" si="80"/>
        <v>18334</v>
      </c>
      <c r="I209" s="738">
        <f t="shared" si="80"/>
        <v>-21338</v>
      </c>
      <c r="J209" s="738">
        <f t="shared" si="80"/>
        <v>95773</v>
      </c>
      <c r="K209" s="738">
        <f t="shared" si="80"/>
        <v>-40499</v>
      </c>
      <c r="L209" s="738">
        <f t="shared" si="80"/>
        <v>1613</v>
      </c>
      <c r="M209" s="738">
        <f t="shared" si="80"/>
        <v>20904</v>
      </c>
      <c r="N209" s="738">
        <f t="shared" si="80"/>
        <v>62330</v>
      </c>
      <c r="O209" s="738">
        <f t="shared" si="80"/>
        <v>18537</v>
      </c>
      <c r="P209" s="732">
        <f t="shared" si="75"/>
        <v>154046</v>
      </c>
      <c r="Q209" s="732"/>
    </row>
    <row r="210" spans="1:17" x14ac:dyDescent="0.2">
      <c r="B210" s="718" t="s">
        <v>399</v>
      </c>
      <c r="C210" s="724"/>
      <c r="D210" s="738">
        <v>0</v>
      </c>
      <c r="E210" s="738">
        <v>0</v>
      </c>
      <c r="F210" s="738">
        <v>0</v>
      </c>
      <c r="G210" s="738">
        <v>0</v>
      </c>
      <c r="H210" s="738">
        <v>0</v>
      </c>
      <c r="I210" s="738">
        <v>0</v>
      </c>
      <c r="J210" s="738">
        <v>0</v>
      </c>
      <c r="K210" s="738">
        <v>0</v>
      </c>
      <c r="L210" s="738">
        <v>0</v>
      </c>
      <c r="M210" s="738">
        <v>0</v>
      </c>
      <c r="N210" s="738">
        <v>0</v>
      </c>
      <c r="O210" s="738">
        <v>0</v>
      </c>
      <c r="P210" s="732">
        <f t="shared" si="75"/>
        <v>0</v>
      </c>
      <c r="Q210" s="732"/>
    </row>
    <row r="211" spans="1:17" s="739" customFormat="1" x14ac:dyDescent="0.2">
      <c r="A211" s="709"/>
      <c r="B211" s="709" t="s">
        <v>400</v>
      </c>
      <c r="C211" s="724"/>
      <c r="D211" s="738">
        <f t="shared" ref="D211:O211" si="81">D158</f>
        <v>0</v>
      </c>
      <c r="E211" s="738">
        <f t="shared" si="81"/>
        <v>0</v>
      </c>
      <c r="F211" s="738">
        <f t="shared" si="81"/>
        <v>0</v>
      </c>
      <c r="G211" s="738">
        <f t="shared" si="81"/>
        <v>-2200</v>
      </c>
      <c r="H211" s="738">
        <f t="shared" si="81"/>
        <v>32863</v>
      </c>
      <c r="I211" s="738">
        <f t="shared" si="81"/>
        <v>-37796</v>
      </c>
      <c r="J211" s="738">
        <f t="shared" si="81"/>
        <v>167857</v>
      </c>
      <c r="K211" s="738">
        <f t="shared" si="81"/>
        <v>-89985</v>
      </c>
      <c r="L211" s="738">
        <f t="shared" si="81"/>
        <v>2749</v>
      </c>
      <c r="M211" s="738">
        <f t="shared" si="81"/>
        <v>37151</v>
      </c>
      <c r="N211" s="738">
        <f t="shared" si="81"/>
        <v>109586</v>
      </c>
      <c r="O211" s="738">
        <f t="shared" si="81"/>
        <v>24947</v>
      </c>
      <c r="P211" s="732">
        <f t="shared" si="75"/>
        <v>245172</v>
      </c>
      <c r="Q211" s="738"/>
    </row>
    <row r="212" spans="1:17" x14ac:dyDescent="0.2">
      <c r="A212" s="739"/>
      <c r="B212" s="754" t="s">
        <v>13</v>
      </c>
      <c r="C212" s="755"/>
      <c r="D212" s="738">
        <f t="shared" ref="D212:O212" si="82">D165</f>
        <v>0</v>
      </c>
      <c r="E212" s="738">
        <f t="shared" si="82"/>
        <v>0</v>
      </c>
      <c r="F212" s="738">
        <f t="shared" si="82"/>
        <v>125789</v>
      </c>
      <c r="G212" s="738">
        <f t="shared" si="82"/>
        <v>-7640</v>
      </c>
      <c r="H212" s="738">
        <f t="shared" si="82"/>
        <v>88655</v>
      </c>
      <c r="I212" s="738">
        <f t="shared" si="82"/>
        <v>-83661</v>
      </c>
      <c r="J212" s="738">
        <f t="shared" si="82"/>
        <v>411040</v>
      </c>
      <c r="K212" s="738">
        <f t="shared" si="82"/>
        <v>-247412</v>
      </c>
      <c r="L212" s="738">
        <f t="shared" si="82"/>
        <v>7408</v>
      </c>
      <c r="M212" s="738">
        <f t="shared" si="82"/>
        <v>109805</v>
      </c>
      <c r="N212" s="738">
        <f t="shared" si="82"/>
        <v>290178</v>
      </c>
      <c r="O212" s="738">
        <f t="shared" si="82"/>
        <v>87068</v>
      </c>
      <c r="P212" s="738">
        <f t="shared" si="75"/>
        <v>781230</v>
      </c>
      <c r="Q212" s="738"/>
    </row>
    <row r="213" spans="1:17" x14ac:dyDescent="0.2">
      <c r="B213" s="752" t="s">
        <v>383</v>
      </c>
      <c r="C213" s="724"/>
      <c r="D213" s="750">
        <f t="shared" ref="D213:O213" si="83">SUM(D199:D212)</f>
        <v>0</v>
      </c>
      <c r="E213" s="750">
        <f t="shared" si="83"/>
        <v>0</v>
      </c>
      <c r="F213" s="750">
        <f t="shared" si="83"/>
        <v>1937625</v>
      </c>
      <c r="G213" s="750">
        <f t="shared" si="83"/>
        <v>-363500</v>
      </c>
      <c r="H213" s="750">
        <f t="shared" si="83"/>
        <v>3807533</v>
      </c>
      <c r="I213" s="750">
        <f t="shared" si="83"/>
        <v>-5115675</v>
      </c>
      <c r="J213" s="750">
        <f t="shared" si="83"/>
        <v>17210129</v>
      </c>
      <c r="K213" s="750">
        <f t="shared" si="83"/>
        <v>-10646444</v>
      </c>
      <c r="L213" s="750">
        <f t="shared" si="83"/>
        <v>648869</v>
      </c>
      <c r="M213" s="750">
        <f t="shared" si="83"/>
        <v>3342489</v>
      </c>
      <c r="N213" s="750">
        <f t="shared" si="83"/>
        <v>9176347</v>
      </c>
      <c r="O213" s="750">
        <f t="shared" si="83"/>
        <v>1839914</v>
      </c>
      <c r="P213" s="750">
        <f t="shared" si="75"/>
        <v>21837287</v>
      </c>
      <c r="Q213" s="738"/>
    </row>
    <row r="214" spans="1:17" x14ac:dyDescent="0.2">
      <c r="B214" s="756" t="s">
        <v>49</v>
      </c>
      <c r="C214" s="757"/>
      <c r="D214" s="758">
        <f t="shared" ref="D214:O214" si="84">D213-D150</f>
        <v>0</v>
      </c>
      <c r="E214" s="758">
        <f t="shared" si="84"/>
        <v>0</v>
      </c>
      <c r="F214" s="758">
        <f t="shared" si="84"/>
        <v>-0.58639401569962502</v>
      </c>
      <c r="G214" s="758">
        <f t="shared" si="84"/>
        <v>0.20839445712044835</v>
      </c>
      <c r="H214" s="758">
        <f t="shared" si="84"/>
        <v>0.63969219289720058</v>
      </c>
      <c r="I214" s="758">
        <f t="shared" si="84"/>
        <v>1.0372067615389824</v>
      </c>
      <c r="J214" s="758">
        <f t="shared" si="84"/>
        <v>-1.0336297564208508</v>
      </c>
      <c r="K214" s="758">
        <f t="shared" si="84"/>
        <v>1.0201138965785503</v>
      </c>
      <c r="L214" s="758">
        <f t="shared" si="84"/>
        <v>1.945725679397583</v>
      </c>
      <c r="M214" s="758">
        <f t="shared" si="84"/>
        <v>-1.1089804284274578</v>
      </c>
      <c r="N214" s="758">
        <f t="shared" si="84"/>
        <v>0.14417979866266251</v>
      </c>
      <c r="O214" s="758">
        <f t="shared" si="84"/>
        <v>-6.451600044965744E-2</v>
      </c>
      <c r="P214" s="758">
        <f t="shared" ref="P214" si="85">SUM(D214:L214)</f>
        <v>3.2311092154122889</v>
      </c>
      <c r="Q214" s="738"/>
    </row>
    <row r="215" spans="1:17" x14ac:dyDescent="0.2">
      <c r="C215" s="724"/>
      <c r="D215" s="738"/>
      <c r="E215" s="738"/>
      <c r="F215" s="738"/>
      <c r="G215" s="738"/>
      <c r="H215" s="738"/>
      <c r="I215" s="738"/>
      <c r="J215" s="738"/>
      <c r="K215" s="738"/>
      <c r="L215" s="738"/>
      <c r="M215" s="738"/>
      <c r="N215" s="738"/>
      <c r="O215" s="738"/>
      <c r="P215" s="738"/>
      <c r="Q215" s="738"/>
    </row>
    <row r="216" spans="1:17" x14ac:dyDescent="0.2">
      <c r="B216" s="731" t="s">
        <v>401</v>
      </c>
      <c r="C216" s="724"/>
      <c r="D216" s="738"/>
      <c r="E216" s="738"/>
      <c r="F216" s="738"/>
      <c r="G216" s="738"/>
      <c r="H216" s="738"/>
      <c r="I216" s="738"/>
      <c r="J216" s="738"/>
      <c r="K216" s="738"/>
      <c r="L216" s="738"/>
      <c r="M216" s="738"/>
      <c r="N216" s="738"/>
      <c r="O216" s="738"/>
      <c r="P216" s="738"/>
      <c r="Q216" s="732"/>
    </row>
    <row r="217" spans="1:17" x14ac:dyDescent="0.2">
      <c r="B217" s="752" t="s">
        <v>191</v>
      </c>
      <c r="C217" s="724"/>
      <c r="D217" s="738">
        <f t="shared" ref="D217:O217" si="86">D185</f>
        <v>826.07600000000002</v>
      </c>
      <c r="E217" s="738">
        <f t="shared" si="86"/>
        <v>820.92700000000002</v>
      </c>
      <c r="F217" s="738">
        <f t="shared" si="86"/>
        <v>774.51800000000003</v>
      </c>
      <c r="G217" s="738">
        <f t="shared" si="86"/>
        <v>824.08199999999999</v>
      </c>
      <c r="H217" s="738">
        <f t="shared" si="86"/>
        <v>783.54899999999998</v>
      </c>
      <c r="I217" s="738">
        <f t="shared" si="86"/>
        <v>800.10699999999997</v>
      </c>
      <c r="J217" s="738">
        <f t="shared" si="86"/>
        <v>797.62900000000002</v>
      </c>
      <c r="K217" s="738">
        <f t="shared" si="86"/>
        <v>723.62300000000005</v>
      </c>
      <c r="L217" s="738">
        <f t="shared" si="86"/>
        <v>835.85599999999999</v>
      </c>
      <c r="M217" s="738">
        <f t="shared" si="86"/>
        <v>821.65099999999995</v>
      </c>
      <c r="N217" s="738">
        <f t="shared" si="86"/>
        <v>818.67499999999995</v>
      </c>
      <c r="O217" s="738">
        <f t="shared" si="86"/>
        <v>765.35199999999998</v>
      </c>
      <c r="P217" s="732">
        <f>SUM(D217:O217)</f>
        <v>9592.0450000000001</v>
      </c>
      <c r="Q217" s="732"/>
    </row>
    <row r="218" spans="1:17" x14ac:dyDescent="0.2">
      <c r="B218" s="752" t="s">
        <v>394</v>
      </c>
      <c r="C218" s="724"/>
      <c r="D218" s="738">
        <f t="shared" ref="D218:O218" si="87">D170+D186</f>
        <v>13443855.640999999</v>
      </c>
      <c r="E218" s="738">
        <f t="shared" si="87"/>
        <v>12736019.268999999</v>
      </c>
      <c r="F218" s="738">
        <f t="shared" si="87"/>
        <v>21647743.550999999</v>
      </c>
      <c r="G218" s="738">
        <f t="shared" si="87"/>
        <v>46156027.060000002</v>
      </c>
      <c r="H218" s="738">
        <f t="shared" si="87"/>
        <v>73741965.106999993</v>
      </c>
      <c r="I218" s="738">
        <f t="shared" si="87"/>
        <v>88509690.754000008</v>
      </c>
      <c r="J218" s="738">
        <f t="shared" si="87"/>
        <v>97226749.259000003</v>
      </c>
      <c r="K218" s="738">
        <f t="shared" si="87"/>
        <v>73367933.715999991</v>
      </c>
      <c r="L218" s="738">
        <f t="shared" si="87"/>
        <v>75843560.385000005</v>
      </c>
      <c r="M218" s="738">
        <f t="shared" si="87"/>
        <v>50269722.055</v>
      </c>
      <c r="N218" s="738">
        <f t="shared" si="87"/>
        <v>30887232.546</v>
      </c>
      <c r="O218" s="738">
        <f t="shared" si="87"/>
        <v>19275348.866999999</v>
      </c>
      <c r="P218" s="732">
        <f t="shared" ref="P218:P231" si="88">SUM(D218:O218)</f>
        <v>603105848.20999992</v>
      </c>
      <c r="Q218" s="732"/>
    </row>
    <row r="219" spans="1:17" x14ac:dyDescent="0.2">
      <c r="B219" s="753" t="s">
        <v>194</v>
      </c>
      <c r="C219" s="724"/>
      <c r="D219" s="738">
        <f t="shared" ref="D219:O219" si="89">SUM(D171:D171)+D180</f>
        <v>8023212.7980000004</v>
      </c>
      <c r="E219" s="738">
        <f t="shared" si="89"/>
        <v>7868703.7030000007</v>
      </c>
      <c r="F219" s="738">
        <f t="shared" si="89"/>
        <v>9578312.2190000005</v>
      </c>
      <c r="G219" s="738">
        <f t="shared" si="89"/>
        <v>16934863.227000002</v>
      </c>
      <c r="H219" s="738">
        <f t="shared" si="89"/>
        <v>25547691.226999998</v>
      </c>
      <c r="I219" s="738">
        <f t="shared" si="89"/>
        <v>31378118.582000002</v>
      </c>
      <c r="J219" s="738">
        <f t="shared" si="89"/>
        <v>33821766.534999996</v>
      </c>
      <c r="K219" s="738">
        <f t="shared" si="89"/>
        <v>26737363.708000001</v>
      </c>
      <c r="L219" s="738">
        <f t="shared" si="89"/>
        <v>27360801.246000003</v>
      </c>
      <c r="M219" s="738">
        <f t="shared" si="89"/>
        <v>19203020.005000003</v>
      </c>
      <c r="N219" s="738">
        <f t="shared" si="89"/>
        <v>12802351.787</v>
      </c>
      <c r="O219" s="738">
        <f t="shared" si="89"/>
        <v>9348527.4330000002</v>
      </c>
      <c r="P219" s="732">
        <f t="shared" si="88"/>
        <v>228604732.46999997</v>
      </c>
      <c r="Q219" s="732"/>
    </row>
    <row r="220" spans="1:17" x14ac:dyDescent="0.2">
      <c r="B220" s="752" t="s">
        <v>195</v>
      </c>
      <c r="C220" s="724"/>
      <c r="D220" s="738">
        <f t="shared" ref="D220:O220" si="90">D172+D181</f>
        <v>3152377.75</v>
      </c>
      <c r="E220" s="738">
        <f t="shared" si="90"/>
        <v>3028375.96</v>
      </c>
      <c r="F220" s="738">
        <f t="shared" si="90"/>
        <v>3590363.7609999999</v>
      </c>
      <c r="G220" s="738">
        <f t="shared" si="90"/>
        <v>5337793.7060000002</v>
      </c>
      <c r="H220" s="738">
        <f t="shared" si="90"/>
        <v>6705542.3960000006</v>
      </c>
      <c r="I220" s="738">
        <f t="shared" si="90"/>
        <v>7771080.1879999992</v>
      </c>
      <c r="J220" s="738">
        <f t="shared" si="90"/>
        <v>8199254.8569999998</v>
      </c>
      <c r="K220" s="738">
        <f t="shared" si="90"/>
        <v>6874280.1060000006</v>
      </c>
      <c r="L220" s="738">
        <f t="shared" si="90"/>
        <v>7182884.3100000005</v>
      </c>
      <c r="M220" s="738">
        <f t="shared" si="90"/>
        <v>5745988.2310000006</v>
      </c>
      <c r="N220" s="738">
        <f t="shared" si="90"/>
        <v>4481751.682</v>
      </c>
      <c r="O220" s="738">
        <f t="shared" si="90"/>
        <v>1897175.0699999998</v>
      </c>
      <c r="P220" s="732">
        <f t="shared" si="88"/>
        <v>63966868.016999997</v>
      </c>
      <c r="Q220" s="732"/>
    </row>
    <row r="221" spans="1:17" x14ac:dyDescent="0.2">
      <c r="B221" s="752" t="s">
        <v>395</v>
      </c>
      <c r="C221" s="724"/>
      <c r="D221" s="738"/>
      <c r="E221" s="738"/>
      <c r="F221" s="738"/>
      <c r="G221" s="738"/>
      <c r="H221" s="738"/>
      <c r="I221" s="738"/>
      <c r="J221" s="738"/>
      <c r="K221" s="738"/>
      <c r="L221" s="738"/>
      <c r="M221" s="738"/>
      <c r="N221" s="738"/>
      <c r="O221" s="738"/>
      <c r="P221" s="732">
        <f t="shared" si="88"/>
        <v>0</v>
      </c>
      <c r="Q221" s="732"/>
    </row>
    <row r="222" spans="1:17" x14ac:dyDescent="0.2">
      <c r="B222" s="752" t="s">
        <v>198</v>
      </c>
      <c r="C222" s="724"/>
      <c r="D222" s="738">
        <f t="shared" ref="D222:O224" si="91">D176+D188</f>
        <v>836289.44500000007</v>
      </c>
      <c r="E222" s="738">
        <f t="shared" si="91"/>
        <v>772468.12399999984</v>
      </c>
      <c r="F222" s="738">
        <f t="shared" si="91"/>
        <v>909674.81900000002</v>
      </c>
      <c r="G222" s="738">
        <f t="shared" si="91"/>
        <v>1382235.878</v>
      </c>
      <c r="H222" s="738">
        <f t="shared" si="91"/>
        <v>1705057.9990000001</v>
      </c>
      <c r="I222" s="738">
        <f t="shared" si="91"/>
        <v>2029384.3720000002</v>
      </c>
      <c r="J222" s="738">
        <f t="shared" si="91"/>
        <v>1933608.2690000001</v>
      </c>
      <c r="K222" s="738">
        <f t="shared" si="91"/>
        <v>1680524.0340000002</v>
      </c>
      <c r="L222" s="738">
        <f t="shared" si="91"/>
        <v>1789387.747</v>
      </c>
      <c r="M222" s="738">
        <f t="shared" si="91"/>
        <v>1400451.9129999999</v>
      </c>
      <c r="N222" s="738">
        <f t="shared" si="91"/>
        <v>1046948.3860000001</v>
      </c>
      <c r="O222" s="738">
        <f t="shared" si="91"/>
        <v>821758.44000000006</v>
      </c>
      <c r="P222" s="732">
        <f t="shared" si="88"/>
        <v>16307789.425999999</v>
      </c>
      <c r="Q222" s="732"/>
    </row>
    <row r="223" spans="1:17" x14ac:dyDescent="0.2">
      <c r="B223" s="752" t="s">
        <v>200</v>
      </c>
      <c r="C223" s="724"/>
      <c r="D223" s="738">
        <f t="shared" si="91"/>
        <v>215797.27499999999</v>
      </c>
      <c r="E223" s="738">
        <f t="shared" si="91"/>
        <v>200043.261</v>
      </c>
      <c r="F223" s="738">
        <f t="shared" si="91"/>
        <v>379761.01699999999</v>
      </c>
      <c r="G223" s="738">
        <f t="shared" si="91"/>
        <v>816241.58800000011</v>
      </c>
      <c r="H223" s="738">
        <f t="shared" si="91"/>
        <v>1048827.237</v>
      </c>
      <c r="I223" s="738">
        <f t="shared" si="91"/>
        <v>1301022.3529999999</v>
      </c>
      <c r="J223" s="738">
        <f t="shared" si="91"/>
        <v>1276427.676</v>
      </c>
      <c r="K223" s="738">
        <f t="shared" si="91"/>
        <v>1068462.2690000001</v>
      </c>
      <c r="L223" s="738">
        <f t="shared" si="91"/>
        <v>1127623.6189999999</v>
      </c>
      <c r="M223" s="738">
        <f t="shared" si="91"/>
        <v>868268.65500000014</v>
      </c>
      <c r="N223" s="738">
        <f t="shared" si="91"/>
        <v>488370.93900000007</v>
      </c>
      <c r="O223" s="738">
        <f t="shared" si="91"/>
        <v>316422.65299999999</v>
      </c>
      <c r="P223" s="732">
        <f t="shared" si="88"/>
        <v>9107268.5420000013</v>
      </c>
      <c r="Q223" s="732"/>
    </row>
    <row r="224" spans="1:17" x14ac:dyDescent="0.2">
      <c r="B224" s="752" t="s">
        <v>202</v>
      </c>
      <c r="C224" s="724"/>
      <c r="D224" s="738">
        <f t="shared" si="91"/>
        <v>1205163.1340000001</v>
      </c>
      <c r="E224" s="738">
        <f t="shared" si="91"/>
        <v>1191232.98</v>
      </c>
      <c r="F224" s="738">
        <f t="shared" si="91"/>
        <v>1297454.0249999999</v>
      </c>
      <c r="G224" s="738">
        <f t="shared" si="91"/>
        <v>1956862.8969999999</v>
      </c>
      <c r="H224" s="738">
        <f t="shared" si="91"/>
        <v>2346051.3509999998</v>
      </c>
      <c r="I224" s="738">
        <f t="shared" si="91"/>
        <v>2817477.4819999998</v>
      </c>
      <c r="J224" s="738">
        <f t="shared" si="91"/>
        <v>2582095.4070000001</v>
      </c>
      <c r="K224" s="738">
        <f t="shared" si="91"/>
        <v>2453869.7620000001</v>
      </c>
      <c r="L224" s="738">
        <f t="shared" si="91"/>
        <v>2432020.3769999999</v>
      </c>
      <c r="M224" s="738">
        <f t="shared" si="91"/>
        <v>2074669.916</v>
      </c>
      <c r="N224" s="738">
        <f t="shared" si="91"/>
        <v>1485710.202</v>
      </c>
      <c r="O224" s="738">
        <f t="shared" si="91"/>
        <v>1430551.095</v>
      </c>
      <c r="P224" s="732">
        <f t="shared" si="88"/>
        <v>23273158.627999999</v>
      </c>
      <c r="Q224" s="732"/>
    </row>
    <row r="225" spans="1:17" x14ac:dyDescent="0.2">
      <c r="B225" s="709" t="s">
        <v>396</v>
      </c>
      <c r="C225" s="724"/>
      <c r="D225" s="738">
        <f t="shared" ref="D225:O225" si="92">D187+D179</f>
        <v>910.31000000000006</v>
      </c>
      <c r="E225" s="738">
        <f t="shared" si="92"/>
        <v>879.71</v>
      </c>
      <c r="F225" s="738">
        <f t="shared" si="92"/>
        <v>1247.21</v>
      </c>
      <c r="G225" s="738">
        <f t="shared" si="92"/>
        <v>3838.74</v>
      </c>
      <c r="H225" s="738">
        <f t="shared" si="92"/>
        <v>5767.1</v>
      </c>
      <c r="I225" s="738">
        <f t="shared" si="92"/>
        <v>8025.07</v>
      </c>
      <c r="J225" s="738">
        <f t="shared" si="92"/>
        <v>5002.67</v>
      </c>
      <c r="K225" s="738">
        <f t="shared" si="92"/>
        <v>6550.45</v>
      </c>
      <c r="L225" s="738">
        <f t="shared" si="92"/>
        <v>5064.18</v>
      </c>
      <c r="M225" s="738">
        <f t="shared" si="92"/>
        <v>3517.5600000000004</v>
      </c>
      <c r="N225" s="738">
        <f t="shared" si="92"/>
        <v>1618.33</v>
      </c>
      <c r="O225" s="738">
        <f t="shared" si="92"/>
        <v>992.44</v>
      </c>
      <c r="P225" s="732">
        <f t="shared" si="88"/>
        <v>43413.770000000004</v>
      </c>
      <c r="Q225" s="732"/>
    </row>
    <row r="226" spans="1:17" x14ac:dyDescent="0.2">
      <c r="B226" s="709" t="s">
        <v>397</v>
      </c>
      <c r="C226" s="724"/>
      <c r="D226" s="738">
        <f t="shared" ref="D226:O227" si="93">D173+D191</f>
        <v>1409196.13</v>
      </c>
      <c r="E226" s="738">
        <f t="shared" si="93"/>
        <v>1455982.78</v>
      </c>
      <c r="F226" s="738">
        <f t="shared" si="93"/>
        <v>1376139.56</v>
      </c>
      <c r="G226" s="738">
        <f t="shared" si="93"/>
        <v>1587400.12</v>
      </c>
      <c r="H226" s="738">
        <f t="shared" si="93"/>
        <v>1682324.709</v>
      </c>
      <c r="I226" s="738">
        <f t="shared" si="93"/>
        <v>1740155.9700000002</v>
      </c>
      <c r="J226" s="738">
        <f t="shared" si="93"/>
        <v>1896974.1</v>
      </c>
      <c r="K226" s="738">
        <f t="shared" si="93"/>
        <v>1747749.17</v>
      </c>
      <c r="L226" s="738">
        <f t="shared" si="93"/>
        <v>1903759.5399999998</v>
      </c>
      <c r="M226" s="738">
        <f t="shared" si="93"/>
        <v>1695900.24</v>
      </c>
      <c r="N226" s="738">
        <f t="shared" si="93"/>
        <v>1488537.73</v>
      </c>
      <c r="O226" s="738">
        <f t="shared" si="93"/>
        <v>1270129.47</v>
      </c>
      <c r="P226" s="732">
        <f t="shared" si="88"/>
        <v>19254249.518999998</v>
      </c>
      <c r="Q226" s="732"/>
    </row>
    <row r="227" spans="1:17" x14ac:dyDescent="0.2">
      <c r="B227" s="709" t="s">
        <v>398</v>
      </c>
      <c r="C227" s="724"/>
      <c r="D227" s="738">
        <f t="shared" si="93"/>
        <v>5851763.6900000004</v>
      </c>
      <c r="E227" s="738">
        <f t="shared" si="93"/>
        <v>6367850.5700000003</v>
      </c>
      <c r="F227" s="738">
        <f t="shared" si="93"/>
        <v>6194771.8100000005</v>
      </c>
      <c r="G227" s="738">
        <f t="shared" si="93"/>
        <v>6948461.2199999997</v>
      </c>
      <c r="H227" s="738">
        <f t="shared" si="93"/>
        <v>6457225.9400000004</v>
      </c>
      <c r="I227" s="738">
        <f t="shared" si="93"/>
        <v>6748532.6200000001</v>
      </c>
      <c r="J227" s="738">
        <f t="shared" si="93"/>
        <v>6677618.04</v>
      </c>
      <c r="K227" s="738">
        <f t="shared" si="93"/>
        <v>6081561.6100000003</v>
      </c>
      <c r="L227" s="738">
        <f t="shared" si="93"/>
        <v>6977294.3499999996</v>
      </c>
      <c r="M227" s="738">
        <f t="shared" si="93"/>
        <v>6172882.9199999999</v>
      </c>
      <c r="N227" s="738">
        <f t="shared" si="93"/>
        <v>6120130.4900000002</v>
      </c>
      <c r="O227" s="738">
        <f t="shared" si="93"/>
        <v>5984493.8599999994</v>
      </c>
      <c r="P227" s="732">
        <f t="shared" si="88"/>
        <v>76582587.120000005</v>
      </c>
      <c r="Q227" s="732"/>
    </row>
    <row r="228" spans="1:17" x14ac:dyDescent="0.2">
      <c r="B228" s="718" t="s">
        <v>402</v>
      </c>
      <c r="C228" s="724"/>
      <c r="D228" s="738">
        <f t="shared" ref="D228:O228" si="94">D193</f>
        <v>24835.61</v>
      </c>
      <c r="E228" s="738">
        <f t="shared" si="94"/>
        <v>18950.099999999999</v>
      </c>
      <c r="F228" s="738">
        <f t="shared" si="94"/>
        <v>14249</v>
      </c>
      <c r="G228" s="738">
        <f t="shared" si="94"/>
        <v>31358.14</v>
      </c>
      <c r="H228" s="738">
        <f t="shared" si="94"/>
        <v>28587.62</v>
      </c>
      <c r="I228" s="738">
        <f t="shared" si="94"/>
        <v>29791.48</v>
      </c>
      <c r="J228" s="738">
        <f t="shared" si="94"/>
        <v>49343.94</v>
      </c>
      <c r="K228" s="738">
        <f t="shared" si="94"/>
        <v>52603.87</v>
      </c>
      <c r="L228" s="738">
        <f t="shared" si="94"/>
        <v>40825.67</v>
      </c>
      <c r="M228" s="738">
        <f t="shared" si="94"/>
        <v>24785.5</v>
      </c>
      <c r="N228" s="738">
        <f t="shared" si="94"/>
        <v>18363.18</v>
      </c>
      <c r="O228" s="738">
        <f t="shared" si="94"/>
        <v>20942.59</v>
      </c>
      <c r="P228" s="732">
        <f t="shared" si="88"/>
        <v>354636.7</v>
      </c>
      <c r="Q228" s="732"/>
    </row>
    <row r="229" spans="1:17" s="739" customFormat="1" x14ac:dyDescent="0.2">
      <c r="A229" s="709"/>
      <c r="B229" s="709" t="s">
        <v>400</v>
      </c>
      <c r="C229" s="724"/>
      <c r="D229" s="738">
        <f t="shared" ref="D229:O229" si="95">D175+D194</f>
        <v>8682427.3399999999</v>
      </c>
      <c r="E229" s="738">
        <f t="shared" si="95"/>
        <v>8811197.0700000003</v>
      </c>
      <c r="F229" s="738">
        <f t="shared" si="95"/>
        <v>8469145.3300000001</v>
      </c>
      <c r="G229" s="738">
        <f t="shared" si="95"/>
        <v>8937000.4199999999</v>
      </c>
      <c r="H229" s="738">
        <f t="shared" si="95"/>
        <v>8111567.540000001</v>
      </c>
      <c r="I229" s="738">
        <f t="shared" si="95"/>
        <v>9843875.9900000002</v>
      </c>
      <c r="J229" s="738">
        <f t="shared" si="95"/>
        <v>8436598.5199999996</v>
      </c>
      <c r="K229" s="738">
        <f t="shared" si="95"/>
        <v>8777355.3900000006</v>
      </c>
      <c r="L229" s="738">
        <f t="shared" si="95"/>
        <v>9545363.1600000001</v>
      </c>
      <c r="M229" s="738">
        <f t="shared" si="95"/>
        <v>8252639.4799999995</v>
      </c>
      <c r="N229" s="738">
        <f t="shared" si="95"/>
        <v>8341789.8599999994</v>
      </c>
      <c r="O229" s="738">
        <f t="shared" si="95"/>
        <v>7675361.1500000004</v>
      </c>
      <c r="P229" s="732">
        <f t="shared" si="88"/>
        <v>103884321.25000001</v>
      </c>
      <c r="Q229" s="738"/>
    </row>
    <row r="230" spans="1:17" x14ac:dyDescent="0.2">
      <c r="A230" s="739"/>
      <c r="B230" s="754" t="s">
        <v>13</v>
      </c>
      <c r="C230" s="755"/>
      <c r="D230" s="738">
        <f t="shared" ref="D230:O230" si="96">D182</f>
        <v>1921334.9100000001</v>
      </c>
      <c r="E230" s="738">
        <f t="shared" si="96"/>
        <v>1869187.75</v>
      </c>
      <c r="F230" s="738">
        <f t="shared" si="96"/>
        <v>2068982.99</v>
      </c>
      <c r="G230" s="738">
        <f t="shared" si="96"/>
        <v>3006871.56</v>
      </c>
      <c r="H230" s="738">
        <f t="shared" si="96"/>
        <v>3833917.62</v>
      </c>
      <c r="I230" s="738">
        <f t="shared" si="96"/>
        <v>4352917.41</v>
      </c>
      <c r="J230" s="738">
        <f t="shared" si="96"/>
        <v>4443467.74</v>
      </c>
      <c r="K230" s="738">
        <f t="shared" si="96"/>
        <v>3867486.2699999996</v>
      </c>
      <c r="L230" s="738">
        <f t="shared" si="96"/>
        <v>3813818.93</v>
      </c>
      <c r="M230" s="738">
        <f t="shared" si="96"/>
        <v>3266173.4099999997</v>
      </c>
      <c r="N230" s="738">
        <f t="shared" si="96"/>
        <v>2607580.04</v>
      </c>
      <c r="O230" s="738">
        <f t="shared" si="96"/>
        <v>2223953.0499999998</v>
      </c>
      <c r="P230" s="738">
        <f t="shared" si="88"/>
        <v>37275691.68</v>
      </c>
      <c r="Q230" s="738"/>
    </row>
    <row r="231" spans="1:17" x14ac:dyDescent="0.2">
      <c r="B231" s="752" t="s">
        <v>403</v>
      </c>
      <c r="C231" s="724"/>
      <c r="D231" s="750">
        <f t="shared" ref="D231:O231" si="97">SUM(D217:D230)</f>
        <v>44767990.108999997</v>
      </c>
      <c r="E231" s="750">
        <f t="shared" si="97"/>
        <v>44321712.204000011</v>
      </c>
      <c r="F231" s="750">
        <f t="shared" si="97"/>
        <v>55528619.809999995</v>
      </c>
      <c r="G231" s="750">
        <f t="shared" si="97"/>
        <v>93099778.638000011</v>
      </c>
      <c r="H231" s="750">
        <f t="shared" si="97"/>
        <v>131215309.395</v>
      </c>
      <c r="I231" s="750">
        <f t="shared" si="97"/>
        <v>156530872.37799999</v>
      </c>
      <c r="J231" s="750">
        <f t="shared" si="97"/>
        <v>166549704.64199999</v>
      </c>
      <c r="K231" s="750">
        <f t="shared" si="97"/>
        <v>132716463.97799999</v>
      </c>
      <c r="L231" s="750">
        <f t="shared" si="97"/>
        <v>138023239.37000003</v>
      </c>
      <c r="M231" s="750">
        <f t="shared" si="97"/>
        <v>98978841.535999998</v>
      </c>
      <c r="N231" s="750">
        <f t="shared" si="97"/>
        <v>69771203.847000003</v>
      </c>
      <c r="O231" s="750">
        <f t="shared" si="97"/>
        <v>50266421.470000006</v>
      </c>
      <c r="P231" s="750">
        <f t="shared" si="88"/>
        <v>1181770157.3770001</v>
      </c>
      <c r="Q231" s="738"/>
    </row>
    <row r="232" spans="1:17" x14ac:dyDescent="0.2">
      <c r="B232" s="756" t="s">
        <v>49</v>
      </c>
      <c r="C232" s="757"/>
      <c r="D232" s="758">
        <f t="shared" ref="D232:O232" si="98">D231-D196</f>
        <v>0</v>
      </c>
      <c r="E232" s="758">
        <f t="shared" si="98"/>
        <v>0</v>
      </c>
      <c r="F232" s="758">
        <f t="shared" si="98"/>
        <v>0</v>
      </c>
      <c r="G232" s="758">
        <f t="shared" si="98"/>
        <v>0</v>
      </c>
      <c r="H232" s="758">
        <f t="shared" si="98"/>
        <v>0</v>
      </c>
      <c r="I232" s="758">
        <f t="shared" si="98"/>
        <v>0</v>
      </c>
      <c r="J232" s="758">
        <f t="shared" si="98"/>
        <v>0</v>
      </c>
      <c r="K232" s="758">
        <f t="shared" si="98"/>
        <v>0</v>
      </c>
      <c r="L232" s="758">
        <f t="shared" si="98"/>
        <v>0</v>
      </c>
      <c r="M232" s="758">
        <f t="shared" si="98"/>
        <v>0</v>
      </c>
      <c r="N232" s="758">
        <f t="shared" si="98"/>
        <v>0</v>
      </c>
      <c r="O232" s="758">
        <f t="shared" si="98"/>
        <v>0</v>
      </c>
      <c r="P232" s="758">
        <f t="shared" ref="P232" si="99">SUM(D232:L232)</f>
        <v>0</v>
      </c>
      <c r="Q232" s="738"/>
    </row>
    <row r="233" spans="1:17" x14ac:dyDescent="0.2">
      <c r="B233" s="731" t="s">
        <v>445</v>
      </c>
      <c r="C233" s="757"/>
      <c r="D233" s="738">
        <f t="shared" ref="D233:O233" si="100">D222+D224+D227+D229+D230</f>
        <v>18496978.519000001</v>
      </c>
      <c r="E233" s="738">
        <f t="shared" si="100"/>
        <v>19011936.494000003</v>
      </c>
      <c r="F233" s="738">
        <f t="shared" si="100"/>
        <v>18940028.973999999</v>
      </c>
      <c r="G233" s="738">
        <f t="shared" si="100"/>
        <v>22231431.974999998</v>
      </c>
      <c r="H233" s="738">
        <f t="shared" si="100"/>
        <v>22453820.449999999</v>
      </c>
      <c r="I233" s="738">
        <f t="shared" si="100"/>
        <v>25792187.874000002</v>
      </c>
      <c r="J233" s="738">
        <f t="shared" si="100"/>
        <v>24073387.976000004</v>
      </c>
      <c r="K233" s="738">
        <f t="shared" si="100"/>
        <v>22860797.066</v>
      </c>
      <c r="L233" s="738">
        <f t="shared" si="100"/>
        <v>24557884.563999999</v>
      </c>
      <c r="M233" s="738">
        <f t="shared" si="100"/>
        <v>21166817.638999999</v>
      </c>
      <c r="N233" s="738">
        <f t="shared" si="100"/>
        <v>19602158.978</v>
      </c>
      <c r="O233" s="738">
        <f t="shared" si="100"/>
        <v>18136117.594999999</v>
      </c>
      <c r="P233" s="738">
        <f>SUM(D233:O233)</f>
        <v>257323548.104</v>
      </c>
      <c r="Q233" s="738"/>
    </row>
    <row r="234" spans="1:17" x14ac:dyDescent="0.2">
      <c r="C234" s="724"/>
      <c r="D234" s="738"/>
      <c r="E234" s="738"/>
      <c r="F234" s="738"/>
      <c r="G234" s="738"/>
      <c r="H234" s="738"/>
      <c r="I234" s="738"/>
      <c r="J234" s="738"/>
      <c r="K234" s="738"/>
      <c r="L234" s="738"/>
      <c r="M234" s="738"/>
      <c r="N234" s="738"/>
      <c r="O234" s="738"/>
      <c r="P234" s="738"/>
      <c r="Q234" s="738"/>
    </row>
    <row r="235" spans="1:17" s="718" customFormat="1" x14ac:dyDescent="0.2">
      <c r="A235" s="709"/>
      <c r="B235" s="731" t="s">
        <v>404</v>
      </c>
      <c r="C235" s="724"/>
      <c r="D235" s="738"/>
      <c r="E235" s="738"/>
      <c r="F235" s="738"/>
      <c r="G235" s="738"/>
      <c r="H235" s="738"/>
      <c r="I235" s="738"/>
      <c r="J235" s="738"/>
      <c r="K235" s="738"/>
      <c r="L235" s="738"/>
      <c r="M235" s="738"/>
      <c r="N235" s="738"/>
      <c r="O235" s="738"/>
      <c r="P235" s="738"/>
      <c r="Q235" s="729"/>
    </row>
    <row r="236" spans="1:17" s="718" customFormat="1" x14ac:dyDescent="0.2">
      <c r="B236" s="754" t="s">
        <v>405</v>
      </c>
      <c r="C236" s="719"/>
      <c r="D236" s="729">
        <f t="shared" ref="D236:O236" si="101">SUM(D36:D38)</f>
        <v>760069</v>
      </c>
      <c r="E236" s="729">
        <f t="shared" si="101"/>
        <v>760656</v>
      </c>
      <c r="F236" s="729">
        <f t="shared" si="101"/>
        <v>761862</v>
      </c>
      <c r="G236" s="729">
        <f t="shared" si="101"/>
        <v>763569</v>
      </c>
      <c r="H236" s="729">
        <f t="shared" si="101"/>
        <v>765588</v>
      </c>
      <c r="I236" s="729">
        <f t="shared" si="101"/>
        <v>767045</v>
      </c>
      <c r="J236" s="729">
        <f t="shared" si="101"/>
        <v>768045</v>
      </c>
      <c r="K236" s="729">
        <f t="shared" si="101"/>
        <v>769188</v>
      </c>
      <c r="L236" s="729">
        <f t="shared" si="101"/>
        <v>769910</v>
      </c>
      <c r="M236" s="729">
        <f t="shared" si="101"/>
        <v>770300</v>
      </c>
      <c r="N236" s="729">
        <f t="shared" si="101"/>
        <v>770946</v>
      </c>
      <c r="O236" s="729">
        <f t="shared" si="101"/>
        <v>771263</v>
      </c>
      <c r="P236" s="729">
        <f>SUM(D236:O236)</f>
        <v>9198441</v>
      </c>
      <c r="Q236" s="729"/>
    </row>
    <row r="237" spans="1:17" x14ac:dyDescent="0.2">
      <c r="A237" s="718"/>
      <c r="B237" s="753" t="s">
        <v>194</v>
      </c>
      <c r="C237" s="719"/>
      <c r="D237" s="729">
        <f t="shared" ref="D237:O237" si="102">SUM(D40,D47)</f>
        <v>56227</v>
      </c>
      <c r="E237" s="729">
        <f t="shared" si="102"/>
        <v>56189</v>
      </c>
      <c r="F237" s="729">
        <f t="shared" si="102"/>
        <v>56153</v>
      </c>
      <c r="G237" s="729">
        <f t="shared" si="102"/>
        <v>56243</v>
      </c>
      <c r="H237" s="729">
        <f t="shared" si="102"/>
        <v>56424</v>
      </c>
      <c r="I237" s="729">
        <f t="shared" si="102"/>
        <v>56574</v>
      </c>
      <c r="J237" s="729">
        <f t="shared" si="102"/>
        <v>56658</v>
      </c>
      <c r="K237" s="729">
        <f t="shared" si="102"/>
        <v>56661</v>
      </c>
      <c r="L237" s="729">
        <f t="shared" si="102"/>
        <v>56738</v>
      </c>
      <c r="M237" s="729">
        <f t="shared" si="102"/>
        <v>56700</v>
      </c>
      <c r="N237" s="729">
        <f t="shared" si="102"/>
        <v>56684</v>
      </c>
      <c r="O237" s="729">
        <f t="shared" si="102"/>
        <v>56609</v>
      </c>
      <c r="P237" s="729">
        <f t="shared" ref="P237:P249" si="103">SUM(D237:O237)</f>
        <v>677860</v>
      </c>
      <c r="Q237" s="738"/>
    </row>
    <row r="238" spans="1:17" x14ac:dyDescent="0.2">
      <c r="B238" s="754" t="s">
        <v>195</v>
      </c>
      <c r="C238" s="724"/>
      <c r="D238" s="738">
        <f t="shared" ref="D238:O238" si="104">D41+D48</f>
        <v>1358</v>
      </c>
      <c r="E238" s="738">
        <f t="shared" si="104"/>
        <v>1351</v>
      </c>
      <c r="F238" s="738">
        <f t="shared" si="104"/>
        <v>1359</v>
      </c>
      <c r="G238" s="738">
        <f t="shared" si="104"/>
        <v>1363</v>
      </c>
      <c r="H238" s="738">
        <f t="shared" si="104"/>
        <v>1360</v>
      </c>
      <c r="I238" s="738">
        <f t="shared" si="104"/>
        <v>1358</v>
      </c>
      <c r="J238" s="738">
        <f t="shared" si="104"/>
        <v>1362</v>
      </c>
      <c r="K238" s="738">
        <f t="shared" si="104"/>
        <v>1357</v>
      </c>
      <c r="L238" s="738">
        <f t="shared" si="104"/>
        <v>1360</v>
      </c>
      <c r="M238" s="738">
        <f t="shared" si="104"/>
        <v>1363</v>
      </c>
      <c r="N238" s="738">
        <f t="shared" si="104"/>
        <v>1361</v>
      </c>
      <c r="O238" s="738">
        <f t="shared" si="104"/>
        <v>1352</v>
      </c>
      <c r="P238" s="738">
        <f t="shared" si="103"/>
        <v>16304</v>
      </c>
      <c r="Q238" s="738"/>
    </row>
    <row r="239" spans="1:17" x14ac:dyDescent="0.2">
      <c r="B239" s="754" t="s">
        <v>449</v>
      </c>
      <c r="C239" s="724"/>
      <c r="D239" s="738">
        <f t="shared" ref="D239:O239" si="105">SUM(D39,D43,D49)</f>
        <v>0</v>
      </c>
      <c r="E239" s="738">
        <f t="shared" si="105"/>
        <v>0</v>
      </c>
      <c r="F239" s="738">
        <f t="shared" si="105"/>
        <v>0</v>
      </c>
      <c r="G239" s="738">
        <f t="shared" si="105"/>
        <v>0</v>
      </c>
      <c r="H239" s="738">
        <f t="shared" si="105"/>
        <v>0</v>
      </c>
      <c r="I239" s="738">
        <f t="shared" si="105"/>
        <v>0</v>
      </c>
      <c r="J239" s="738">
        <f t="shared" si="105"/>
        <v>0</v>
      </c>
      <c r="K239" s="738">
        <f t="shared" si="105"/>
        <v>0</v>
      </c>
      <c r="L239" s="738">
        <f t="shared" si="105"/>
        <v>0</v>
      </c>
      <c r="M239" s="738">
        <f t="shared" si="105"/>
        <v>0</v>
      </c>
      <c r="N239" s="738">
        <f t="shared" si="105"/>
        <v>0</v>
      </c>
      <c r="O239" s="738">
        <f t="shared" si="105"/>
        <v>0</v>
      </c>
      <c r="P239" s="738">
        <f t="shared" si="103"/>
        <v>0</v>
      </c>
      <c r="Q239" s="738"/>
    </row>
    <row r="240" spans="1:17" x14ac:dyDescent="0.2">
      <c r="B240" s="754" t="s">
        <v>198</v>
      </c>
      <c r="C240" s="724"/>
      <c r="D240" s="738">
        <f t="shared" ref="D240:O242" si="106">D44+D50</f>
        <v>29</v>
      </c>
      <c r="E240" s="738">
        <f t="shared" si="106"/>
        <v>29</v>
      </c>
      <c r="F240" s="738">
        <f t="shared" si="106"/>
        <v>28</v>
      </c>
      <c r="G240" s="738">
        <f t="shared" si="106"/>
        <v>29</v>
      </c>
      <c r="H240" s="738">
        <f t="shared" si="106"/>
        <v>29</v>
      </c>
      <c r="I240" s="738">
        <f t="shared" si="106"/>
        <v>29</v>
      </c>
      <c r="J240" s="738">
        <f t="shared" si="106"/>
        <v>29</v>
      </c>
      <c r="K240" s="738">
        <f t="shared" si="106"/>
        <v>29</v>
      </c>
      <c r="L240" s="738">
        <f t="shared" si="106"/>
        <v>29</v>
      </c>
      <c r="M240" s="738">
        <f t="shared" si="106"/>
        <v>29</v>
      </c>
      <c r="N240" s="738">
        <f t="shared" si="106"/>
        <v>29</v>
      </c>
      <c r="O240" s="738">
        <f t="shared" si="106"/>
        <v>28</v>
      </c>
      <c r="P240" s="738">
        <f t="shared" si="103"/>
        <v>346</v>
      </c>
      <c r="Q240" s="738"/>
    </row>
    <row r="241" spans="1:17" x14ac:dyDescent="0.2">
      <c r="B241" s="754" t="s">
        <v>200</v>
      </c>
      <c r="C241" s="724"/>
      <c r="D241" s="738">
        <f t="shared" si="106"/>
        <v>229</v>
      </c>
      <c r="E241" s="738">
        <f t="shared" si="106"/>
        <v>229</v>
      </c>
      <c r="F241" s="738">
        <f t="shared" si="106"/>
        <v>229</v>
      </c>
      <c r="G241" s="738">
        <f t="shared" si="106"/>
        <v>228</v>
      </c>
      <c r="H241" s="738">
        <f t="shared" si="106"/>
        <v>228</v>
      </c>
      <c r="I241" s="738">
        <f t="shared" si="106"/>
        <v>228</v>
      </c>
      <c r="J241" s="738">
        <f t="shared" si="106"/>
        <v>228</v>
      </c>
      <c r="K241" s="738">
        <f t="shared" si="106"/>
        <v>228</v>
      </c>
      <c r="L241" s="738">
        <f t="shared" si="106"/>
        <v>228</v>
      </c>
      <c r="M241" s="738">
        <f t="shared" si="106"/>
        <v>228</v>
      </c>
      <c r="N241" s="738">
        <f t="shared" si="106"/>
        <v>227</v>
      </c>
      <c r="O241" s="738">
        <f t="shared" si="106"/>
        <v>227</v>
      </c>
      <c r="P241" s="738">
        <f t="shared" si="103"/>
        <v>2737</v>
      </c>
      <c r="Q241" s="738"/>
    </row>
    <row r="242" spans="1:17" x14ac:dyDescent="0.2">
      <c r="B242" s="754" t="s">
        <v>202</v>
      </c>
      <c r="C242" s="724"/>
      <c r="D242" s="738">
        <f t="shared" si="106"/>
        <v>5</v>
      </c>
      <c r="E242" s="738">
        <f t="shared" si="106"/>
        <v>5</v>
      </c>
      <c r="F242" s="738">
        <f t="shared" si="106"/>
        <v>5</v>
      </c>
      <c r="G242" s="738">
        <f t="shared" si="106"/>
        <v>5</v>
      </c>
      <c r="H242" s="738">
        <f t="shared" si="106"/>
        <v>5</v>
      </c>
      <c r="I242" s="738">
        <f t="shared" si="106"/>
        <v>5</v>
      </c>
      <c r="J242" s="738">
        <f t="shared" si="106"/>
        <v>5</v>
      </c>
      <c r="K242" s="738">
        <f t="shared" si="106"/>
        <v>5</v>
      </c>
      <c r="L242" s="738">
        <f t="shared" si="106"/>
        <v>5</v>
      </c>
      <c r="M242" s="738">
        <f t="shared" si="106"/>
        <v>5</v>
      </c>
      <c r="N242" s="738">
        <f t="shared" si="106"/>
        <v>5</v>
      </c>
      <c r="O242" s="738">
        <f t="shared" si="106"/>
        <v>5</v>
      </c>
      <c r="P242" s="738">
        <f t="shared" si="103"/>
        <v>60</v>
      </c>
      <c r="Q242" s="738"/>
    </row>
    <row r="243" spans="1:17" x14ac:dyDescent="0.2">
      <c r="B243" s="709" t="s">
        <v>396</v>
      </c>
      <c r="C243" s="724"/>
      <c r="D243" s="738">
        <f t="shared" ref="D243:O243" si="107">D53+D42</f>
        <v>3</v>
      </c>
      <c r="E243" s="738">
        <f t="shared" si="107"/>
        <v>3</v>
      </c>
      <c r="F243" s="738">
        <f t="shared" si="107"/>
        <v>3</v>
      </c>
      <c r="G243" s="738">
        <f t="shared" si="107"/>
        <v>3</v>
      </c>
      <c r="H243" s="738">
        <f t="shared" si="107"/>
        <v>3</v>
      </c>
      <c r="I243" s="738">
        <f t="shared" si="107"/>
        <v>3</v>
      </c>
      <c r="J243" s="738">
        <f t="shared" si="107"/>
        <v>3</v>
      </c>
      <c r="K243" s="738">
        <f t="shared" si="107"/>
        <v>3</v>
      </c>
      <c r="L243" s="738">
        <f t="shared" si="107"/>
        <v>3</v>
      </c>
      <c r="M243" s="738">
        <f t="shared" si="107"/>
        <v>3</v>
      </c>
      <c r="N243" s="738">
        <f t="shared" si="107"/>
        <v>3</v>
      </c>
      <c r="O243" s="738">
        <f t="shared" si="107"/>
        <v>3</v>
      </c>
      <c r="P243" s="738">
        <f t="shared" si="103"/>
        <v>36</v>
      </c>
      <c r="Q243" s="738"/>
    </row>
    <row r="244" spans="1:17" x14ac:dyDescent="0.2">
      <c r="B244" s="709" t="s">
        <v>397</v>
      </c>
      <c r="C244" s="724"/>
      <c r="D244" s="738">
        <f t="shared" ref="D244:O245" si="108">D54+D57</f>
        <v>99</v>
      </c>
      <c r="E244" s="738">
        <f t="shared" si="108"/>
        <v>98</v>
      </c>
      <c r="F244" s="738">
        <f t="shared" si="108"/>
        <v>99</v>
      </c>
      <c r="G244" s="738">
        <f t="shared" si="108"/>
        <v>100</v>
      </c>
      <c r="H244" s="738">
        <f t="shared" si="108"/>
        <v>101</v>
      </c>
      <c r="I244" s="738">
        <f t="shared" si="108"/>
        <v>101</v>
      </c>
      <c r="J244" s="738">
        <f t="shared" si="108"/>
        <v>103</v>
      </c>
      <c r="K244" s="738">
        <f t="shared" si="108"/>
        <v>105</v>
      </c>
      <c r="L244" s="738">
        <f t="shared" si="108"/>
        <v>105</v>
      </c>
      <c r="M244" s="738">
        <f t="shared" si="108"/>
        <v>105</v>
      </c>
      <c r="N244" s="738">
        <f t="shared" si="108"/>
        <v>105</v>
      </c>
      <c r="O244" s="738">
        <f t="shared" si="108"/>
        <v>109</v>
      </c>
      <c r="P244" s="738">
        <f t="shared" si="103"/>
        <v>1230</v>
      </c>
      <c r="Q244" s="738"/>
    </row>
    <row r="245" spans="1:17" x14ac:dyDescent="0.2">
      <c r="B245" s="709" t="s">
        <v>398</v>
      </c>
      <c r="C245" s="724"/>
      <c r="D245" s="738">
        <f t="shared" si="108"/>
        <v>99</v>
      </c>
      <c r="E245" s="738">
        <f t="shared" si="108"/>
        <v>100</v>
      </c>
      <c r="F245" s="738">
        <f t="shared" si="108"/>
        <v>100</v>
      </c>
      <c r="G245" s="738">
        <f t="shared" si="108"/>
        <v>100</v>
      </c>
      <c r="H245" s="738">
        <f t="shared" si="108"/>
        <v>101</v>
      </c>
      <c r="I245" s="738">
        <f t="shared" si="108"/>
        <v>100</v>
      </c>
      <c r="J245" s="738">
        <f t="shared" si="108"/>
        <v>101</v>
      </c>
      <c r="K245" s="738">
        <f t="shared" si="108"/>
        <v>101</v>
      </c>
      <c r="L245" s="738">
        <f t="shared" si="108"/>
        <v>101</v>
      </c>
      <c r="M245" s="738">
        <f t="shared" si="108"/>
        <v>101</v>
      </c>
      <c r="N245" s="738">
        <f t="shared" si="108"/>
        <v>102</v>
      </c>
      <c r="O245" s="738">
        <f t="shared" si="108"/>
        <v>103</v>
      </c>
      <c r="P245" s="738">
        <f t="shared" si="103"/>
        <v>1209</v>
      </c>
      <c r="Q245" s="738"/>
    </row>
    <row r="246" spans="1:17" x14ac:dyDescent="0.2">
      <c r="B246" s="718" t="s">
        <v>402</v>
      </c>
      <c r="C246" s="724"/>
      <c r="D246" s="738">
        <f t="shared" ref="D246:O246" si="109">D59</f>
        <v>4</v>
      </c>
      <c r="E246" s="738">
        <f t="shared" si="109"/>
        <v>4</v>
      </c>
      <c r="F246" s="738">
        <f t="shared" si="109"/>
        <v>4</v>
      </c>
      <c r="G246" s="738">
        <f t="shared" si="109"/>
        <v>4</v>
      </c>
      <c r="H246" s="738">
        <f t="shared" si="109"/>
        <v>2</v>
      </c>
      <c r="I246" s="738">
        <f t="shared" si="109"/>
        <v>2</v>
      </c>
      <c r="J246" s="738">
        <f t="shared" si="109"/>
        <v>2</v>
      </c>
      <c r="K246" s="738">
        <f t="shared" si="109"/>
        <v>2</v>
      </c>
      <c r="L246" s="738">
        <f t="shared" si="109"/>
        <v>2</v>
      </c>
      <c r="M246" s="738">
        <f t="shared" si="109"/>
        <v>2</v>
      </c>
      <c r="N246" s="738">
        <f t="shared" si="109"/>
        <v>2</v>
      </c>
      <c r="O246" s="738">
        <f t="shared" si="109"/>
        <v>2</v>
      </c>
      <c r="P246" s="738">
        <f t="shared" si="103"/>
        <v>32</v>
      </c>
      <c r="Q246" s="738"/>
    </row>
    <row r="247" spans="1:17" s="739" customFormat="1" x14ac:dyDescent="0.2">
      <c r="A247" s="709"/>
      <c r="B247" s="709" t="s">
        <v>400</v>
      </c>
      <c r="C247" s="724"/>
      <c r="D247" s="738">
        <f t="shared" ref="D247:O247" si="110">D56+D60</f>
        <v>10</v>
      </c>
      <c r="E247" s="738">
        <f t="shared" si="110"/>
        <v>10</v>
      </c>
      <c r="F247" s="738">
        <f t="shared" si="110"/>
        <v>10</v>
      </c>
      <c r="G247" s="738">
        <f t="shared" si="110"/>
        <v>10</v>
      </c>
      <c r="H247" s="738">
        <f t="shared" si="110"/>
        <v>10</v>
      </c>
      <c r="I247" s="738">
        <f t="shared" si="110"/>
        <v>10</v>
      </c>
      <c r="J247" s="738">
        <f t="shared" si="110"/>
        <v>10</v>
      </c>
      <c r="K247" s="738">
        <f t="shared" si="110"/>
        <v>10</v>
      </c>
      <c r="L247" s="738">
        <f t="shared" si="110"/>
        <v>10</v>
      </c>
      <c r="M247" s="738">
        <f t="shared" si="110"/>
        <v>10</v>
      </c>
      <c r="N247" s="738">
        <f t="shared" si="110"/>
        <v>10</v>
      </c>
      <c r="O247" s="738">
        <f t="shared" si="110"/>
        <v>10</v>
      </c>
      <c r="P247" s="738">
        <f t="shared" si="103"/>
        <v>120</v>
      </c>
      <c r="Q247" s="738"/>
    </row>
    <row r="248" spans="1:17" x14ac:dyDescent="0.2">
      <c r="A248" s="739"/>
      <c r="B248" s="754" t="s">
        <v>13</v>
      </c>
      <c r="C248" s="755"/>
      <c r="D248" s="738">
        <f t="shared" ref="D248:L248" si="111">SUM(D61:D61)</f>
        <v>10</v>
      </c>
      <c r="E248" s="738">
        <f t="shared" si="111"/>
        <v>10</v>
      </c>
      <c r="F248" s="738">
        <f t="shared" si="111"/>
        <v>10</v>
      </c>
      <c r="G248" s="738">
        <f t="shared" si="111"/>
        <v>10</v>
      </c>
      <c r="H248" s="738">
        <f t="shared" si="111"/>
        <v>10</v>
      </c>
      <c r="I248" s="738">
        <f t="shared" si="111"/>
        <v>10</v>
      </c>
      <c r="J248" s="738">
        <f t="shared" si="111"/>
        <v>10</v>
      </c>
      <c r="K248" s="738">
        <f t="shared" si="111"/>
        <v>10</v>
      </c>
      <c r="L248" s="738">
        <f t="shared" si="111"/>
        <v>10</v>
      </c>
      <c r="M248" s="738">
        <f t="shared" ref="M248:O248" si="112">SUM(M61:M61)</f>
        <v>10</v>
      </c>
      <c r="N248" s="738">
        <f t="shared" si="112"/>
        <v>10</v>
      </c>
      <c r="O248" s="738">
        <f t="shared" si="112"/>
        <v>10</v>
      </c>
      <c r="P248" s="738">
        <f t="shared" si="103"/>
        <v>120</v>
      </c>
      <c r="Q248" s="738"/>
    </row>
    <row r="249" spans="1:17" x14ac:dyDescent="0.2">
      <c r="B249" s="718" t="s">
        <v>406</v>
      </c>
      <c r="C249" s="724"/>
      <c r="D249" s="750">
        <f t="shared" ref="D249:O249" si="113">SUM(D236:D248)</f>
        <v>818142</v>
      </c>
      <c r="E249" s="750">
        <f t="shared" si="113"/>
        <v>818684</v>
      </c>
      <c r="F249" s="750">
        <f t="shared" si="113"/>
        <v>819862</v>
      </c>
      <c r="G249" s="750">
        <f t="shared" si="113"/>
        <v>821664</v>
      </c>
      <c r="H249" s="750">
        <f t="shared" si="113"/>
        <v>823861</v>
      </c>
      <c r="I249" s="750">
        <f t="shared" si="113"/>
        <v>825465</v>
      </c>
      <c r="J249" s="750">
        <f t="shared" si="113"/>
        <v>826556</v>
      </c>
      <c r="K249" s="750">
        <f t="shared" si="113"/>
        <v>827699</v>
      </c>
      <c r="L249" s="750">
        <f t="shared" si="113"/>
        <v>828501</v>
      </c>
      <c r="M249" s="750">
        <f t="shared" si="113"/>
        <v>828856</v>
      </c>
      <c r="N249" s="750">
        <f t="shared" si="113"/>
        <v>829484</v>
      </c>
      <c r="O249" s="750">
        <f t="shared" si="113"/>
        <v>829721</v>
      </c>
      <c r="P249" s="750">
        <f t="shared" si="103"/>
        <v>9898495</v>
      </c>
      <c r="Q249" s="729"/>
    </row>
    <row r="250" spans="1:17" x14ac:dyDescent="0.2">
      <c r="B250" s="759" t="s">
        <v>49</v>
      </c>
      <c r="C250" s="757"/>
      <c r="D250" s="758">
        <f t="shared" ref="D250:O250" si="114">D249-D62</f>
        <v>0</v>
      </c>
      <c r="E250" s="758">
        <f t="shared" si="114"/>
        <v>0</v>
      </c>
      <c r="F250" s="758">
        <f t="shared" si="114"/>
        <v>0</v>
      </c>
      <c r="G250" s="758">
        <f t="shared" si="114"/>
        <v>0</v>
      </c>
      <c r="H250" s="758">
        <f t="shared" si="114"/>
        <v>0</v>
      </c>
      <c r="I250" s="758">
        <f t="shared" si="114"/>
        <v>0</v>
      </c>
      <c r="J250" s="758">
        <f t="shared" si="114"/>
        <v>0</v>
      </c>
      <c r="K250" s="758">
        <f t="shared" si="114"/>
        <v>0</v>
      </c>
      <c r="L250" s="758">
        <f t="shared" si="114"/>
        <v>0</v>
      </c>
      <c r="M250" s="758">
        <f t="shared" si="114"/>
        <v>0</v>
      </c>
      <c r="N250" s="758">
        <f t="shared" si="114"/>
        <v>0</v>
      </c>
      <c r="O250" s="758">
        <f t="shared" si="114"/>
        <v>0</v>
      </c>
      <c r="P250" s="760">
        <f t="shared" ref="P250" si="115">SUM(D250:L250)</f>
        <v>0</v>
      </c>
      <c r="Q250" s="738"/>
    </row>
    <row r="251" spans="1:17" x14ac:dyDescent="0.2">
      <c r="C251" s="724"/>
      <c r="D251" s="738"/>
      <c r="E251" s="738"/>
      <c r="F251" s="738"/>
      <c r="G251" s="738"/>
      <c r="H251" s="738"/>
      <c r="I251" s="738"/>
      <c r="J251" s="738"/>
      <c r="K251" s="738"/>
      <c r="L251" s="738"/>
      <c r="M251" s="738"/>
      <c r="N251" s="738"/>
      <c r="O251" s="738"/>
      <c r="P251" s="738"/>
      <c r="Q251" s="738"/>
    </row>
    <row r="252" spans="1:17" x14ac:dyDescent="0.2">
      <c r="B252" s="731" t="s">
        <v>407</v>
      </c>
      <c r="C252" s="724"/>
      <c r="D252" s="738"/>
      <c r="E252" s="738"/>
      <c r="F252" s="738"/>
      <c r="G252" s="738"/>
      <c r="H252" s="738"/>
      <c r="I252" s="738"/>
      <c r="J252" s="738"/>
      <c r="K252" s="738"/>
      <c r="L252" s="738"/>
      <c r="M252" s="738"/>
      <c r="N252" s="738"/>
      <c r="O252" s="738"/>
      <c r="P252" s="738"/>
      <c r="Q252" s="738"/>
    </row>
    <row r="253" spans="1:17" x14ac:dyDescent="0.2">
      <c r="B253" s="754" t="s">
        <v>405</v>
      </c>
      <c r="C253" s="724"/>
      <c r="D253" s="738">
        <f t="shared" ref="D253:O253" si="116">SUM(D217:D218)</f>
        <v>13444681.716999998</v>
      </c>
      <c r="E253" s="738">
        <f t="shared" si="116"/>
        <v>12736840.195999999</v>
      </c>
      <c r="F253" s="738">
        <f t="shared" si="116"/>
        <v>21648518.068999998</v>
      </c>
      <c r="G253" s="738">
        <f t="shared" si="116"/>
        <v>46156851.142000005</v>
      </c>
      <c r="H253" s="738">
        <f t="shared" si="116"/>
        <v>73742748.655999988</v>
      </c>
      <c r="I253" s="738">
        <f t="shared" si="116"/>
        <v>88510490.861000001</v>
      </c>
      <c r="J253" s="738">
        <f t="shared" si="116"/>
        <v>97227546.887999997</v>
      </c>
      <c r="K253" s="738">
        <f t="shared" si="116"/>
        <v>73368657.338999987</v>
      </c>
      <c r="L253" s="738">
        <f t="shared" si="116"/>
        <v>75844396.241000012</v>
      </c>
      <c r="M253" s="738">
        <f t="shared" si="116"/>
        <v>50270543.706</v>
      </c>
      <c r="N253" s="738">
        <f t="shared" si="116"/>
        <v>30888051.221000001</v>
      </c>
      <c r="O253" s="738">
        <f t="shared" si="116"/>
        <v>19276114.219000001</v>
      </c>
      <c r="P253" s="738">
        <f>SUM(D253:O253)</f>
        <v>603115440.25499988</v>
      </c>
      <c r="Q253" s="738"/>
    </row>
    <row r="254" spans="1:17" x14ac:dyDescent="0.2">
      <c r="B254" s="753" t="s">
        <v>194</v>
      </c>
      <c r="C254" s="724"/>
      <c r="D254" s="738">
        <f t="shared" ref="D254:O254" si="117">SUM(D219:D219,D221:D221)</f>
        <v>8023212.7980000004</v>
      </c>
      <c r="E254" s="738">
        <f t="shared" si="117"/>
        <v>7868703.7030000007</v>
      </c>
      <c r="F254" s="738">
        <f t="shared" si="117"/>
        <v>9578312.2190000005</v>
      </c>
      <c r="G254" s="738">
        <f t="shared" si="117"/>
        <v>16934863.227000002</v>
      </c>
      <c r="H254" s="738">
        <f t="shared" si="117"/>
        <v>25547691.226999998</v>
      </c>
      <c r="I254" s="738">
        <f t="shared" si="117"/>
        <v>31378118.582000002</v>
      </c>
      <c r="J254" s="738">
        <f t="shared" si="117"/>
        <v>33821766.534999996</v>
      </c>
      <c r="K254" s="738">
        <f t="shared" si="117"/>
        <v>26737363.708000001</v>
      </c>
      <c r="L254" s="738">
        <f t="shared" si="117"/>
        <v>27360801.246000003</v>
      </c>
      <c r="M254" s="738">
        <f t="shared" si="117"/>
        <v>19203020.005000003</v>
      </c>
      <c r="N254" s="738">
        <f t="shared" si="117"/>
        <v>12802351.787</v>
      </c>
      <c r="O254" s="738">
        <f t="shared" si="117"/>
        <v>9348527.4330000002</v>
      </c>
      <c r="P254" s="738">
        <f t="shared" ref="P254:P265" si="118">SUM(D254:O254)</f>
        <v>228604732.46999997</v>
      </c>
      <c r="Q254" s="738"/>
    </row>
    <row r="255" spans="1:17" x14ac:dyDescent="0.2">
      <c r="B255" s="754" t="s">
        <v>195</v>
      </c>
      <c r="C255" s="724"/>
      <c r="D255" s="738">
        <f t="shared" ref="D255:O255" si="119">D220</f>
        <v>3152377.75</v>
      </c>
      <c r="E255" s="738">
        <f t="shared" si="119"/>
        <v>3028375.96</v>
      </c>
      <c r="F255" s="738">
        <f t="shared" si="119"/>
        <v>3590363.7609999999</v>
      </c>
      <c r="G255" s="738">
        <f t="shared" si="119"/>
        <v>5337793.7060000002</v>
      </c>
      <c r="H255" s="738">
        <f t="shared" si="119"/>
        <v>6705542.3960000006</v>
      </c>
      <c r="I255" s="738">
        <f t="shared" si="119"/>
        <v>7771080.1879999992</v>
      </c>
      <c r="J255" s="738">
        <f t="shared" si="119"/>
        <v>8199254.8569999998</v>
      </c>
      <c r="K255" s="738">
        <f t="shared" si="119"/>
        <v>6874280.1060000006</v>
      </c>
      <c r="L255" s="738">
        <f t="shared" si="119"/>
        <v>7182884.3100000005</v>
      </c>
      <c r="M255" s="738">
        <f t="shared" si="119"/>
        <v>5745988.2310000006</v>
      </c>
      <c r="N255" s="738">
        <f t="shared" si="119"/>
        <v>4481751.682</v>
      </c>
      <c r="O255" s="738">
        <f t="shared" si="119"/>
        <v>1897175.0699999998</v>
      </c>
      <c r="P255" s="738">
        <f t="shared" si="118"/>
        <v>63966868.016999997</v>
      </c>
      <c r="Q255" s="738"/>
    </row>
    <row r="256" spans="1:17" x14ac:dyDescent="0.2">
      <c r="B256" s="754" t="s">
        <v>198</v>
      </c>
      <c r="C256" s="724"/>
      <c r="D256" s="738">
        <f t="shared" ref="D256:O264" si="120">D222</f>
        <v>836289.44500000007</v>
      </c>
      <c r="E256" s="738">
        <f t="shared" si="120"/>
        <v>772468.12399999984</v>
      </c>
      <c r="F256" s="738">
        <f t="shared" si="120"/>
        <v>909674.81900000002</v>
      </c>
      <c r="G256" s="738">
        <f t="shared" si="120"/>
        <v>1382235.878</v>
      </c>
      <c r="H256" s="738">
        <f t="shared" si="120"/>
        <v>1705057.9990000001</v>
      </c>
      <c r="I256" s="738">
        <f t="shared" si="120"/>
        <v>2029384.3720000002</v>
      </c>
      <c r="J256" s="738">
        <f t="shared" si="120"/>
        <v>1933608.2690000001</v>
      </c>
      <c r="K256" s="738">
        <f t="shared" si="120"/>
        <v>1680524.0340000002</v>
      </c>
      <c r="L256" s="738">
        <f t="shared" si="120"/>
        <v>1789387.747</v>
      </c>
      <c r="M256" s="738">
        <f t="shared" si="120"/>
        <v>1400451.9129999999</v>
      </c>
      <c r="N256" s="738">
        <f t="shared" si="120"/>
        <v>1046948.3860000001</v>
      </c>
      <c r="O256" s="738">
        <f t="shared" si="120"/>
        <v>821758.44000000006</v>
      </c>
      <c r="P256" s="738">
        <f t="shared" si="118"/>
        <v>16307789.425999999</v>
      </c>
      <c r="Q256" s="738"/>
    </row>
    <row r="257" spans="1:17" x14ac:dyDescent="0.2">
      <c r="B257" s="754" t="s">
        <v>200</v>
      </c>
      <c r="C257" s="724"/>
      <c r="D257" s="738">
        <f t="shared" si="120"/>
        <v>215797.27499999999</v>
      </c>
      <c r="E257" s="738">
        <f t="shared" si="120"/>
        <v>200043.261</v>
      </c>
      <c r="F257" s="738">
        <f t="shared" si="120"/>
        <v>379761.01699999999</v>
      </c>
      <c r="G257" s="738">
        <f t="shared" si="120"/>
        <v>816241.58800000011</v>
      </c>
      <c r="H257" s="738">
        <f t="shared" si="120"/>
        <v>1048827.237</v>
      </c>
      <c r="I257" s="738">
        <f t="shared" si="120"/>
        <v>1301022.3529999999</v>
      </c>
      <c r="J257" s="738">
        <f t="shared" si="120"/>
        <v>1276427.676</v>
      </c>
      <c r="K257" s="738">
        <f t="shared" si="120"/>
        <v>1068462.2690000001</v>
      </c>
      <c r="L257" s="738">
        <f t="shared" si="120"/>
        <v>1127623.6189999999</v>
      </c>
      <c r="M257" s="738">
        <f t="shared" si="120"/>
        <v>868268.65500000014</v>
      </c>
      <c r="N257" s="738">
        <f t="shared" si="120"/>
        <v>488370.93900000007</v>
      </c>
      <c r="O257" s="738">
        <f t="shared" si="120"/>
        <v>316422.65299999999</v>
      </c>
      <c r="P257" s="738">
        <f t="shared" si="118"/>
        <v>9107268.5420000013</v>
      </c>
      <c r="Q257" s="738"/>
    </row>
    <row r="258" spans="1:17" x14ac:dyDescent="0.2">
      <c r="B258" s="754" t="s">
        <v>202</v>
      </c>
      <c r="C258" s="724"/>
      <c r="D258" s="738">
        <f t="shared" si="120"/>
        <v>1205163.1340000001</v>
      </c>
      <c r="E258" s="738">
        <f t="shared" si="120"/>
        <v>1191232.98</v>
      </c>
      <c r="F258" s="738">
        <f t="shared" si="120"/>
        <v>1297454.0249999999</v>
      </c>
      <c r="G258" s="738">
        <f t="shared" si="120"/>
        <v>1956862.8969999999</v>
      </c>
      <c r="H258" s="738">
        <f t="shared" si="120"/>
        <v>2346051.3509999998</v>
      </c>
      <c r="I258" s="738">
        <f t="shared" si="120"/>
        <v>2817477.4819999998</v>
      </c>
      <c r="J258" s="738">
        <f t="shared" si="120"/>
        <v>2582095.4070000001</v>
      </c>
      <c r="K258" s="738">
        <f t="shared" si="120"/>
        <v>2453869.7620000001</v>
      </c>
      <c r="L258" s="738">
        <f t="shared" si="120"/>
        <v>2432020.3769999999</v>
      </c>
      <c r="M258" s="738">
        <f t="shared" si="120"/>
        <v>2074669.916</v>
      </c>
      <c r="N258" s="738">
        <f t="shared" si="120"/>
        <v>1485710.202</v>
      </c>
      <c r="O258" s="738">
        <f t="shared" si="120"/>
        <v>1430551.095</v>
      </c>
      <c r="P258" s="738">
        <f t="shared" si="118"/>
        <v>23273158.627999999</v>
      </c>
      <c r="Q258" s="738"/>
    </row>
    <row r="259" spans="1:17" x14ac:dyDescent="0.2">
      <c r="B259" s="709" t="s">
        <v>396</v>
      </c>
      <c r="C259" s="724"/>
      <c r="D259" s="738">
        <f t="shared" si="120"/>
        <v>910.31000000000006</v>
      </c>
      <c r="E259" s="738">
        <f t="shared" si="120"/>
        <v>879.71</v>
      </c>
      <c r="F259" s="738">
        <f t="shared" si="120"/>
        <v>1247.21</v>
      </c>
      <c r="G259" s="738">
        <f t="shared" si="120"/>
        <v>3838.74</v>
      </c>
      <c r="H259" s="738">
        <f t="shared" si="120"/>
        <v>5767.1</v>
      </c>
      <c r="I259" s="738">
        <f t="shared" si="120"/>
        <v>8025.07</v>
      </c>
      <c r="J259" s="738">
        <f t="shared" si="120"/>
        <v>5002.67</v>
      </c>
      <c r="K259" s="738">
        <f t="shared" si="120"/>
        <v>6550.45</v>
      </c>
      <c r="L259" s="738">
        <f t="shared" si="120"/>
        <v>5064.18</v>
      </c>
      <c r="M259" s="738">
        <f t="shared" si="120"/>
        <v>3517.5600000000004</v>
      </c>
      <c r="N259" s="738">
        <f t="shared" si="120"/>
        <v>1618.33</v>
      </c>
      <c r="O259" s="738">
        <f t="shared" si="120"/>
        <v>992.44</v>
      </c>
      <c r="P259" s="738">
        <f t="shared" si="118"/>
        <v>43413.770000000004</v>
      </c>
      <c r="Q259" s="738"/>
    </row>
    <row r="260" spans="1:17" x14ac:dyDescent="0.2">
      <c r="B260" s="709" t="s">
        <v>397</v>
      </c>
      <c r="C260" s="724"/>
      <c r="D260" s="738">
        <f t="shared" si="120"/>
        <v>1409196.13</v>
      </c>
      <c r="E260" s="738">
        <f t="shared" si="120"/>
        <v>1455982.78</v>
      </c>
      <c r="F260" s="738">
        <f t="shared" si="120"/>
        <v>1376139.56</v>
      </c>
      <c r="G260" s="738">
        <f t="shared" si="120"/>
        <v>1587400.12</v>
      </c>
      <c r="H260" s="738">
        <f t="shared" si="120"/>
        <v>1682324.709</v>
      </c>
      <c r="I260" s="738">
        <f t="shared" si="120"/>
        <v>1740155.9700000002</v>
      </c>
      <c r="J260" s="738">
        <f t="shared" si="120"/>
        <v>1896974.1</v>
      </c>
      <c r="K260" s="738">
        <f t="shared" si="120"/>
        <v>1747749.17</v>
      </c>
      <c r="L260" s="738">
        <f t="shared" si="120"/>
        <v>1903759.5399999998</v>
      </c>
      <c r="M260" s="738">
        <f t="shared" si="120"/>
        <v>1695900.24</v>
      </c>
      <c r="N260" s="738">
        <f t="shared" si="120"/>
        <v>1488537.73</v>
      </c>
      <c r="O260" s="738">
        <f t="shared" si="120"/>
        <v>1270129.47</v>
      </c>
      <c r="P260" s="738">
        <f t="shared" si="118"/>
        <v>19254249.518999998</v>
      </c>
      <c r="Q260" s="738"/>
    </row>
    <row r="261" spans="1:17" x14ac:dyDescent="0.2">
      <c r="B261" s="709" t="s">
        <v>398</v>
      </c>
      <c r="C261" s="724"/>
      <c r="D261" s="738">
        <f t="shared" si="120"/>
        <v>5851763.6900000004</v>
      </c>
      <c r="E261" s="738">
        <f t="shared" si="120"/>
        <v>6367850.5700000003</v>
      </c>
      <c r="F261" s="738">
        <f t="shared" si="120"/>
        <v>6194771.8100000005</v>
      </c>
      <c r="G261" s="738">
        <f t="shared" si="120"/>
        <v>6948461.2199999997</v>
      </c>
      <c r="H261" s="738">
        <f t="shared" si="120"/>
        <v>6457225.9400000004</v>
      </c>
      <c r="I261" s="738">
        <f t="shared" si="120"/>
        <v>6748532.6200000001</v>
      </c>
      <c r="J261" s="738">
        <f t="shared" si="120"/>
        <v>6677618.04</v>
      </c>
      <c r="K261" s="738">
        <f t="shared" si="120"/>
        <v>6081561.6100000003</v>
      </c>
      <c r="L261" s="738">
        <f t="shared" si="120"/>
        <v>6977294.3499999996</v>
      </c>
      <c r="M261" s="738">
        <f t="shared" si="120"/>
        <v>6172882.9199999999</v>
      </c>
      <c r="N261" s="738">
        <f t="shared" si="120"/>
        <v>6120130.4900000002</v>
      </c>
      <c r="O261" s="738">
        <f t="shared" si="120"/>
        <v>5984493.8599999994</v>
      </c>
      <c r="P261" s="738">
        <f t="shared" si="118"/>
        <v>76582587.120000005</v>
      </c>
      <c r="Q261" s="738"/>
    </row>
    <row r="262" spans="1:17" x14ac:dyDescent="0.2">
      <c r="B262" s="718" t="s">
        <v>402</v>
      </c>
      <c r="C262" s="724"/>
      <c r="D262" s="738">
        <f t="shared" si="120"/>
        <v>24835.61</v>
      </c>
      <c r="E262" s="738">
        <f t="shared" si="120"/>
        <v>18950.099999999999</v>
      </c>
      <c r="F262" s="738">
        <f t="shared" si="120"/>
        <v>14249</v>
      </c>
      <c r="G262" s="738">
        <f t="shared" si="120"/>
        <v>31358.14</v>
      </c>
      <c r="H262" s="738">
        <f t="shared" si="120"/>
        <v>28587.62</v>
      </c>
      <c r="I262" s="738">
        <f t="shared" si="120"/>
        <v>29791.48</v>
      </c>
      <c r="J262" s="738">
        <f t="shared" si="120"/>
        <v>49343.94</v>
      </c>
      <c r="K262" s="738">
        <f t="shared" si="120"/>
        <v>52603.87</v>
      </c>
      <c r="L262" s="738">
        <f t="shared" si="120"/>
        <v>40825.67</v>
      </c>
      <c r="M262" s="738">
        <f t="shared" si="120"/>
        <v>24785.5</v>
      </c>
      <c r="N262" s="738">
        <f t="shared" si="120"/>
        <v>18363.18</v>
      </c>
      <c r="O262" s="738">
        <f t="shared" si="120"/>
        <v>20942.59</v>
      </c>
      <c r="P262" s="738">
        <f t="shared" si="118"/>
        <v>354636.7</v>
      </c>
      <c r="Q262" s="738"/>
    </row>
    <row r="263" spans="1:17" s="739" customFormat="1" x14ac:dyDescent="0.2">
      <c r="A263" s="709"/>
      <c r="B263" s="709" t="s">
        <v>400</v>
      </c>
      <c r="C263" s="724"/>
      <c r="D263" s="738">
        <f t="shared" si="120"/>
        <v>8682427.3399999999</v>
      </c>
      <c r="E263" s="738">
        <f t="shared" si="120"/>
        <v>8811197.0700000003</v>
      </c>
      <c r="F263" s="738">
        <f t="shared" si="120"/>
        <v>8469145.3300000001</v>
      </c>
      <c r="G263" s="738">
        <f t="shared" si="120"/>
        <v>8937000.4199999999</v>
      </c>
      <c r="H263" s="738">
        <f t="shared" si="120"/>
        <v>8111567.540000001</v>
      </c>
      <c r="I263" s="738">
        <f t="shared" si="120"/>
        <v>9843875.9900000002</v>
      </c>
      <c r="J263" s="738">
        <f t="shared" si="120"/>
        <v>8436598.5199999996</v>
      </c>
      <c r="K263" s="738">
        <f t="shared" si="120"/>
        <v>8777355.3900000006</v>
      </c>
      <c r="L263" s="738">
        <f t="shared" si="120"/>
        <v>9545363.1600000001</v>
      </c>
      <c r="M263" s="738">
        <f t="shared" si="120"/>
        <v>8252639.4799999995</v>
      </c>
      <c r="N263" s="738">
        <f t="shared" si="120"/>
        <v>8341789.8599999994</v>
      </c>
      <c r="O263" s="738">
        <f t="shared" si="120"/>
        <v>7675361.1500000004</v>
      </c>
      <c r="P263" s="738">
        <f t="shared" si="118"/>
        <v>103884321.25000001</v>
      </c>
      <c r="Q263" s="738"/>
    </row>
    <row r="264" spans="1:17" x14ac:dyDescent="0.2">
      <c r="A264" s="739"/>
      <c r="B264" s="754" t="s">
        <v>13</v>
      </c>
      <c r="C264" s="755"/>
      <c r="D264" s="738">
        <f t="shared" si="120"/>
        <v>1921334.9100000001</v>
      </c>
      <c r="E264" s="738">
        <f t="shared" si="120"/>
        <v>1869187.75</v>
      </c>
      <c r="F264" s="738">
        <f t="shared" si="120"/>
        <v>2068982.99</v>
      </c>
      <c r="G264" s="738">
        <f t="shared" si="120"/>
        <v>3006871.56</v>
      </c>
      <c r="H264" s="738">
        <f t="shared" si="120"/>
        <v>3833917.62</v>
      </c>
      <c r="I264" s="738">
        <f t="shared" si="120"/>
        <v>4352917.41</v>
      </c>
      <c r="J264" s="738">
        <f t="shared" si="120"/>
        <v>4443467.74</v>
      </c>
      <c r="K264" s="738">
        <f t="shared" si="120"/>
        <v>3867486.2699999996</v>
      </c>
      <c r="L264" s="738">
        <f t="shared" si="120"/>
        <v>3813818.93</v>
      </c>
      <c r="M264" s="738">
        <f t="shared" si="120"/>
        <v>3266173.4099999997</v>
      </c>
      <c r="N264" s="738">
        <f t="shared" si="120"/>
        <v>2607580.04</v>
      </c>
      <c r="O264" s="738">
        <f t="shared" si="120"/>
        <v>2223953.0499999998</v>
      </c>
      <c r="P264" s="738">
        <f t="shared" si="118"/>
        <v>37275691.68</v>
      </c>
      <c r="Q264" s="738"/>
    </row>
    <row r="265" spans="1:17" x14ac:dyDescent="0.2">
      <c r="B265" s="752" t="s">
        <v>403</v>
      </c>
      <c r="C265" s="724"/>
      <c r="D265" s="750">
        <f t="shared" ref="D265:O265" si="121">SUM(D253:D264)</f>
        <v>44767990.108999997</v>
      </c>
      <c r="E265" s="750">
        <f t="shared" si="121"/>
        <v>44321712.204000011</v>
      </c>
      <c r="F265" s="750">
        <f t="shared" si="121"/>
        <v>55528619.809999995</v>
      </c>
      <c r="G265" s="750">
        <f t="shared" si="121"/>
        <v>93099778.638000011</v>
      </c>
      <c r="H265" s="750">
        <f t="shared" si="121"/>
        <v>131215309.395</v>
      </c>
      <c r="I265" s="750">
        <f t="shared" si="121"/>
        <v>156530872.37799999</v>
      </c>
      <c r="J265" s="750">
        <f t="shared" si="121"/>
        <v>166549704.64199999</v>
      </c>
      <c r="K265" s="750">
        <f t="shared" si="121"/>
        <v>132716463.97799999</v>
      </c>
      <c r="L265" s="750">
        <f t="shared" si="121"/>
        <v>138023239.37000003</v>
      </c>
      <c r="M265" s="750">
        <f t="shared" si="121"/>
        <v>98978841.535999998</v>
      </c>
      <c r="N265" s="750">
        <f t="shared" si="121"/>
        <v>69771203.847000003</v>
      </c>
      <c r="O265" s="750">
        <f t="shared" si="121"/>
        <v>50266421.470000006</v>
      </c>
      <c r="P265" s="750">
        <f t="shared" si="118"/>
        <v>1181770157.3770001</v>
      </c>
      <c r="Q265" s="738"/>
    </row>
    <row r="266" spans="1:17" x14ac:dyDescent="0.2">
      <c r="B266" s="752" t="s">
        <v>49</v>
      </c>
      <c r="C266" s="724"/>
      <c r="D266" s="738">
        <f t="shared" ref="D266:O266" si="122">D265-D231</f>
        <v>0</v>
      </c>
      <c r="E266" s="738">
        <f t="shared" si="122"/>
        <v>0</v>
      </c>
      <c r="F266" s="738">
        <f t="shared" si="122"/>
        <v>0</v>
      </c>
      <c r="G266" s="738">
        <f t="shared" si="122"/>
        <v>0</v>
      </c>
      <c r="H266" s="738">
        <f t="shared" si="122"/>
        <v>0</v>
      </c>
      <c r="I266" s="738">
        <f t="shared" si="122"/>
        <v>0</v>
      </c>
      <c r="J266" s="738">
        <f t="shared" si="122"/>
        <v>0</v>
      </c>
      <c r="K266" s="738">
        <f t="shared" si="122"/>
        <v>0</v>
      </c>
      <c r="L266" s="738">
        <f t="shared" si="122"/>
        <v>0</v>
      </c>
      <c r="M266" s="738">
        <f t="shared" si="122"/>
        <v>0</v>
      </c>
      <c r="N266" s="738">
        <f t="shared" si="122"/>
        <v>0</v>
      </c>
      <c r="O266" s="738">
        <f t="shared" si="122"/>
        <v>0</v>
      </c>
      <c r="P266" s="738">
        <f t="shared" ref="P266" si="123">SUM(D266:L266)</f>
        <v>0</v>
      </c>
      <c r="Q266" s="738"/>
    </row>
    <row r="267" spans="1:17" x14ac:dyDescent="0.2">
      <c r="B267" s="752"/>
      <c r="C267" s="724"/>
      <c r="D267" s="738"/>
      <c r="E267" s="738"/>
      <c r="F267" s="738"/>
      <c r="G267" s="738"/>
      <c r="H267" s="738"/>
      <c r="I267" s="738"/>
      <c r="J267" s="738"/>
      <c r="K267" s="738"/>
      <c r="L267" s="738"/>
      <c r="M267" s="738"/>
      <c r="N267" s="738"/>
      <c r="O267" s="738"/>
      <c r="P267" s="738"/>
      <c r="Q267" s="738"/>
    </row>
    <row r="268" spans="1:17" x14ac:dyDescent="0.2">
      <c r="B268" s="752" t="s">
        <v>408</v>
      </c>
      <c r="C268" s="724"/>
      <c r="D268" s="738">
        <f t="shared" ref="D268:O268" si="124">SUM(D253:D258)</f>
        <v>26877522.118999999</v>
      </c>
      <c r="E268" s="738">
        <f t="shared" si="124"/>
        <v>25797664.224000003</v>
      </c>
      <c r="F268" s="738">
        <f t="shared" si="124"/>
        <v>37404083.909999989</v>
      </c>
      <c r="G268" s="738">
        <f t="shared" si="124"/>
        <v>72584848.438000008</v>
      </c>
      <c r="H268" s="738">
        <f t="shared" si="124"/>
        <v>111095918.86599998</v>
      </c>
      <c r="I268" s="738">
        <f t="shared" si="124"/>
        <v>133807573.83799998</v>
      </c>
      <c r="J268" s="738">
        <f t="shared" si="124"/>
        <v>145040699.632</v>
      </c>
      <c r="K268" s="738">
        <f t="shared" si="124"/>
        <v>112183157.21799998</v>
      </c>
      <c r="L268" s="738">
        <f t="shared" si="124"/>
        <v>115737113.54000002</v>
      </c>
      <c r="M268" s="738">
        <f t="shared" si="124"/>
        <v>79562942.425999999</v>
      </c>
      <c r="N268" s="738">
        <f t="shared" si="124"/>
        <v>51193184.217</v>
      </c>
      <c r="O268" s="738">
        <f t="shared" si="124"/>
        <v>33090548.910000004</v>
      </c>
      <c r="P268" s="738">
        <f>SUM(D268:O268)</f>
        <v>944375257.33799982</v>
      </c>
      <c r="Q268" s="738"/>
    </row>
    <row r="269" spans="1:17" x14ac:dyDescent="0.2">
      <c r="B269" s="752" t="s">
        <v>409</v>
      </c>
      <c r="C269" s="724"/>
      <c r="D269" s="738">
        <f t="shared" ref="D269:I269" si="125">SUM(D259:D264)</f>
        <v>17890467.990000002</v>
      </c>
      <c r="E269" s="738">
        <f t="shared" si="125"/>
        <v>18524047.98</v>
      </c>
      <c r="F269" s="738">
        <f t="shared" si="125"/>
        <v>18124535.899999999</v>
      </c>
      <c r="G269" s="738">
        <f t="shared" si="125"/>
        <v>20514930.199999999</v>
      </c>
      <c r="H269" s="738">
        <f t="shared" si="125"/>
        <v>20119390.529000003</v>
      </c>
      <c r="I269" s="738">
        <f t="shared" si="125"/>
        <v>22723298.540000003</v>
      </c>
      <c r="J269" s="738">
        <f>SUM(J259:J264)</f>
        <v>21509005.009999998</v>
      </c>
      <c r="K269" s="738">
        <f t="shared" ref="K269:O269" si="126">SUM(K259:K264)</f>
        <v>20533306.760000002</v>
      </c>
      <c r="L269" s="738">
        <f t="shared" si="126"/>
        <v>22286125.829999998</v>
      </c>
      <c r="M269" s="738">
        <f t="shared" si="126"/>
        <v>19415899.109999999</v>
      </c>
      <c r="N269" s="738">
        <f t="shared" si="126"/>
        <v>18578019.629999999</v>
      </c>
      <c r="O269" s="738">
        <f t="shared" si="126"/>
        <v>17175872.559999999</v>
      </c>
      <c r="P269" s="738">
        <f t="shared" ref="P269:P270" si="127">SUM(D269:O269)</f>
        <v>237394900.03899997</v>
      </c>
      <c r="Q269" s="738"/>
    </row>
    <row r="270" spans="1:17" x14ac:dyDescent="0.2">
      <c r="B270" s="752" t="s">
        <v>6</v>
      </c>
      <c r="C270" s="724"/>
      <c r="D270" s="750">
        <f t="shared" ref="D270:O270" si="128">SUM(D268:D269)</f>
        <v>44767990.108999997</v>
      </c>
      <c r="E270" s="750">
        <f t="shared" si="128"/>
        <v>44321712.204000004</v>
      </c>
      <c r="F270" s="750">
        <f t="shared" si="128"/>
        <v>55528619.809999987</v>
      </c>
      <c r="G270" s="750">
        <f t="shared" si="128"/>
        <v>93099778.638000011</v>
      </c>
      <c r="H270" s="750">
        <f t="shared" si="128"/>
        <v>131215309.39499998</v>
      </c>
      <c r="I270" s="750">
        <f t="shared" si="128"/>
        <v>156530872.37799999</v>
      </c>
      <c r="J270" s="750">
        <f t="shared" si="128"/>
        <v>166549704.64199999</v>
      </c>
      <c r="K270" s="750">
        <f t="shared" si="128"/>
        <v>132716463.97799999</v>
      </c>
      <c r="L270" s="750">
        <f t="shared" si="128"/>
        <v>138023239.37</v>
      </c>
      <c r="M270" s="750">
        <f t="shared" si="128"/>
        <v>98978841.535999998</v>
      </c>
      <c r="N270" s="750">
        <f t="shared" si="128"/>
        <v>69771203.847000003</v>
      </c>
      <c r="O270" s="750">
        <f t="shared" si="128"/>
        <v>50266421.469999999</v>
      </c>
      <c r="P270" s="750">
        <f t="shared" si="127"/>
        <v>1181770157.3769999</v>
      </c>
      <c r="Q270" s="738"/>
    </row>
    <row r="271" spans="1:17" s="718" customFormat="1" x14ac:dyDescent="0.2">
      <c r="A271" s="709"/>
      <c r="B271" s="756" t="s">
        <v>49</v>
      </c>
      <c r="C271" s="757"/>
      <c r="D271" s="758">
        <f t="shared" ref="D271:O271" si="129">D270-D265</f>
        <v>0</v>
      </c>
      <c r="E271" s="758">
        <f t="shared" si="129"/>
        <v>0</v>
      </c>
      <c r="F271" s="758">
        <f t="shared" si="129"/>
        <v>0</v>
      </c>
      <c r="G271" s="758">
        <f t="shared" si="129"/>
        <v>0</v>
      </c>
      <c r="H271" s="758">
        <f t="shared" si="129"/>
        <v>0</v>
      </c>
      <c r="I271" s="758">
        <f t="shared" si="129"/>
        <v>0</v>
      </c>
      <c r="J271" s="758">
        <f t="shared" si="129"/>
        <v>0</v>
      </c>
      <c r="K271" s="758">
        <f t="shared" si="129"/>
        <v>0</v>
      </c>
      <c r="L271" s="758">
        <f t="shared" si="129"/>
        <v>0</v>
      </c>
      <c r="M271" s="758">
        <f t="shared" si="129"/>
        <v>0</v>
      </c>
      <c r="N271" s="758">
        <f t="shared" si="129"/>
        <v>0</v>
      </c>
      <c r="O271" s="758">
        <f t="shared" si="129"/>
        <v>0</v>
      </c>
      <c r="P271" s="758">
        <f>SUM(D271:L271)</f>
        <v>0</v>
      </c>
      <c r="Q271" s="738"/>
    </row>
    <row r="272" spans="1:17" s="718" customFormat="1" x14ac:dyDescent="0.2">
      <c r="B272" s="752"/>
      <c r="C272" s="724"/>
      <c r="D272" s="738"/>
      <c r="E272" s="738"/>
      <c r="F272" s="738"/>
      <c r="G272" s="738"/>
      <c r="H272" s="738"/>
      <c r="I272" s="738"/>
      <c r="J272" s="738"/>
      <c r="K272" s="738"/>
      <c r="L272" s="738"/>
      <c r="M272" s="738"/>
      <c r="N272" s="738"/>
      <c r="O272" s="738"/>
      <c r="P272" s="738"/>
      <c r="Q272" s="738"/>
    </row>
    <row r="273" spans="1:17" s="718" customFormat="1" x14ac:dyDescent="0.2">
      <c r="B273" s="761" t="s">
        <v>410</v>
      </c>
      <c r="C273" s="724"/>
      <c r="D273" s="738"/>
      <c r="E273" s="738"/>
      <c r="F273" s="738"/>
      <c r="G273" s="738"/>
      <c r="H273" s="738"/>
      <c r="I273" s="738"/>
      <c r="J273" s="738"/>
      <c r="K273" s="738"/>
      <c r="L273" s="738"/>
      <c r="M273" s="738"/>
      <c r="N273" s="738"/>
      <c r="O273" s="738"/>
      <c r="P273" s="738"/>
      <c r="Q273" s="729"/>
    </row>
    <row r="274" spans="1:17" s="718" customFormat="1" x14ac:dyDescent="0.2">
      <c r="B274" s="718" t="s">
        <v>411</v>
      </c>
      <c r="C274" s="719">
        <v>23</v>
      </c>
      <c r="D274" s="729">
        <f t="shared" ref="D274:O287" si="130">IFERROR(ROUND(SUMIF($C$170:$C$194,$C274,D$170:D$194),0)/ROUND(SUMIF($C$36:$C$61,$C274,D$36:D$61),0),0)</f>
        <v>17.687806142385565</v>
      </c>
      <c r="E274" s="729">
        <f t="shared" si="130"/>
        <v>16.743609733267249</v>
      </c>
      <c r="F274" s="729">
        <f t="shared" si="130"/>
        <v>28.414488321268482</v>
      </c>
      <c r="G274" s="729">
        <f t="shared" si="130"/>
        <v>60.448233411301246</v>
      </c>
      <c r="H274" s="729">
        <f t="shared" si="130"/>
        <v>96.321482638675718</v>
      </c>
      <c r="I274" s="729">
        <f t="shared" si="130"/>
        <v>115.39159519032329</v>
      </c>
      <c r="J274" s="729">
        <f t="shared" si="130"/>
        <v>126.59115641564144</v>
      </c>
      <c r="K274" s="729">
        <f t="shared" si="130"/>
        <v>95.38435116786404</v>
      </c>
      <c r="L274" s="729">
        <f t="shared" si="130"/>
        <v>98.510411687690933</v>
      </c>
      <c r="M274" s="729">
        <f t="shared" si="130"/>
        <v>65.260435625877918</v>
      </c>
      <c r="N274" s="729">
        <f t="shared" si="130"/>
        <v>40.06437984797779</v>
      </c>
      <c r="O274" s="729">
        <f t="shared" si="130"/>
        <v>24.992154356011493</v>
      </c>
      <c r="P274" s="729">
        <f>SUM(D274:O274)</f>
        <v>785.81010453828515</v>
      </c>
      <c r="Q274" s="729"/>
    </row>
    <row r="275" spans="1:17" s="718" customFormat="1" x14ac:dyDescent="0.2">
      <c r="B275" s="718" t="s">
        <v>412</v>
      </c>
      <c r="C275" s="719">
        <v>31</v>
      </c>
      <c r="D275" s="729">
        <f t="shared" si="130"/>
        <v>142.69324345954792</v>
      </c>
      <c r="E275" s="729">
        <f t="shared" si="130"/>
        <v>140.03993664240332</v>
      </c>
      <c r="F275" s="729">
        <f t="shared" si="130"/>
        <v>170.57524976403755</v>
      </c>
      <c r="G275" s="729">
        <f t="shared" si="130"/>
        <v>301.10170154508114</v>
      </c>
      <c r="H275" s="729">
        <f t="shared" si="130"/>
        <v>452.78057209697999</v>
      </c>
      <c r="I275" s="729">
        <f t="shared" si="130"/>
        <v>554.63850885565807</v>
      </c>
      <c r="J275" s="729">
        <f t="shared" si="130"/>
        <v>596.94600938967142</v>
      </c>
      <c r="K275" s="729">
        <f t="shared" si="130"/>
        <v>471.8830235964773</v>
      </c>
      <c r="L275" s="729">
        <f t="shared" si="130"/>
        <v>482.23062145299446</v>
      </c>
      <c r="M275" s="729">
        <f t="shared" si="130"/>
        <v>338.67760141093476</v>
      </c>
      <c r="N275" s="729">
        <f t="shared" si="130"/>
        <v>225.8547738338861</v>
      </c>
      <c r="O275" s="729">
        <f t="shared" si="130"/>
        <v>165.14206221625537</v>
      </c>
      <c r="P275" s="729">
        <f t="shared" ref="P275:P288" si="131">SUM(D275:O275)</f>
        <v>4042.5633042639274</v>
      </c>
      <c r="Q275" s="729"/>
    </row>
    <row r="276" spans="1:17" s="718" customFormat="1" x14ac:dyDescent="0.2">
      <c r="B276" s="718" t="s">
        <v>413</v>
      </c>
      <c r="C276" s="719">
        <v>41</v>
      </c>
      <c r="D276" s="729">
        <f t="shared" si="130"/>
        <v>2321.3387334315171</v>
      </c>
      <c r="E276" s="729">
        <f t="shared" si="130"/>
        <v>2241.581051073279</v>
      </c>
      <c r="F276" s="729">
        <f t="shared" si="130"/>
        <v>2641.9161147902869</v>
      </c>
      <c r="G276" s="729">
        <f t="shared" si="130"/>
        <v>3916.2098312545854</v>
      </c>
      <c r="H276" s="729">
        <f t="shared" si="130"/>
        <v>4930.5455882352944</v>
      </c>
      <c r="I276" s="729">
        <f t="shared" si="130"/>
        <v>5722.4447717231224</v>
      </c>
      <c r="J276" s="729">
        <f t="shared" si="130"/>
        <v>6020.0110132158588</v>
      </c>
      <c r="K276" s="729">
        <f t="shared" si="130"/>
        <v>5065.7921886514368</v>
      </c>
      <c r="L276" s="729">
        <f t="shared" si="130"/>
        <v>5281.5323529411762</v>
      </c>
      <c r="M276" s="729">
        <f t="shared" si="130"/>
        <v>4215.6918561995599</v>
      </c>
      <c r="N276" s="729">
        <f t="shared" si="130"/>
        <v>3292.9845701689933</v>
      </c>
      <c r="O276" s="729">
        <f t="shared" si="130"/>
        <v>1403.2359467455622</v>
      </c>
      <c r="P276" s="729">
        <f t="shared" si="131"/>
        <v>47053.28401843067</v>
      </c>
      <c r="Q276" s="729"/>
    </row>
    <row r="277" spans="1:17" s="718" customFormat="1" x14ac:dyDescent="0.2">
      <c r="B277" s="718" t="s">
        <v>347</v>
      </c>
      <c r="C277" s="719">
        <v>53</v>
      </c>
      <c r="D277" s="729">
        <f t="shared" si="130"/>
        <v>9</v>
      </c>
      <c r="E277" s="729">
        <f t="shared" si="130"/>
        <v>9</v>
      </c>
      <c r="F277" s="729">
        <f t="shared" si="130"/>
        <v>24</v>
      </c>
      <c r="G277" s="729">
        <f t="shared" si="130"/>
        <v>53</v>
      </c>
      <c r="H277" s="729">
        <f t="shared" si="130"/>
        <v>68</v>
      </c>
      <c r="I277" s="729">
        <f t="shared" si="130"/>
        <v>68</v>
      </c>
      <c r="J277" s="729">
        <f t="shared" si="130"/>
        <v>57</v>
      </c>
      <c r="K277" s="729">
        <f t="shared" si="130"/>
        <v>0</v>
      </c>
      <c r="L277" s="729">
        <f t="shared" si="130"/>
        <v>0</v>
      </c>
      <c r="M277" s="729">
        <f t="shared" si="130"/>
        <v>0</v>
      </c>
      <c r="N277" s="729">
        <f t="shared" si="130"/>
        <v>0</v>
      </c>
      <c r="O277" s="729">
        <f t="shared" si="130"/>
        <v>0</v>
      </c>
      <c r="P277" s="729">
        <f t="shared" si="131"/>
        <v>288</v>
      </c>
      <c r="Q277" s="729"/>
    </row>
    <row r="278" spans="1:17" s="718" customFormat="1" x14ac:dyDescent="0.2">
      <c r="B278" s="718" t="s">
        <v>450</v>
      </c>
      <c r="C278" s="719">
        <v>50</v>
      </c>
      <c r="D278" s="729">
        <f t="shared" si="130"/>
        <v>0</v>
      </c>
      <c r="E278" s="729">
        <f t="shared" si="130"/>
        <v>0</v>
      </c>
      <c r="F278" s="729">
        <f t="shared" si="130"/>
        <v>0</v>
      </c>
      <c r="G278" s="729">
        <f t="shared" si="130"/>
        <v>0</v>
      </c>
      <c r="H278" s="729">
        <f t="shared" si="130"/>
        <v>0</v>
      </c>
      <c r="I278" s="729">
        <f t="shared" si="130"/>
        <v>0</v>
      </c>
      <c r="J278" s="729">
        <f t="shared" si="130"/>
        <v>0</v>
      </c>
      <c r="K278" s="729">
        <f t="shared" si="130"/>
        <v>0</v>
      </c>
      <c r="L278" s="729">
        <f t="shared" si="130"/>
        <v>0</v>
      </c>
      <c r="M278" s="729">
        <f t="shared" si="130"/>
        <v>0</v>
      </c>
      <c r="N278" s="729">
        <f t="shared" si="130"/>
        <v>0</v>
      </c>
      <c r="O278" s="729">
        <f t="shared" si="130"/>
        <v>0</v>
      </c>
      <c r="P278" s="729">
        <f t="shared" si="131"/>
        <v>0</v>
      </c>
      <c r="Q278" s="729"/>
    </row>
    <row r="279" spans="1:17" s="718" customFormat="1" x14ac:dyDescent="0.2">
      <c r="B279" s="709" t="s">
        <v>396</v>
      </c>
      <c r="C279" s="719" t="s">
        <v>33</v>
      </c>
      <c r="D279" s="729">
        <f t="shared" si="130"/>
        <v>303.33333333333331</v>
      </c>
      <c r="E279" s="729">
        <f t="shared" si="130"/>
        <v>293.33333333333331</v>
      </c>
      <c r="F279" s="729">
        <f t="shared" si="130"/>
        <v>415.66666666666669</v>
      </c>
      <c r="G279" s="729">
        <f t="shared" si="130"/>
        <v>1279.6666666666667</v>
      </c>
      <c r="H279" s="729">
        <f t="shared" si="130"/>
        <v>1922.3333333333333</v>
      </c>
      <c r="I279" s="729">
        <f t="shared" si="130"/>
        <v>2675</v>
      </c>
      <c r="J279" s="729">
        <f t="shared" si="130"/>
        <v>1667.6666666666667</v>
      </c>
      <c r="K279" s="729">
        <f t="shared" si="130"/>
        <v>2183.3333333333335</v>
      </c>
      <c r="L279" s="729">
        <f t="shared" si="130"/>
        <v>1688</v>
      </c>
      <c r="M279" s="729">
        <f t="shared" si="130"/>
        <v>1172.6666666666667</v>
      </c>
      <c r="N279" s="729">
        <f t="shared" si="130"/>
        <v>539.33333333333337</v>
      </c>
      <c r="O279" s="729">
        <f t="shared" si="130"/>
        <v>330.66666666666669</v>
      </c>
      <c r="P279" s="729">
        <f t="shared" si="131"/>
        <v>14471</v>
      </c>
      <c r="Q279" s="729"/>
    </row>
    <row r="280" spans="1:17" s="718" customFormat="1" x14ac:dyDescent="0.2">
      <c r="B280" s="718" t="s">
        <v>397</v>
      </c>
      <c r="C280" s="719" t="s">
        <v>35</v>
      </c>
      <c r="D280" s="729">
        <f t="shared" si="130"/>
        <v>14234.30303030303</v>
      </c>
      <c r="E280" s="729">
        <f t="shared" si="130"/>
        <v>14856.969387755102</v>
      </c>
      <c r="F280" s="729">
        <f t="shared" si="130"/>
        <v>13900.404040404041</v>
      </c>
      <c r="G280" s="729">
        <f t="shared" si="130"/>
        <v>15874</v>
      </c>
      <c r="H280" s="729">
        <f t="shared" si="130"/>
        <v>16656.683168316831</v>
      </c>
      <c r="I280" s="729">
        <f t="shared" si="130"/>
        <v>17229.267326732672</v>
      </c>
      <c r="J280" s="729">
        <f t="shared" si="130"/>
        <v>18417.223300970873</v>
      </c>
      <c r="K280" s="729">
        <f t="shared" si="130"/>
        <v>16645.228571428572</v>
      </c>
      <c r="L280" s="729">
        <f t="shared" si="130"/>
        <v>18131.047619047618</v>
      </c>
      <c r="M280" s="729">
        <f t="shared" si="130"/>
        <v>16151.428571428571</v>
      </c>
      <c r="N280" s="729">
        <f t="shared" si="130"/>
        <v>14176.55238095238</v>
      </c>
      <c r="O280" s="729">
        <f t="shared" si="130"/>
        <v>11652.559633027522</v>
      </c>
      <c r="P280" s="729">
        <f t="shared" si="131"/>
        <v>187925.66703036721</v>
      </c>
      <c r="Q280" s="729"/>
    </row>
    <row r="281" spans="1:17" s="718" customFormat="1" x14ac:dyDescent="0.2">
      <c r="B281" s="718" t="s">
        <v>398</v>
      </c>
      <c r="C281" s="719" t="s">
        <v>37</v>
      </c>
      <c r="D281" s="729">
        <f t="shared" si="130"/>
        <v>59108.727272727272</v>
      </c>
      <c r="E281" s="729">
        <f t="shared" si="130"/>
        <v>63678.51</v>
      </c>
      <c r="F281" s="729">
        <f t="shared" si="130"/>
        <v>61947.72</v>
      </c>
      <c r="G281" s="729">
        <f t="shared" si="130"/>
        <v>69484.61</v>
      </c>
      <c r="H281" s="729">
        <f t="shared" si="130"/>
        <v>63932.930693069306</v>
      </c>
      <c r="I281" s="729">
        <f t="shared" si="130"/>
        <v>67485.33</v>
      </c>
      <c r="J281" s="729">
        <f t="shared" si="130"/>
        <v>66115.029702970292</v>
      </c>
      <c r="K281" s="729">
        <f t="shared" si="130"/>
        <v>60213.485148514854</v>
      </c>
      <c r="L281" s="729">
        <f t="shared" si="130"/>
        <v>69082.118811881184</v>
      </c>
      <c r="M281" s="729">
        <f t="shared" si="130"/>
        <v>61117.653465346535</v>
      </c>
      <c r="N281" s="729">
        <f t="shared" si="130"/>
        <v>60001.274509803923</v>
      </c>
      <c r="O281" s="729">
        <f t="shared" si="130"/>
        <v>58101.88349514563</v>
      </c>
      <c r="P281" s="729">
        <f t="shared" si="131"/>
        <v>760269.27309945901</v>
      </c>
      <c r="Q281" s="729"/>
    </row>
    <row r="282" spans="1:17" s="718" customFormat="1" x14ac:dyDescent="0.2">
      <c r="B282" s="718" t="s">
        <v>402</v>
      </c>
      <c r="C282" s="719" t="s">
        <v>39</v>
      </c>
      <c r="D282" s="729">
        <f t="shared" si="130"/>
        <v>6209</v>
      </c>
      <c r="E282" s="729">
        <f t="shared" si="130"/>
        <v>4737.5</v>
      </c>
      <c r="F282" s="729">
        <f t="shared" si="130"/>
        <v>3562.25</v>
      </c>
      <c r="G282" s="729">
        <f t="shared" si="130"/>
        <v>7839.5</v>
      </c>
      <c r="H282" s="729">
        <f t="shared" si="130"/>
        <v>14294</v>
      </c>
      <c r="I282" s="729">
        <f t="shared" si="130"/>
        <v>14895.5</v>
      </c>
      <c r="J282" s="729">
        <f t="shared" si="130"/>
        <v>24672</v>
      </c>
      <c r="K282" s="729">
        <f t="shared" si="130"/>
        <v>26302</v>
      </c>
      <c r="L282" s="729">
        <f t="shared" si="130"/>
        <v>20413</v>
      </c>
      <c r="M282" s="729">
        <f t="shared" si="130"/>
        <v>12393</v>
      </c>
      <c r="N282" s="729">
        <f t="shared" si="130"/>
        <v>9181.5</v>
      </c>
      <c r="O282" s="729">
        <f t="shared" si="130"/>
        <v>10471.5</v>
      </c>
      <c r="P282" s="729">
        <f t="shared" si="131"/>
        <v>154970.75</v>
      </c>
      <c r="Q282" s="729"/>
    </row>
    <row r="283" spans="1:17" s="718" customFormat="1" x14ac:dyDescent="0.2">
      <c r="B283" s="718" t="s">
        <v>400</v>
      </c>
      <c r="C283" s="719" t="s">
        <v>41</v>
      </c>
      <c r="D283" s="729">
        <f t="shared" si="130"/>
        <v>868242.7</v>
      </c>
      <c r="E283" s="729">
        <f t="shared" si="130"/>
        <v>881119.7</v>
      </c>
      <c r="F283" s="729">
        <f t="shared" si="130"/>
        <v>846914.5</v>
      </c>
      <c r="G283" s="729">
        <f t="shared" si="130"/>
        <v>893700</v>
      </c>
      <c r="H283" s="729">
        <f t="shared" si="130"/>
        <v>811156.8</v>
      </c>
      <c r="I283" s="729">
        <f t="shared" si="130"/>
        <v>984387.6</v>
      </c>
      <c r="J283" s="729">
        <f t="shared" si="130"/>
        <v>843659.9</v>
      </c>
      <c r="K283" s="729">
        <f t="shared" si="130"/>
        <v>877735.5</v>
      </c>
      <c r="L283" s="729">
        <f t="shared" si="130"/>
        <v>954536.3</v>
      </c>
      <c r="M283" s="729">
        <f t="shared" si="130"/>
        <v>825263.9</v>
      </c>
      <c r="N283" s="729">
        <f t="shared" si="130"/>
        <v>834179</v>
      </c>
      <c r="O283" s="729">
        <f t="shared" si="130"/>
        <v>767536.1</v>
      </c>
      <c r="P283" s="729">
        <f t="shared" si="131"/>
        <v>10388432</v>
      </c>
      <c r="Q283" s="729"/>
    </row>
    <row r="284" spans="1:17" s="718" customFormat="1" x14ac:dyDescent="0.2">
      <c r="B284" s="718" t="s">
        <v>414</v>
      </c>
      <c r="C284" s="718">
        <v>85</v>
      </c>
      <c r="D284" s="729">
        <f t="shared" si="130"/>
        <v>28837.551724137931</v>
      </c>
      <c r="E284" s="729">
        <f t="shared" si="130"/>
        <v>26636.827586206895</v>
      </c>
      <c r="F284" s="729">
        <f t="shared" si="130"/>
        <v>32488.392857142859</v>
      </c>
      <c r="G284" s="729">
        <f t="shared" si="130"/>
        <v>47663.310344827587</v>
      </c>
      <c r="H284" s="729">
        <f t="shared" si="130"/>
        <v>58795.103448275862</v>
      </c>
      <c r="I284" s="729">
        <f t="shared" si="130"/>
        <v>69978.758620689652</v>
      </c>
      <c r="J284" s="729">
        <f t="shared" si="130"/>
        <v>66676.137931034478</v>
      </c>
      <c r="K284" s="729">
        <f t="shared" si="130"/>
        <v>57949.103448275862</v>
      </c>
      <c r="L284" s="729">
        <f t="shared" si="130"/>
        <v>61703.034482758623</v>
      </c>
      <c r="M284" s="729">
        <f t="shared" si="130"/>
        <v>48291.448275862072</v>
      </c>
      <c r="N284" s="729">
        <f t="shared" si="130"/>
        <v>36101.65517241379</v>
      </c>
      <c r="O284" s="729">
        <f t="shared" si="130"/>
        <v>29348.5</v>
      </c>
      <c r="P284" s="729">
        <f t="shared" si="131"/>
        <v>564469.82389162562</v>
      </c>
      <c r="Q284" s="729"/>
    </row>
    <row r="285" spans="1:17" s="718" customFormat="1" x14ac:dyDescent="0.2">
      <c r="B285" s="718" t="s">
        <v>415</v>
      </c>
      <c r="C285" s="718">
        <v>86</v>
      </c>
      <c r="D285" s="729">
        <f t="shared" si="130"/>
        <v>942.34497816593887</v>
      </c>
      <c r="E285" s="729">
        <f t="shared" si="130"/>
        <v>873.55021834061131</v>
      </c>
      <c r="F285" s="729">
        <f t="shared" si="130"/>
        <v>1658.3449781659388</v>
      </c>
      <c r="G285" s="729">
        <f t="shared" si="130"/>
        <v>3580.0087719298244</v>
      </c>
      <c r="H285" s="729">
        <f t="shared" si="130"/>
        <v>4600.1184210526317</v>
      </c>
      <c r="I285" s="729">
        <f t="shared" si="130"/>
        <v>5706.2368421052633</v>
      </c>
      <c r="J285" s="729">
        <f t="shared" si="130"/>
        <v>5598.3684210526317</v>
      </c>
      <c r="K285" s="729">
        <f t="shared" si="130"/>
        <v>4686.2368421052633</v>
      </c>
      <c r="L285" s="729">
        <f t="shared" si="130"/>
        <v>4945.7192982456145</v>
      </c>
      <c r="M285" s="729">
        <f t="shared" si="130"/>
        <v>3808.1973684210525</v>
      </c>
      <c r="N285" s="729">
        <f t="shared" si="130"/>
        <v>2151.4140969162995</v>
      </c>
      <c r="O285" s="729">
        <f t="shared" si="130"/>
        <v>1393.9339207048458</v>
      </c>
      <c r="P285" s="729">
        <f t="shared" si="131"/>
        <v>39944.474157205914</v>
      </c>
      <c r="Q285" s="729"/>
    </row>
    <row r="286" spans="1:17" s="725" customFormat="1" x14ac:dyDescent="0.2">
      <c r="A286" s="718"/>
      <c r="B286" s="718" t="s">
        <v>416</v>
      </c>
      <c r="C286" s="718">
        <v>87</v>
      </c>
      <c r="D286" s="729">
        <f t="shared" si="130"/>
        <v>241032.6</v>
      </c>
      <c r="E286" s="729">
        <f t="shared" si="130"/>
        <v>238246.6</v>
      </c>
      <c r="F286" s="729">
        <f t="shared" si="130"/>
        <v>259490.8</v>
      </c>
      <c r="G286" s="729">
        <f t="shared" si="130"/>
        <v>391372.6</v>
      </c>
      <c r="H286" s="729">
        <f t="shared" si="130"/>
        <v>469210.2</v>
      </c>
      <c r="I286" s="729">
        <f t="shared" si="130"/>
        <v>563495.4</v>
      </c>
      <c r="J286" s="729">
        <f t="shared" si="130"/>
        <v>516419</v>
      </c>
      <c r="K286" s="729">
        <f t="shared" si="130"/>
        <v>490774</v>
      </c>
      <c r="L286" s="729">
        <f t="shared" si="130"/>
        <v>486404</v>
      </c>
      <c r="M286" s="729">
        <f t="shared" si="130"/>
        <v>414934</v>
      </c>
      <c r="N286" s="729">
        <f t="shared" si="130"/>
        <v>297142</v>
      </c>
      <c r="O286" s="729">
        <f t="shared" si="130"/>
        <v>286110.2</v>
      </c>
      <c r="P286" s="729">
        <f t="shared" si="131"/>
        <v>4654631.4000000004</v>
      </c>
      <c r="Q286" s="729"/>
    </row>
    <row r="287" spans="1:17" ht="15" x14ac:dyDescent="0.25">
      <c r="A287" s="725"/>
      <c r="B287" s="753" t="s">
        <v>13</v>
      </c>
      <c r="C287" s="740" t="s">
        <v>262</v>
      </c>
      <c r="D287" s="729">
        <f t="shared" si="130"/>
        <v>192133.5</v>
      </c>
      <c r="E287" s="729">
        <f t="shared" si="130"/>
        <v>186918.8</v>
      </c>
      <c r="F287" s="729">
        <f t="shared" si="130"/>
        <v>206898.3</v>
      </c>
      <c r="G287" s="729">
        <f t="shared" si="130"/>
        <v>300687.2</v>
      </c>
      <c r="H287" s="729">
        <f t="shared" si="130"/>
        <v>383391.8</v>
      </c>
      <c r="I287" s="729">
        <f t="shared" si="130"/>
        <v>435291.7</v>
      </c>
      <c r="J287" s="729">
        <f t="shared" si="130"/>
        <v>444346.8</v>
      </c>
      <c r="K287" s="729">
        <f t="shared" si="130"/>
        <v>386748.6</v>
      </c>
      <c r="L287" s="729">
        <f t="shared" si="130"/>
        <v>381381.9</v>
      </c>
      <c r="M287" s="729">
        <f t="shared" si="130"/>
        <v>326617.3</v>
      </c>
      <c r="N287" s="729">
        <f t="shared" si="130"/>
        <v>260758</v>
      </c>
      <c r="O287" s="729">
        <f t="shared" si="130"/>
        <v>222395.3</v>
      </c>
      <c r="P287" s="729">
        <f t="shared" si="131"/>
        <v>3727569.1999999997</v>
      </c>
      <c r="Q287" s="729"/>
    </row>
    <row r="288" spans="1:17" x14ac:dyDescent="0.2">
      <c r="B288" s="718" t="s">
        <v>6</v>
      </c>
      <c r="C288" s="718"/>
      <c r="D288" s="729">
        <f t="shared" ref="D288:O288" si="132">IFERROR(ROUND(D196,0)/ROUND(D62,0),0)</f>
        <v>54.719095218189509</v>
      </c>
      <c r="E288" s="729">
        <f t="shared" si="132"/>
        <v>54.137752783735849</v>
      </c>
      <c r="F288" s="729">
        <f t="shared" si="132"/>
        <v>67.729227601718335</v>
      </c>
      <c r="G288" s="729">
        <f t="shared" si="132"/>
        <v>113.3063867955758</v>
      </c>
      <c r="H288" s="729">
        <f t="shared" si="132"/>
        <v>159.26874679102423</v>
      </c>
      <c r="I288" s="729">
        <f t="shared" si="132"/>
        <v>189.62750934321866</v>
      </c>
      <c r="J288" s="729">
        <f t="shared" si="132"/>
        <v>201.49839212346168</v>
      </c>
      <c r="K288" s="729">
        <f t="shared" si="132"/>
        <v>160.34387379953341</v>
      </c>
      <c r="L288" s="729">
        <f t="shared" si="132"/>
        <v>166.59393169109029</v>
      </c>
      <c r="M288" s="729">
        <f t="shared" si="132"/>
        <v>119.41620981207834</v>
      </c>
      <c r="N288" s="729">
        <f t="shared" si="132"/>
        <v>84.113984115425978</v>
      </c>
      <c r="O288" s="729">
        <f t="shared" si="132"/>
        <v>60.5823174295938</v>
      </c>
      <c r="P288" s="729">
        <f t="shared" si="131"/>
        <v>1431.3374275046458</v>
      </c>
      <c r="Q288" s="762"/>
    </row>
    <row r="289" spans="2:17" x14ac:dyDescent="0.2">
      <c r="B289" s="718"/>
      <c r="C289" s="719"/>
      <c r="D289" s="721"/>
      <c r="E289" s="721"/>
      <c r="F289" s="721"/>
      <c r="G289" s="721"/>
      <c r="H289" s="721"/>
      <c r="I289" s="721"/>
      <c r="J289" s="721"/>
      <c r="K289" s="721"/>
      <c r="L289" s="721"/>
      <c r="M289" s="721"/>
      <c r="N289" s="721"/>
      <c r="O289" s="721"/>
      <c r="P289" s="762"/>
      <c r="Q289" s="762"/>
    </row>
    <row r="290" spans="2:17" x14ac:dyDescent="0.2">
      <c r="B290" s="718"/>
      <c r="C290" s="719"/>
      <c r="D290" s="721"/>
      <c r="E290" s="721"/>
      <c r="F290" s="721"/>
      <c r="G290" s="721"/>
      <c r="H290" s="721"/>
      <c r="I290" s="721"/>
      <c r="J290" s="721"/>
      <c r="K290" s="721"/>
      <c r="L290" s="721"/>
      <c r="M290" s="721"/>
      <c r="N290" s="721"/>
      <c r="O290" s="721"/>
      <c r="P290" s="762"/>
      <c r="Q290" s="732"/>
    </row>
    <row r="291" spans="2:17" x14ac:dyDescent="0.2">
      <c r="D291" s="732"/>
      <c r="E291" s="732"/>
      <c r="F291" s="732"/>
      <c r="G291" s="732"/>
      <c r="H291" s="732"/>
      <c r="I291" s="732"/>
      <c r="J291" s="732"/>
      <c r="K291" s="732"/>
      <c r="L291" s="732"/>
      <c r="M291" s="732"/>
      <c r="N291" s="732"/>
      <c r="O291" s="732"/>
      <c r="P291" s="732"/>
      <c r="Q291" s="732"/>
    </row>
    <row r="292" spans="2:17" x14ac:dyDescent="0.2">
      <c r="D292" s="732"/>
      <c r="E292" s="732"/>
      <c r="F292" s="732"/>
      <c r="G292" s="732"/>
      <c r="H292" s="732"/>
      <c r="I292" s="732"/>
      <c r="J292" s="732"/>
      <c r="K292" s="732"/>
      <c r="L292" s="732"/>
      <c r="M292" s="732"/>
      <c r="N292" s="732"/>
      <c r="O292" s="732"/>
      <c r="P292" s="732"/>
      <c r="Q292" s="732"/>
    </row>
    <row r="293" spans="2:17" x14ac:dyDescent="0.2">
      <c r="D293" s="732"/>
      <c r="E293" s="732"/>
      <c r="F293" s="732"/>
      <c r="G293" s="732"/>
      <c r="H293" s="732"/>
      <c r="I293" s="732"/>
      <c r="J293" s="732"/>
      <c r="K293" s="732"/>
      <c r="L293" s="732"/>
      <c r="M293" s="732"/>
      <c r="N293" s="732"/>
      <c r="O293" s="732"/>
      <c r="P293" s="732"/>
      <c r="Q293" s="732"/>
    </row>
    <row r="294" spans="2:17" x14ac:dyDescent="0.2">
      <c r="D294" s="732"/>
      <c r="E294" s="732"/>
      <c r="F294" s="732"/>
      <c r="G294" s="732"/>
      <c r="H294" s="732"/>
      <c r="I294" s="732"/>
      <c r="J294" s="732"/>
      <c r="K294" s="732"/>
      <c r="L294" s="732"/>
      <c r="M294" s="732"/>
      <c r="N294" s="732"/>
      <c r="O294" s="732"/>
      <c r="P294" s="732"/>
      <c r="Q294" s="732"/>
    </row>
    <row r="295" spans="2:17" x14ac:dyDescent="0.2">
      <c r="D295" s="732"/>
      <c r="E295" s="732"/>
      <c r="F295" s="732"/>
      <c r="G295" s="732"/>
      <c r="H295" s="732"/>
      <c r="I295" s="732"/>
      <c r="J295" s="732"/>
      <c r="K295" s="732"/>
      <c r="L295" s="732"/>
      <c r="M295" s="732"/>
      <c r="N295" s="732"/>
      <c r="O295" s="732"/>
      <c r="P295" s="732"/>
      <c r="Q295" s="732"/>
    </row>
    <row r="296" spans="2:17" x14ac:dyDescent="0.2">
      <c r="D296" s="732"/>
      <c r="E296" s="732"/>
      <c r="F296" s="732"/>
      <c r="G296" s="732"/>
      <c r="H296" s="732"/>
      <c r="I296" s="732"/>
      <c r="J296" s="732"/>
      <c r="K296" s="732"/>
      <c r="L296" s="732"/>
      <c r="M296" s="732"/>
      <c r="N296" s="732"/>
      <c r="O296" s="732"/>
      <c r="P296" s="732"/>
      <c r="Q296" s="732"/>
    </row>
    <row r="297" spans="2:17" x14ac:dyDescent="0.2">
      <c r="D297" s="732"/>
      <c r="E297" s="732"/>
      <c r="F297" s="732"/>
      <c r="G297" s="732"/>
      <c r="H297" s="732"/>
      <c r="I297" s="732"/>
      <c r="J297" s="732"/>
      <c r="K297" s="732"/>
      <c r="L297" s="732"/>
      <c r="M297" s="732"/>
      <c r="N297" s="732"/>
      <c r="O297" s="732"/>
      <c r="P297" s="732"/>
      <c r="Q297" s="732"/>
    </row>
    <row r="298" spans="2:17" x14ac:dyDescent="0.2">
      <c r="D298" s="732"/>
      <c r="E298" s="732"/>
      <c r="F298" s="732"/>
      <c r="G298" s="732"/>
      <c r="H298" s="732"/>
      <c r="I298" s="732"/>
      <c r="J298" s="732"/>
      <c r="K298" s="732"/>
      <c r="L298" s="732"/>
      <c r="M298" s="732"/>
      <c r="N298" s="732"/>
      <c r="O298" s="732"/>
      <c r="P298" s="732"/>
      <c r="Q298" s="732"/>
    </row>
    <row r="299" spans="2:17" x14ac:dyDescent="0.2">
      <c r="D299" s="732"/>
      <c r="E299" s="732"/>
      <c r="F299" s="732"/>
      <c r="G299" s="732"/>
      <c r="H299" s="732"/>
      <c r="I299" s="732"/>
      <c r="J299" s="732"/>
      <c r="K299" s="732"/>
      <c r="L299" s="732"/>
      <c r="M299" s="732"/>
      <c r="N299" s="732"/>
      <c r="O299" s="732"/>
      <c r="P299" s="732"/>
      <c r="Q299" s="732"/>
    </row>
    <row r="300" spans="2:17" x14ac:dyDescent="0.2">
      <c r="D300" s="732"/>
      <c r="E300" s="732"/>
      <c r="F300" s="732"/>
      <c r="G300" s="732"/>
      <c r="H300" s="732"/>
      <c r="I300" s="732"/>
      <c r="J300" s="732"/>
      <c r="K300" s="732"/>
      <c r="L300" s="732"/>
      <c r="M300" s="732"/>
      <c r="N300" s="732"/>
      <c r="O300" s="732"/>
      <c r="P300" s="732"/>
      <c r="Q300" s="732"/>
    </row>
    <row r="301" spans="2:17" x14ac:dyDescent="0.2">
      <c r="D301" s="732"/>
      <c r="E301" s="732"/>
      <c r="F301" s="732"/>
      <c r="G301" s="732"/>
      <c r="H301" s="732"/>
      <c r="I301" s="732"/>
      <c r="J301" s="732"/>
      <c r="K301" s="732"/>
      <c r="L301" s="732"/>
      <c r="M301" s="732"/>
      <c r="N301" s="732"/>
      <c r="O301" s="732"/>
      <c r="P301" s="732"/>
      <c r="Q301" s="732"/>
    </row>
    <row r="302" spans="2:17" x14ac:dyDescent="0.2">
      <c r="D302" s="732"/>
      <c r="E302" s="732"/>
      <c r="F302" s="732"/>
      <c r="G302" s="732"/>
      <c r="H302" s="732"/>
      <c r="I302" s="732"/>
      <c r="J302" s="732"/>
      <c r="K302" s="732"/>
      <c r="L302" s="732"/>
      <c r="M302" s="732"/>
      <c r="N302" s="732"/>
      <c r="O302" s="732"/>
      <c r="P302" s="732"/>
      <c r="Q302" s="732"/>
    </row>
    <row r="303" spans="2:17" x14ac:dyDescent="0.2">
      <c r="D303" s="732"/>
      <c r="E303" s="732"/>
      <c r="F303" s="732"/>
      <c r="G303" s="732"/>
      <c r="H303" s="732"/>
      <c r="I303" s="732"/>
      <c r="J303" s="732"/>
      <c r="K303" s="732"/>
      <c r="L303" s="732"/>
      <c r="M303" s="732"/>
      <c r="N303" s="732"/>
      <c r="O303" s="732"/>
      <c r="P303" s="732"/>
      <c r="Q303" s="732"/>
    </row>
    <row r="304" spans="2:17" x14ac:dyDescent="0.2">
      <c r="D304" s="732"/>
      <c r="E304" s="732"/>
      <c r="F304" s="732"/>
      <c r="G304" s="732"/>
      <c r="H304" s="732"/>
      <c r="I304" s="732"/>
      <c r="J304" s="732"/>
      <c r="K304" s="732"/>
      <c r="L304" s="732"/>
      <c r="M304" s="732"/>
      <c r="N304" s="732"/>
      <c r="O304" s="732"/>
      <c r="P304" s="732"/>
      <c r="Q304" s="732"/>
    </row>
    <row r="305" spans="4:17" x14ac:dyDescent="0.2">
      <c r="D305" s="732"/>
      <c r="E305" s="732"/>
      <c r="F305" s="732"/>
      <c r="G305" s="732"/>
      <c r="H305" s="732"/>
      <c r="I305" s="732"/>
      <c r="J305" s="732"/>
      <c r="K305" s="732"/>
      <c r="L305" s="732"/>
      <c r="M305" s="732"/>
      <c r="N305" s="732"/>
      <c r="O305" s="732"/>
      <c r="P305" s="732"/>
      <c r="Q305" s="732"/>
    </row>
    <row r="306" spans="4:17" x14ac:dyDescent="0.2">
      <c r="D306" s="732"/>
      <c r="E306" s="732"/>
      <c r="F306" s="732"/>
      <c r="G306" s="732"/>
      <c r="H306" s="732"/>
      <c r="I306" s="732"/>
      <c r="J306" s="732"/>
      <c r="K306" s="732"/>
      <c r="L306" s="732"/>
      <c r="M306" s="732"/>
      <c r="N306" s="732"/>
      <c r="O306" s="732"/>
      <c r="P306" s="732"/>
      <c r="Q306" s="732"/>
    </row>
    <row r="307" spans="4:17" x14ac:dyDescent="0.2">
      <c r="D307" s="732"/>
      <c r="E307" s="732"/>
      <c r="F307" s="732"/>
      <c r="G307" s="732"/>
      <c r="H307" s="732"/>
      <c r="I307" s="732"/>
      <c r="J307" s="732"/>
      <c r="K307" s="732"/>
      <c r="L307" s="732"/>
      <c r="M307" s="732"/>
      <c r="N307" s="732"/>
      <c r="O307" s="732"/>
      <c r="P307" s="732"/>
      <c r="Q307" s="732"/>
    </row>
    <row r="308" spans="4:17" x14ac:dyDescent="0.2">
      <c r="D308" s="732"/>
      <c r="E308" s="732"/>
      <c r="F308" s="732"/>
      <c r="G308" s="732"/>
      <c r="H308" s="732"/>
      <c r="I308" s="732"/>
      <c r="J308" s="732"/>
      <c r="K308" s="732"/>
      <c r="L308" s="732"/>
      <c r="M308" s="732"/>
      <c r="N308" s="732"/>
      <c r="O308" s="732"/>
      <c r="P308" s="732"/>
      <c r="Q308" s="732"/>
    </row>
    <row r="309" spans="4:17" x14ac:dyDescent="0.2">
      <c r="D309" s="732"/>
      <c r="E309" s="732"/>
      <c r="F309" s="732"/>
      <c r="G309" s="732"/>
      <c r="H309" s="732"/>
      <c r="I309" s="732"/>
      <c r="J309" s="732"/>
      <c r="K309" s="732"/>
      <c r="L309" s="732"/>
      <c r="M309" s="732"/>
      <c r="N309" s="732"/>
      <c r="O309" s="732"/>
      <c r="P309" s="732"/>
      <c r="Q309" s="732"/>
    </row>
    <row r="310" spans="4:17" x14ac:dyDescent="0.2">
      <c r="D310" s="732"/>
      <c r="E310" s="732"/>
      <c r="F310" s="732"/>
      <c r="G310" s="732"/>
      <c r="H310" s="732"/>
      <c r="I310" s="732"/>
      <c r="J310" s="732"/>
      <c r="K310" s="732"/>
      <c r="L310" s="732"/>
      <c r="M310" s="732"/>
      <c r="N310" s="732"/>
      <c r="O310" s="732"/>
      <c r="P310" s="732"/>
      <c r="Q310" s="732"/>
    </row>
    <row r="311" spans="4:17" x14ac:dyDescent="0.2">
      <c r="D311" s="732"/>
      <c r="E311" s="732"/>
      <c r="F311" s="732"/>
      <c r="G311" s="732"/>
      <c r="H311" s="732"/>
      <c r="I311" s="732"/>
      <c r="J311" s="732"/>
      <c r="K311" s="732"/>
      <c r="L311" s="732"/>
      <c r="M311" s="732"/>
      <c r="N311" s="732"/>
      <c r="O311" s="732"/>
      <c r="P311" s="732"/>
      <c r="Q311" s="732"/>
    </row>
    <row r="312" spans="4:17" x14ac:dyDescent="0.2">
      <c r="D312" s="732"/>
      <c r="E312" s="732"/>
      <c r="F312" s="732"/>
      <c r="G312" s="732"/>
      <c r="H312" s="732"/>
      <c r="I312" s="732"/>
      <c r="J312" s="732"/>
      <c r="K312" s="732"/>
      <c r="L312" s="732"/>
      <c r="M312" s="732"/>
      <c r="N312" s="732"/>
      <c r="O312" s="732"/>
      <c r="P312" s="732"/>
      <c r="Q312" s="732"/>
    </row>
    <row r="313" spans="4:17" x14ac:dyDescent="0.2">
      <c r="D313" s="732"/>
      <c r="E313" s="732"/>
      <c r="F313" s="732"/>
      <c r="G313" s="732"/>
      <c r="H313" s="732"/>
      <c r="I313" s="732"/>
      <c r="J313" s="732"/>
      <c r="K313" s="732"/>
      <c r="L313" s="732"/>
      <c r="M313" s="732"/>
      <c r="N313" s="732"/>
      <c r="O313" s="732"/>
      <c r="P313" s="732"/>
      <c r="Q313" s="732"/>
    </row>
    <row r="314" spans="4:17" x14ac:dyDescent="0.2">
      <c r="D314" s="732"/>
      <c r="E314" s="732"/>
      <c r="F314" s="732"/>
      <c r="G314" s="732"/>
      <c r="H314" s="732"/>
      <c r="I314" s="732"/>
      <c r="J314" s="732"/>
      <c r="K314" s="732"/>
      <c r="L314" s="732"/>
      <c r="M314" s="732"/>
      <c r="N314" s="732"/>
      <c r="O314" s="732"/>
      <c r="P314" s="732"/>
      <c r="Q314" s="732"/>
    </row>
    <row r="315" spans="4:17" x14ac:dyDescent="0.2">
      <c r="D315" s="732"/>
      <c r="E315" s="732"/>
      <c r="F315" s="732"/>
      <c r="G315" s="732"/>
      <c r="H315" s="732"/>
      <c r="I315" s="732"/>
      <c r="J315" s="732"/>
      <c r="K315" s="732"/>
      <c r="L315" s="732"/>
      <c r="M315" s="732"/>
      <c r="N315" s="732"/>
      <c r="O315" s="732"/>
      <c r="P315" s="732"/>
      <c r="Q315" s="732"/>
    </row>
    <row r="316" spans="4:17" x14ac:dyDescent="0.2">
      <c r="D316" s="732"/>
      <c r="E316" s="732"/>
      <c r="F316" s="732"/>
      <c r="G316" s="732"/>
      <c r="H316" s="732"/>
      <c r="I316" s="732"/>
      <c r="J316" s="732"/>
      <c r="K316" s="732"/>
      <c r="L316" s="732"/>
      <c r="M316" s="732"/>
      <c r="N316" s="732"/>
      <c r="O316" s="732"/>
      <c r="P316" s="732"/>
      <c r="Q316" s="732"/>
    </row>
    <row r="317" spans="4:17" x14ac:dyDescent="0.2">
      <c r="D317" s="732"/>
      <c r="E317" s="732"/>
      <c r="F317" s="732"/>
      <c r="G317" s="732"/>
      <c r="H317" s="732"/>
      <c r="I317" s="732"/>
      <c r="J317" s="732"/>
      <c r="K317" s="732"/>
      <c r="L317" s="732"/>
      <c r="M317" s="732"/>
      <c r="N317" s="732"/>
      <c r="O317" s="732"/>
      <c r="P317" s="732"/>
      <c r="Q317" s="732"/>
    </row>
    <row r="318" spans="4:17" x14ac:dyDescent="0.2">
      <c r="D318" s="732"/>
      <c r="E318" s="732"/>
      <c r="F318" s="732"/>
      <c r="G318" s="732"/>
      <c r="H318" s="732"/>
      <c r="I318" s="732"/>
      <c r="J318" s="732"/>
      <c r="K318" s="732"/>
      <c r="L318" s="732"/>
      <c r="M318" s="732"/>
      <c r="N318" s="732"/>
      <c r="O318" s="732"/>
      <c r="P318" s="732"/>
      <c r="Q318" s="732"/>
    </row>
    <row r="319" spans="4:17" x14ac:dyDescent="0.2">
      <c r="D319" s="732"/>
      <c r="E319" s="732"/>
      <c r="F319" s="732"/>
      <c r="G319" s="732"/>
      <c r="H319" s="732"/>
      <c r="I319" s="732"/>
      <c r="J319" s="732"/>
      <c r="K319" s="732"/>
      <c r="L319" s="732"/>
      <c r="M319" s="732"/>
      <c r="N319" s="732"/>
      <c r="O319" s="732"/>
      <c r="P319" s="732"/>
      <c r="Q319" s="732"/>
    </row>
    <row r="320" spans="4:17" x14ac:dyDescent="0.2">
      <c r="D320" s="732"/>
      <c r="E320" s="732"/>
      <c r="F320" s="732"/>
      <c r="G320" s="732"/>
      <c r="H320" s="732"/>
      <c r="I320" s="732"/>
      <c r="J320" s="732"/>
      <c r="K320" s="732"/>
      <c r="L320" s="732"/>
      <c r="M320" s="732"/>
      <c r="N320" s="732"/>
      <c r="O320" s="732"/>
      <c r="P320" s="732"/>
      <c r="Q320" s="732"/>
    </row>
    <row r="321" spans="4:17" x14ac:dyDescent="0.2">
      <c r="D321" s="732"/>
      <c r="E321" s="732"/>
      <c r="F321" s="732"/>
      <c r="G321" s="732"/>
      <c r="H321" s="732"/>
      <c r="I321" s="732"/>
      <c r="J321" s="732"/>
      <c r="K321" s="732"/>
      <c r="L321" s="732"/>
      <c r="M321" s="732"/>
      <c r="N321" s="732"/>
      <c r="O321" s="732"/>
      <c r="P321" s="732"/>
      <c r="Q321" s="732"/>
    </row>
    <row r="322" spans="4:17" x14ac:dyDescent="0.2">
      <c r="D322" s="732"/>
      <c r="E322" s="732"/>
      <c r="F322" s="732"/>
      <c r="G322" s="732"/>
      <c r="H322" s="732"/>
      <c r="I322" s="732"/>
      <c r="J322" s="732"/>
      <c r="K322" s="732"/>
      <c r="L322" s="732"/>
      <c r="M322" s="732"/>
      <c r="N322" s="732"/>
      <c r="O322" s="732"/>
      <c r="P322" s="732"/>
      <c r="Q322" s="732"/>
    </row>
    <row r="323" spans="4:17" x14ac:dyDescent="0.2">
      <c r="D323" s="732"/>
      <c r="E323" s="732"/>
      <c r="F323" s="732"/>
      <c r="G323" s="732"/>
      <c r="H323" s="732"/>
      <c r="I323" s="732"/>
      <c r="J323" s="732"/>
      <c r="K323" s="732"/>
      <c r="L323" s="732"/>
      <c r="M323" s="732"/>
      <c r="N323" s="732"/>
      <c r="O323" s="732"/>
      <c r="P323" s="732"/>
      <c r="Q323" s="732"/>
    </row>
    <row r="324" spans="4:17" x14ac:dyDescent="0.2">
      <c r="D324" s="732"/>
      <c r="E324" s="732"/>
      <c r="F324" s="732"/>
      <c r="G324" s="732"/>
      <c r="H324" s="732"/>
      <c r="I324" s="732"/>
      <c r="J324" s="732"/>
      <c r="K324" s="732"/>
      <c r="L324" s="732"/>
      <c r="M324" s="732"/>
      <c r="N324" s="732"/>
      <c r="O324" s="732"/>
      <c r="P324" s="732"/>
      <c r="Q324" s="732"/>
    </row>
    <row r="325" spans="4:17" x14ac:dyDescent="0.2">
      <c r="D325" s="732"/>
      <c r="E325" s="732"/>
      <c r="F325" s="732"/>
      <c r="G325" s="732"/>
      <c r="H325" s="732"/>
      <c r="I325" s="732"/>
      <c r="J325" s="732"/>
      <c r="K325" s="732"/>
      <c r="L325" s="732"/>
      <c r="M325" s="732"/>
      <c r="N325" s="732"/>
      <c r="O325" s="732"/>
      <c r="P325" s="732"/>
      <c r="Q325" s="732"/>
    </row>
    <row r="326" spans="4:17" x14ac:dyDescent="0.2">
      <c r="D326" s="732"/>
      <c r="E326" s="732"/>
      <c r="F326" s="732"/>
      <c r="G326" s="732"/>
      <c r="H326" s="732"/>
      <c r="I326" s="732"/>
      <c r="J326" s="732"/>
      <c r="K326" s="732"/>
      <c r="L326" s="732"/>
      <c r="M326" s="732"/>
      <c r="N326" s="732"/>
      <c r="O326" s="732"/>
      <c r="P326" s="732"/>
      <c r="Q326" s="732"/>
    </row>
    <row r="327" spans="4:17" x14ac:dyDescent="0.2">
      <c r="D327" s="732"/>
      <c r="E327" s="732"/>
      <c r="F327" s="732"/>
      <c r="G327" s="732"/>
      <c r="H327" s="732"/>
      <c r="I327" s="732"/>
      <c r="J327" s="732"/>
      <c r="K327" s="732"/>
      <c r="L327" s="732"/>
      <c r="M327" s="732"/>
      <c r="N327" s="732"/>
      <c r="O327" s="732"/>
      <c r="P327" s="732"/>
      <c r="Q327" s="732"/>
    </row>
    <row r="328" spans="4:17" x14ac:dyDescent="0.2">
      <c r="D328" s="732"/>
      <c r="E328" s="732"/>
      <c r="F328" s="732"/>
      <c r="G328" s="732"/>
      <c r="H328" s="732"/>
      <c r="I328" s="732"/>
      <c r="J328" s="732"/>
      <c r="K328" s="732"/>
      <c r="L328" s="732"/>
      <c r="M328" s="732"/>
      <c r="N328" s="732"/>
      <c r="O328" s="732"/>
      <c r="P328" s="732"/>
      <c r="Q328" s="732"/>
    </row>
    <row r="329" spans="4:17" x14ac:dyDescent="0.2">
      <c r="D329" s="732"/>
      <c r="E329" s="732"/>
      <c r="F329" s="732"/>
      <c r="G329" s="732"/>
      <c r="H329" s="732"/>
      <c r="I329" s="732"/>
      <c r="J329" s="732"/>
      <c r="K329" s="732"/>
      <c r="L329" s="732"/>
      <c r="M329" s="732"/>
      <c r="N329" s="732"/>
      <c r="O329" s="732"/>
      <c r="P329" s="732"/>
      <c r="Q329" s="732"/>
    </row>
    <row r="330" spans="4:17" x14ac:dyDescent="0.2">
      <c r="D330" s="732"/>
      <c r="E330" s="732"/>
      <c r="F330" s="732"/>
      <c r="G330" s="732"/>
      <c r="H330" s="732"/>
      <c r="I330" s="732"/>
      <c r="J330" s="732"/>
      <c r="K330" s="732"/>
      <c r="L330" s="732"/>
      <c r="M330" s="732"/>
      <c r="N330" s="732"/>
      <c r="O330" s="732"/>
      <c r="P330" s="732"/>
      <c r="Q330" s="732"/>
    </row>
    <row r="331" spans="4:17" x14ac:dyDescent="0.2">
      <c r="D331" s="732"/>
      <c r="E331" s="732"/>
      <c r="F331" s="732"/>
      <c r="G331" s="732"/>
      <c r="H331" s="732"/>
      <c r="I331" s="732"/>
      <c r="J331" s="732"/>
      <c r="K331" s="732"/>
      <c r="L331" s="732"/>
      <c r="M331" s="732"/>
      <c r="N331" s="732"/>
      <c r="O331" s="732"/>
      <c r="P331" s="732"/>
      <c r="Q331" s="732"/>
    </row>
    <row r="332" spans="4:17" x14ac:dyDescent="0.2">
      <c r="D332" s="732"/>
      <c r="E332" s="732"/>
      <c r="F332" s="732"/>
      <c r="G332" s="732"/>
      <c r="H332" s="732"/>
      <c r="I332" s="732"/>
      <c r="J332" s="732"/>
      <c r="K332" s="732"/>
      <c r="L332" s="732"/>
      <c r="M332" s="732"/>
      <c r="N332" s="732"/>
      <c r="O332" s="732"/>
      <c r="P332" s="732"/>
      <c r="Q332" s="732"/>
    </row>
    <row r="333" spans="4:17" x14ac:dyDescent="0.2">
      <c r="D333" s="732"/>
      <c r="E333" s="732"/>
      <c r="F333" s="732"/>
      <c r="G333" s="732"/>
      <c r="H333" s="732"/>
      <c r="I333" s="732"/>
      <c r="J333" s="732"/>
      <c r="K333" s="732"/>
      <c r="L333" s="732"/>
      <c r="M333" s="732"/>
      <c r="N333" s="732"/>
      <c r="O333" s="732"/>
      <c r="P333" s="732"/>
      <c r="Q333" s="732"/>
    </row>
    <row r="334" spans="4:17" x14ac:dyDescent="0.2">
      <c r="D334" s="732"/>
      <c r="E334" s="732"/>
      <c r="F334" s="732"/>
      <c r="G334" s="732"/>
      <c r="H334" s="732"/>
      <c r="I334" s="732"/>
      <c r="J334" s="732"/>
      <c r="K334" s="732"/>
      <c r="L334" s="732"/>
      <c r="M334" s="732"/>
      <c r="N334" s="732"/>
      <c r="O334" s="732"/>
      <c r="P334" s="732"/>
      <c r="Q334" s="732"/>
    </row>
    <row r="335" spans="4:17" x14ac:dyDescent="0.2">
      <c r="D335" s="732"/>
      <c r="E335" s="732"/>
      <c r="F335" s="732"/>
      <c r="G335" s="732"/>
      <c r="H335" s="732"/>
      <c r="I335" s="732"/>
      <c r="J335" s="732"/>
      <c r="K335" s="732"/>
      <c r="L335" s="732"/>
      <c r="M335" s="732"/>
      <c r="N335" s="732"/>
      <c r="O335" s="732"/>
      <c r="P335" s="732"/>
    </row>
  </sheetData>
  <mergeCells count="4">
    <mergeCell ref="B1:P1"/>
    <mergeCell ref="B2:P2"/>
    <mergeCell ref="B3:P3"/>
    <mergeCell ref="B4:P4"/>
  </mergeCells>
  <printOptions horizontalCentered="1"/>
  <pageMargins left="0.5" right="0.5" top="0.75" bottom="0.75" header="0.5" footer="0.3"/>
  <pageSetup scale="57" fitToHeight="5" orientation="landscape" blackAndWhite="1" r:id="rId1"/>
  <headerFooter alignWithMargins="0">
    <oddFooter>&amp;L&amp;F  
&amp;A&amp;C&amp;P&amp;R&amp;D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2"/>
  <sheetViews>
    <sheetView workbookViewId="0">
      <selection activeCell="H41" sqref="H41"/>
    </sheetView>
  </sheetViews>
  <sheetFormatPr defaultRowHeight="15" x14ac:dyDescent="0.25"/>
  <cols>
    <col min="1" max="1" width="42.140625" bestFit="1" customWidth="1"/>
    <col min="2" max="14" width="13.7109375" customWidth="1"/>
  </cols>
  <sheetData>
    <row r="1" spans="1:14" x14ac:dyDescent="0.25">
      <c r="A1" s="232" t="s">
        <v>428</v>
      </c>
    </row>
    <row r="2" spans="1:14" x14ac:dyDescent="0.25">
      <c r="B2" s="234">
        <v>42917</v>
      </c>
      <c r="C2" s="234">
        <f>EDATE(B2,1)</f>
        <v>42948</v>
      </c>
      <c r="D2" s="234">
        <f t="shared" ref="D2:M2" si="0">EDATE(C2,1)</f>
        <v>42979</v>
      </c>
      <c r="E2" s="234">
        <f t="shared" si="0"/>
        <v>43009</v>
      </c>
      <c r="F2" s="234">
        <f t="shared" si="0"/>
        <v>43040</v>
      </c>
      <c r="G2" s="234">
        <f t="shared" si="0"/>
        <v>43070</v>
      </c>
      <c r="H2" s="234">
        <f t="shared" si="0"/>
        <v>43101</v>
      </c>
      <c r="I2" s="234">
        <f t="shared" si="0"/>
        <v>43132</v>
      </c>
      <c r="J2" s="234">
        <f t="shared" si="0"/>
        <v>43160</v>
      </c>
      <c r="K2" s="234">
        <f t="shared" si="0"/>
        <v>43191</v>
      </c>
      <c r="L2" s="234">
        <f t="shared" si="0"/>
        <v>43221</v>
      </c>
      <c r="M2" s="234">
        <f t="shared" si="0"/>
        <v>43252</v>
      </c>
      <c r="N2" s="235" t="s">
        <v>190</v>
      </c>
    </row>
    <row r="3" spans="1:14" x14ac:dyDescent="0.25">
      <c r="A3" s="8" t="s">
        <v>191</v>
      </c>
      <c r="B3" s="163">
        <v>0</v>
      </c>
      <c r="C3" s="163">
        <v>0</v>
      </c>
      <c r="D3" s="163">
        <v>0</v>
      </c>
      <c r="E3" s="163">
        <v>0</v>
      </c>
      <c r="F3" s="163">
        <v>0</v>
      </c>
      <c r="G3" s="163">
        <v>0</v>
      </c>
      <c r="H3" s="163">
        <v>0</v>
      </c>
      <c r="I3" s="163">
        <v>0</v>
      </c>
      <c r="J3" s="163">
        <v>0</v>
      </c>
      <c r="K3" s="163">
        <v>0</v>
      </c>
      <c r="L3" s="163">
        <v>0</v>
      </c>
      <c r="M3" s="163">
        <v>0</v>
      </c>
      <c r="N3" s="163">
        <f>SUM(B3:M3)</f>
        <v>0</v>
      </c>
    </row>
    <row r="4" spans="1:14" x14ac:dyDescent="0.25">
      <c r="A4" s="8" t="s">
        <v>192</v>
      </c>
      <c r="B4" s="163">
        <v>0</v>
      </c>
      <c r="C4" s="163">
        <v>0</v>
      </c>
      <c r="D4" s="163">
        <v>0</v>
      </c>
      <c r="E4" s="163">
        <v>0</v>
      </c>
      <c r="F4" s="163">
        <v>0</v>
      </c>
      <c r="G4" s="163">
        <v>0</v>
      </c>
      <c r="H4" s="163">
        <v>0</v>
      </c>
      <c r="I4" s="163">
        <v>0</v>
      </c>
      <c r="J4" s="163">
        <v>0</v>
      </c>
      <c r="K4" s="163">
        <v>0</v>
      </c>
      <c r="L4" s="163">
        <v>0</v>
      </c>
      <c r="M4" s="163">
        <v>0</v>
      </c>
      <c r="N4" s="163">
        <f t="shared" ref="N4:N15" si="1">SUM(B4:M4)</f>
        <v>0</v>
      </c>
    </row>
    <row r="5" spans="1:14" x14ac:dyDescent="0.25">
      <c r="A5" s="8" t="s">
        <v>193</v>
      </c>
      <c r="B5" s="163">
        <v>0</v>
      </c>
      <c r="C5" s="163">
        <v>0</v>
      </c>
      <c r="D5" s="163">
        <v>0</v>
      </c>
      <c r="E5" s="163">
        <v>0</v>
      </c>
      <c r="F5" s="163">
        <v>0</v>
      </c>
      <c r="G5" s="163">
        <v>0</v>
      </c>
      <c r="H5" s="163">
        <v>0</v>
      </c>
      <c r="I5" s="163">
        <v>0</v>
      </c>
      <c r="J5" s="163">
        <v>0</v>
      </c>
      <c r="K5" s="163">
        <v>0</v>
      </c>
      <c r="L5" s="163">
        <v>0</v>
      </c>
      <c r="M5" s="163">
        <v>0</v>
      </c>
      <c r="N5" s="163">
        <f t="shared" si="1"/>
        <v>0</v>
      </c>
    </row>
    <row r="6" spans="1:14" x14ac:dyDescent="0.25">
      <c r="A6" s="156" t="s">
        <v>194</v>
      </c>
      <c r="B6" s="163">
        <v>0</v>
      </c>
      <c r="C6" s="163">
        <v>0</v>
      </c>
      <c r="D6" s="163">
        <v>0</v>
      </c>
      <c r="E6" s="163">
        <v>0</v>
      </c>
      <c r="F6" s="163">
        <v>0</v>
      </c>
      <c r="G6" s="163">
        <v>0</v>
      </c>
      <c r="H6" s="163">
        <v>0</v>
      </c>
      <c r="I6" s="163">
        <v>0</v>
      </c>
      <c r="J6" s="163">
        <v>0</v>
      </c>
      <c r="K6" s="163">
        <v>0</v>
      </c>
      <c r="L6" s="163">
        <v>0</v>
      </c>
      <c r="M6" s="163">
        <v>0</v>
      </c>
      <c r="N6" s="163">
        <f t="shared" si="1"/>
        <v>0</v>
      </c>
    </row>
    <row r="7" spans="1:14" x14ac:dyDescent="0.25">
      <c r="A7" s="8" t="s">
        <v>197</v>
      </c>
      <c r="B7" s="163">
        <v>0</v>
      </c>
      <c r="C7" s="163">
        <v>0</v>
      </c>
      <c r="D7" s="163">
        <v>0</v>
      </c>
      <c r="E7" s="163">
        <v>0</v>
      </c>
      <c r="F7" s="163">
        <v>0</v>
      </c>
      <c r="G7" s="163">
        <v>0</v>
      </c>
      <c r="H7" s="163">
        <v>0</v>
      </c>
      <c r="I7" s="163">
        <v>0</v>
      </c>
      <c r="J7" s="163">
        <v>0</v>
      </c>
      <c r="K7" s="163">
        <v>0</v>
      </c>
      <c r="L7" s="163">
        <v>0</v>
      </c>
      <c r="M7" s="163">
        <v>0</v>
      </c>
      <c r="N7" s="163">
        <f>SUM(B7:M7)</f>
        <v>0</v>
      </c>
    </row>
    <row r="8" spans="1:14" x14ac:dyDescent="0.25">
      <c r="A8" s="8" t="s">
        <v>195</v>
      </c>
      <c r="B8" s="163">
        <v>342290.79399999999</v>
      </c>
      <c r="C8" s="163">
        <v>327103.11199999996</v>
      </c>
      <c r="D8" s="163">
        <v>312673.99199999997</v>
      </c>
      <c r="E8" s="163">
        <v>322447.08499999996</v>
      </c>
      <c r="F8" s="163">
        <v>305286.57999999996</v>
      </c>
      <c r="G8" s="163">
        <v>319350.66700000002</v>
      </c>
      <c r="H8" s="163">
        <v>324478.3</v>
      </c>
      <c r="I8" s="163">
        <v>300002.14300000004</v>
      </c>
      <c r="J8" s="163">
        <v>326070.42699999997</v>
      </c>
      <c r="K8" s="163">
        <v>322756.45800000004</v>
      </c>
      <c r="L8" s="163">
        <v>319879.58100000001</v>
      </c>
      <c r="M8" s="163">
        <v>380088.63400000002</v>
      </c>
      <c r="N8" s="163">
        <f>SUM(B8:M8)</f>
        <v>3902427.7730000005</v>
      </c>
    </row>
    <row r="9" spans="1:14" x14ac:dyDescent="0.25">
      <c r="A9" s="8" t="s">
        <v>196</v>
      </c>
      <c r="B9" s="163">
        <v>99699</v>
      </c>
      <c r="C9" s="163">
        <v>96008</v>
      </c>
      <c r="D9" s="163">
        <v>96008</v>
      </c>
      <c r="E9" s="163">
        <v>96486</v>
      </c>
      <c r="F9" s="163">
        <v>112846</v>
      </c>
      <c r="G9" s="163">
        <v>105786.93400000001</v>
      </c>
      <c r="H9" s="163">
        <v>98954.567999999999</v>
      </c>
      <c r="I9" s="163">
        <v>98154</v>
      </c>
      <c r="J9" s="163">
        <v>98204</v>
      </c>
      <c r="K9" s="163">
        <v>98660</v>
      </c>
      <c r="L9" s="163">
        <v>86298</v>
      </c>
      <c r="M9" s="163">
        <v>82292</v>
      </c>
      <c r="N9" s="163">
        <f>SUM(B9:M9)</f>
        <v>1169396.5019999999</v>
      </c>
    </row>
    <row r="10" spans="1:14" x14ac:dyDescent="0.25">
      <c r="A10" s="8" t="s">
        <v>198</v>
      </c>
      <c r="B10" s="163">
        <v>7614.9740000000002</v>
      </c>
      <c r="C10" s="163">
        <v>7355.4219999999996</v>
      </c>
      <c r="D10" s="163">
        <v>6948.5470000000005</v>
      </c>
      <c r="E10" s="163">
        <v>7321.5430000000006</v>
      </c>
      <c r="F10" s="163">
        <v>7320.2309999999998</v>
      </c>
      <c r="G10" s="163">
        <v>7216.4680000000008</v>
      </c>
      <c r="H10" s="163">
        <v>7162.3630000000003</v>
      </c>
      <c r="I10" s="163">
        <v>6781.24</v>
      </c>
      <c r="J10" s="163">
        <v>7298.4849999999997</v>
      </c>
      <c r="K10" s="163">
        <v>7115.8980000000001</v>
      </c>
      <c r="L10" s="163">
        <v>7300.415</v>
      </c>
      <c r="M10" s="163">
        <v>4960.3890000000001</v>
      </c>
      <c r="N10" s="163">
        <f t="shared" si="1"/>
        <v>84395.974999999991</v>
      </c>
    </row>
    <row r="11" spans="1:14" x14ac:dyDescent="0.25">
      <c r="A11" s="8" t="s">
        <v>199</v>
      </c>
      <c r="B11" s="163">
        <v>56473</v>
      </c>
      <c r="C11" s="163">
        <v>54773</v>
      </c>
      <c r="D11" s="163">
        <v>55773</v>
      </c>
      <c r="E11" s="163">
        <v>57918.334000000003</v>
      </c>
      <c r="F11" s="163">
        <v>60615</v>
      </c>
      <c r="G11" s="163">
        <v>56688</v>
      </c>
      <c r="H11" s="163">
        <v>56638</v>
      </c>
      <c r="I11" s="163">
        <v>56751</v>
      </c>
      <c r="J11" s="163">
        <v>58048</v>
      </c>
      <c r="K11" s="163">
        <v>57547</v>
      </c>
      <c r="L11" s="163">
        <v>58383</v>
      </c>
      <c r="M11" s="163">
        <v>56669</v>
      </c>
      <c r="N11" s="163">
        <f t="shared" si="1"/>
        <v>686276.33400000003</v>
      </c>
    </row>
    <row r="12" spans="1:14" x14ac:dyDescent="0.25">
      <c r="A12" s="8" t="s">
        <v>200</v>
      </c>
      <c r="B12" s="163">
        <v>6792.7610000000004</v>
      </c>
      <c r="C12" s="163">
        <v>6854.6670000000004</v>
      </c>
      <c r="D12" s="163">
        <v>6500.808</v>
      </c>
      <c r="E12" s="163">
        <v>7068.3010000000004</v>
      </c>
      <c r="F12" s="163">
        <v>6916.0130000000008</v>
      </c>
      <c r="G12" s="163">
        <v>6984.07</v>
      </c>
      <c r="H12" s="163">
        <v>6827.67</v>
      </c>
      <c r="I12" s="163">
        <v>6292.4889999999996</v>
      </c>
      <c r="J12" s="163">
        <v>7421.1730000000007</v>
      </c>
      <c r="K12" s="163">
        <v>7004.5190000000002</v>
      </c>
      <c r="L12" s="163">
        <v>6809.6990000000005</v>
      </c>
      <c r="M12" s="163">
        <v>6689.7829999999994</v>
      </c>
      <c r="N12" s="163">
        <f t="shared" si="1"/>
        <v>82161.953000000009</v>
      </c>
    </row>
    <row r="13" spans="1:14" x14ac:dyDescent="0.25">
      <c r="A13" s="8" t="s">
        <v>201</v>
      </c>
      <c r="B13" s="163">
        <v>750</v>
      </c>
      <c r="C13" s="163">
        <v>750</v>
      </c>
      <c r="D13" s="163">
        <v>750</v>
      </c>
      <c r="E13" s="163">
        <v>750</v>
      </c>
      <c r="F13" s="163">
        <v>750</v>
      </c>
      <c r="G13" s="163">
        <v>750</v>
      </c>
      <c r="H13" s="163">
        <v>750</v>
      </c>
      <c r="I13" s="163">
        <v>750</v>
      </c>
      <c r="J13" s="163">
        <v>750</v>
      </c>
      <c r="K13" s="163">
        <v>750</v>
      </c>
      <c r="L13" s="163">
        <v>1500</v>
      </c>
      <c r="M13" s="163">
        <v>750</v>
      </c>
      <c r="N13" s="163">
        <f t="shared" si="1"/>
        <v>9750</v>
      </c>
    </row>
    <row r="14" spans="1:14" x14ac:dyDescent="0.25">
      <c r="A14" s="8" t="s">
        <v>202</v>
      </c>
      <c r="B14" s="163">
        <v>0</v>
      </c>
      <c r="C14" s="163">
        <v>0</v>
      </c>
      <c r="D14" s="163">
        <v>0</v>
      </c>
      <c r="E14" s="163">
        <v>0</v>
      </c>
      <c r="F14" s="163">
        <v>0</v>
      </c>
      <c r="G14" s="163">
        <v>0</v>
      </c>
      <c r="H14" s="163">
        <v>0</v>
      </c>
      <c r="I14" s="163">
        <v>0</v>
      </c>
      <c r="J14" s="163">
        <v>0</v>
      </c>
      <c r="K14" s="163">
        <v>0</v>
      </c>
      <c r="L14" s="163">
        <v>0</v>
      </c>
      <c r="M14" s="163">
        <v>0</v>
      </c>
      <c r="N14" s="163">
        <f t="shared" si="1"/>
        <v>0</v>
      </c>
    </row>
    <row r="15" spans="1:14" x14ac:dyDescent="0.25">
      <c r="A15" s="8" t="s">
        <v>203</v>
      </c>
      <c r="B15" s="255">
        <v>23934</v>
      </c>
      <c r="C15" s="255">
        <v>23934</v>
      </c>
      <c r="D15" s="255">
        <v>23934</v>
      </c>
      <c r="E15" s="255">
        <v>24034</v>
      </c>
      <c r="F15" s="255">
        <v>24036</v>
      </c>
      <c r="G15" s="255">
        <v>23936</v>
      </c>
      <c r="H15" s="255">
        <v>23934</v>
      </c>
      <c r="I15" s="255">
        <v>23934</v>
      </c>
      <c r="J15" s="255">
        <v>23934</v>
      </c>
      <c r="K15" s="255">
        <v>23934</v>
      </c>
      <c r="L15" s="255">
        <v>23934</v>
      </c>
      <c r="M15" s="255">
        <v>23934</v>
      </c>
      <c r="N15" s="255">
        <f t="shared" si="1"/>
        <v>287412</v>
      </c>
    </row>
    <row r="16" spans="1:14" x14ac:dyDescent="0.25">
      <c r="A16" s="8" t="s">
        <v>6</v>
      </c>
      <c r="B16" s="161">
        <f t="shared" ref="B16:N16" si="2">SUM(B3:B15)</f>
        <v>537554.52899999998</v>
      </c>
      <c r="C16" s="161">
        <f t="shared" si="2"/>
        <v>516778.201</v>
      </c>
      <c r="D16" s="161">
        <f t="shared" si="2"/>
        <v>502588.34700000001</v>
      </c>
      <c r="E16" s="161">
        <f t="shared" si="2"/>
        <v>516025.26299999992</v>
      </c>
      <c r="F16" s="161">
        <f t="shared" si="2"/>
        <v>517769.82399999996</v>
      </c>
      <c r="G16" s="161">
        <f t="shared" si="2"/>
        <v>520712.13900000002</v>
      </c>
      <c r="H16" s="161">
        <f t="shared" si="2"/>
        <v>518744.90100000001</v>
      </c>
      <c r="I16" s="161">
        <f t="shared" si="2"/>
        <v>492664.87200000003</v>
      </c>
      <c r="J16" s="161">
        <f t="shared" si="2"/>
        <v>521726.08499999996</v>
      </c>
      <c r="K16" s="161">
        <f t="shared" si="2"/>
        <v>517767.875</v>
      </c>
      <c r="L16" s="161">
        <f t="shared" si="2"/>
        <v>504104.69500000001</v>
      </c>
      <c r="M16" s="161">
        <f t="shared" si="2"/>
        <v>555383.8060000001</v>
      </c>
      <c r="N16" s="161">
        <f t="shared" si="2"/>
        <v>6221820.5369999995</v>
      </c>
    </row>
    <row r="19" spans="1:14" x14ac:dyDescent="0.25">
      <c r="A19" s="162" t="s">
        <v>207</v>
      </c>
    </row>
    <row r="20" spans="1:14" x14ac:dyDescent="0.25">
      <c r="B20" s="234">
        <f t="shared" ref="B20:M20" si="3">+B2</f>
        <v>42917</v>
      </c>
      <c r="C20" s="234">
        <f t="shared" si="3"/>
        <v>42948</v>
      </c>
      <c r="D20" s="234">
        <f t="shared" si="3"/>
        <v>42979</v>
      </c>
      <c r="E20" s="234">
        <f t="shared" si="3"/>
        <v>43009</v>
      </c>
      <c r="F20" s="234">
        <f t="shared" si="3"/>
        <v>43040</v>
      </c>
      <c r="G20" s="234">
        <f t="shared" si="3"/>
        <v>43070</v>
      </c>
      <c r="H20" s="234">
        <f t="shared" si="3"/>
        <v>43101</v>
      </c>
      <c r="I20" s="234">
        <f t="shared" si="3"/>
        <v>43132</v>
      </c>
      <c r="J20" s="234">
        <f t="shared" si="3"/>
        <v>43160</v>
      </c>
      <c r="K20" s="234">
        <f t="shared" si="3"/>
        <v>43191</v>
      </c>
      <c r="L20" s="234">
        <f t="shared" si="3"/>
        <v>43221</v>
      </c>
      <c r="M20" s="234">
        <f t="shared" si="3"/>
        <v>43252</v>
      </c>
      <c r="N20" s="235" t="s">
        <v>190</v>
      </c>
    </row>
    <row r="21" spans="1:14" x14ac:dyDescent="0.25">
      <c r="A21" s="8" t="s">
        <v>191</v>
      </c>
      <c r="B21" s="163">
        <v>0</v>
      </c>
      <c r="C21" s="163">
        <v>0</v>
      </c>
      <c r="D21" s="163">
        <v>0</v>
      </c>
      <c r="E21" s="163">
        <v>0</v>
      </c>
      <c r="F21" s="163">
        <v>0</v>
      </c>
      <c r="G21" s="163">
        <v>0</v>
      </c>
      <c r="H21" s="163">
        <v>0</v>
      </c>
      <c r="I21" s="163">
        <v>0</v>
      </c>
      <c r="J21" s="163">
        <v>0</v>
      </c>
      <c r="K21" s="163">
        <v>0</v>
      </c>
      <c r="L21" s="163">
        <v>0</v>
      </c>
      <c r="M21" s="163">
        <v>0</v>
      </c>
      <c r="N21" s="161">
        <f>SUM(B21:M21)</f>
        <v>0</v>
      </c>
    </row>
    <row r="22" spans="1:14" x14ac:dyDescent="0.25">
      <c r="A22" s="8" t="s">
        <v>192</v>
      </c>
      <c r="B22" s="163">
        <v>791033.10106899915</v>
      </c>
      <c r="C22" s="163">
        <v>799125.72983479116</v>
      </c>
      <c r="D22" s="163">
        <v>753288.30126336252</v>
      </c>
      <c r="E22" s="163">
        <v>788504.85519922257</v>
      </c>
      <c r="F22" s="163">
        <v>754044.3041788144</v>
      </c>
      <c r="G22" s="163">
        <v>778711.52441646787</v>
      </c>
      <c r="H22" s="163">
        <v>781852.52976234653</v>
      </c>
      <c r="I22" s="163">
        <v>710122.15909090906</v>
      </c>
      <c r="J22" s="163">
        <v>810554.56545454555</v>
      </c>
      <c r="K22" s="163">
        <v>796412.53272727272</v>
      </c>
      <c r="L22" s="163">
        <v>800300.15272727271</v>
      </c>
      <c r="M22" s="163">
        <v>765726.25818181818</v>
      </c>
      <c r="N22" s="161">
        <f>SUM(B22:M22)</f>
        <v>9329676.0139058214</v>
      </c>
    </row>
    <row r="23" spans="1:14" x14ac:dyDescent="0.25">
      <c r="A23" s="8" t="s">
        <v>193</v>
      </c>
      <c r="B23" s="163">
        <v>1.0145772594752187</v>
      </c>
      <c r="C23" s="163">
        <v>1.0505344995140915</v>
      </c>
      <c r="D23" s="163">
        <v>0.9659863945578232</v>
      </c>
      <c r="E23" s="163">
        <v>1.0174927113702625</v>
      </c>
      <c r="F23" s="163">
        <v>1.0165208940719146</v>
      </c>
      <c r="G23" s="163">
        <v>0.98158582913684955</v>
      </c>
      <c r="H23" s="163">
        <v>1.2354545454545454</v>
      </c>
      <c r="I23" s="163">
        <v>0.25</v>
      </c>
      <c r="J23" s="163">
        <v>0</v>
      </c>
      <c r="K23" s="163">
        <v>0</v>
      </c>
      <c r="L23" s="163">
        <v>0</v>
      </c>
      <c r="M23" s="163">
        <v>0</v>
      </c>
      <c r="N23" s="161">
        <f t="shared" ref="N23:N33" si="4">SUM(B23:M23)</f>
        <v>7.5321521335807056</v>
      </c>
    </row>
    <row r="24" spans="1:14" x14ac:dyDescent="0.25">
      <c r="A24" s="156" t="s">
        <v>194</v>
      </c>
      <c r="B24" s="163">
        <v>58278.533072760081</v>
      </c>
      <c r="C24" s="163">
        <v>59098.658448586895</v>
      </c>
      <c r="D24" s="163">
        <v>55684.461815995193</v>
      </c>
      <c r="E24" s="163">
        <v>58135.867107636812</v>
      </c>
      <c r="F24" s="163">
        <v>55851.948286229708</v>
      </c>
      <c r="G24" s="163">
        <v>57876.510729490692</v>
      </c>
      <c r="H24" s="163">
        <v>57910.517068864043</v>
      </c>
      <c r="I24" s="163">
        <v>52658.434667451445</v>
      </c>
      <c r="J24" s="163">
        <v>60106.909947027663</v>
      </c>
      <c r="K24" s="163">
        <v>58776.298705120666</v>
      </c>
      <c r="L24" s="163">
        <v>59064.880907960207</v>
      </c>
      <c r="M24" s="163">
        <v>56255.93097014926</v>
      </c>
      <c r="N24" s="161">
        <f t="shared" si="4"/>
        <v>689698.95172727259</v>
      </c>
    </row>
    <row r="25" spans="1:14" x14ac:dyDescent="0.25">
      <c r="A25" s="8" t="s">
        <v>197</v>
      </c>
      <c r="B25" s="163">
        <v>3</v>
      </c>
      <c r="C25" s="163">
        <v>3</v>
      </c>
      <c r="D25" s="163">
        <v>3.9999999999999996</v>
      </c>
      <c r="E25" s="163">
        <v>3</v>
      </c>
      <c r="F25" s="163">
        <v>3</v>
      </c>
      <c r="G25" s="163">
        <v>3.0000312415422465</v>
      </c>
      <c r="H25" s="163">
        <v>3</v>
      </c>
      <c r="I25" s="163">
        <v>3</v>
      </c>
      <c r="J25" s="163">
        <v>3</v>
      </c>
      <c r="K25" s="163">
        <v>3</v>
      </c>
      <c r="L25" s="163">
        <v>3</v>
      </c>
      <c r="M25" s="163">
        <v>3</v>
      </c>
      <c r="N25" s="161">
        <f>SUM(B25:M25)</f>
        <v>37.000031241542246</v>
      </c>
    </row>
    <row r="26" spans="1:14" x14ac:dyDescent="0.25">
      <c r="A26" s="8" t="s">
        <v>195</v>
      </c>
      <c r="B26" s="163">
        <v>1368.4757136583223</v>
      </c>
      <c r="C26" s="163">
        <v>1396.4926657883179</v>
      </c>
      <c r="D26" s="163">
        <v>1321.3180500658762</v>
      </c>
      <c r="E26" s="163">
        <v>1369.2916117698728</v>
      </c>
      <c r="F26" s="163">
        <v>1309.837241985068</v>
      </c>
      <c r="G26" s="163">
        <v>1369.5032734025619</v>
      </c>
      <c r="H26" s="163">
        <v>1362.9927077003213</v>
      </c>
      <c r="I26" s="163">
        <v>1254.0930636339961</v>
      </c>
      <c r="J26" s="163">
        <v>1406.3156524003821</v>
      </c>
      <c r="K26" s="163">
        <v>1379.8011112075701</v>
      </c>
      <c r="L26" s="163">
        <v>1370.1994738325659</v>
      </c>
      <c r="M26" s="163">
        <v>848.80813680353265</v>
      </c>
      <c r="N26" s="161">
        <f>SUM(B26:M26)</f>
        <v>15757.12870224839</v>
      </c>
    </row>
    <row r="27" spans="1:14" x14ac:dyDescent="0.25">
      <c r="A27" s="8" t="s">
        <v>196</v>
      </c>
      <c r="B27" s="163">
        <v>99</v>
      </c>
      <c r="C27" s="163">
        <v>98.033340924618528</v>
      </c>
      <c r="D27" s="163">
        <v>98</v>
      </c>
      <c r="E27" s="163">
        <v>99</v>
      </c>
      <c r="F27" s="163">
        <v>100</v>
      </c>
      <c r="G27" s="163">
        <v>99.99985135228161</v>
      </c>
      <c r="H27" s="163">
        <v>102</v>
      </c>
      <c r="I27" s="163">
        <v>104.03571910871031</v>
      </c>
      <c r="J27" s="163">
        <v>103.99999999999999</v>
      </c>
      <c r="K27" s="163">
        <v>105</v>
      </c>
      <c r="L27" s="163">
        <v>103</v>
      </c>
      <c r="M27" s="163">
        <v>105</v>
      </c>
      <c r="N27" s="161">
        <f>SUM(B27:M27)</f>
        <v>1217.0689113856104</v>
      </c>
    </row>
    <row r="28" spans="1:14" x14ac:dyDescent="0.25">
      <c r="A28" s="8" t="s">
        <v>198</v>
      </c>
      <c r="B28" s="163">
        <v>26.711854450317638</v>
      </c>
      <c r="C28" s="163">
        <v>27.183450715921662</v>
      </c>
      <c r="D28" s="163">
        <v>26.864173427076434</v>
      </c>
      <c r="E28" s="163">
        <v>28.199524506567947</v>
      </c>
      <c r="F28" s="163">
        <v>27.890269120886749</v>
      </c>
      <c r="G28" s="163">
        <v>29.297945055850622</v>
      </c>
      <c r="H28" s="163">
        <v>28.145775356322275</v>
      </c>
      <c r="I28" s="163">
        <v>27.242423718305442</v>
      </c>
      <c r="J28" s="163">
        <v>28.571401926149829</v>
      </c>
      <c r="K28" s="163">
        <v>28.006437162116296</v>
      </c>
      <c r="L28" s="163">
        <v>28.105437774577538</v>
      </c>
      <c r="M28" s="163">
        <v>25.298813278159574</v>
      </c>
      <c r="N28" s="161">
        <f t="shared" si="4"/>
        <v>331.51750649225198</v>
      </c>
    </row>
    <row r="29" spans="1:14" x14ac:dyDescent="0.25">
      <c r="A29" s="8" t="s">
        <v>199</v>
      </c>
      <c r="B29" s="163">
        <v>102.03333833008546</v>
      </c>
      <c r="C29" s="163">
        <v>102.03332833658122</v>
      </c>
      <c r="D29" s="163">
        <v>101.93750062459401</v>
      </c>
      <c r="E29" s="163">
        <v>101.3625043721581</v>
      </c>
      <c r="F29" s="163">
        <v>102.00000000000001</v>
      </c>
      <c r="G29" s="163">
        <v>101.99963123426812</v>
      </c>
      <c r="H29" s="163">
        <v>102</v>
      </c>
      <c r="I29" s="163">
        <v>102</v>
      </c>
      <c r="J29" s="163">
        <v>102</v>
      </c>
      <c r="K29" s="163">
        <v>102.00005354637653</v>
      </c>
      <c r="L29" s="163">
        <v>103</v>
      </c>
      <c r="M29" s="163">
        <v>104</v>
      </c>
      <c r="N29" s="161">
        <f t="shared" si="4"/>
        <v>1226.3663564440635</v>
      </c>
    </row>
    <row r="30" spans="1:14" x14ac:dyDescent="0.25">
      <c r="A30" s="8" t="s">
        <v>200</v>
      </c>
      <c r="B30" s="163">
        <v>229.28835554315216</v>
      </c>
      <c r="C30" s="163">
        <v>229.4665457336217</v>
      </c>
      <c r="D30" s="163">
        <v>219.07186213632872</v>
      </c>
      <c r="E30" s="163">
        <v>227.16646898765083</v>
      </c>
      <c r="F30" s="163">
        <v>216.50108142049814</v>
      </c>
      <c r="G30" s="163">
        <v>224.57464763251426</v>
      </c>
      <c r="H30" s="163">
        <v>225.05811596161644</v>
      </c>
      <c r="I30" s="163">
        <v>205.88822813893771</v>
      </c>
      <c r="J30" s="163">
        <v>233.15914312744965</v>
      </c>
      <c r="K30" s="163">
        <v>227.35558859305314</v>
      </c>
      <c r="L30" s="163">
        <v>225.30826636050514</v>
      </c>
      <c r="M30" s="163">
        <v>214.86725028702637</v>
      </c>
      <c r="N30" s="161">
        <f t="shared" si="4"/>
        <v>2677.7055539223543</v>
      </c>
    </row>
    <row r="31" spans="1:14" x14ac:dyDescent="0.25">
      <c r="A31" s="8" t="s">
        <v>201</v>
      </c>
      <c r="B31" s="163">
        <v>4</v>
      </c>
      <c r="C31" s="163">
        <v>4</v>
      </c>
      <c r="D31" s="163">
        <v>4</v>
      </c>
      <c r="E31" s="163">
        <v>4</v>
      </c>
      <c r="F31" s="163">
        <v>2</v>
      </c>
      <c r="G31" s="163">
        <v>1.9999719301096293</v>
      </c>
      <c r="H31" s="163">
        <v>2</v>
      </c>
      <c r="I31" s="163">
        <v>2</v>
      </c>
      <c r="J31" s="163">
        <v>2</v>
      </c>
      <c r="K31" s="163">
        <v>2</v>
      </c>
      <c r="L31" s="163">
        <v>2</v>
      </c>
      <c r="M31" s="163">
        <v>2</v>
      </c>
      <c r="N31" s="161">
        <f t="shared" si="4"/>
        <v>31.999971930109631</v>
      </c>
    </row>
    <row r="32" spans="1:14" x14ac:dyDescent="0.25">
      <c r="A32" s="8" t="s">
        <v>202</v>
      </c>
      <c r="B32" s="163">
        <v>5.0130693501152717</v>
      </c>
      <c r="C32" s="163">
        <v>5.1748862857498912</v>
      </c>
      <c r="D32" s="163">
        <v>4.901177643466883</v>
      </c>
      <c r="E32" s="163">
        <v>4.975668265935572</v>
      </c>
      <c r="F32" s="163">
        <v>5.1083556607888339</v>
      </c>
      <c r="G32" s="163">
        <v>5.1238280397033344</v>
      </c>
      <c r="H32" s="163">
        <v>5.0417959266253032</v>
      </c>
      <c r="I32" s="163">
        <v>4.8582074453736173</v>
      </c>
      <c r="J32" s="163">
        <v>5</v>
      </c>
      <c r="K32" s="163">
        <v>4.9655044510385755</v>
      </c>
      <c r="L32" s="163">
        <v>5.101185884210337</v>
      </c>
      <c r="M32" s="163">
        <v>4.8688171657187969</v>
      </c>
      <c r="N32" s="161">
        <f t="shared" si="4"/>
        <v>60.132496118726415</v>
      </c>
    </row>
    <row r="33" spans="1:14" x14ac:dyDescent="0.25">
      <c r="A33" s="8" t="s">
        <v>203</v>
      </c>
      <c r="B33" s="255">
        <v>8.9999999999999982</v>
      </c>
      <c r="C33" s="255">
        <v>8.9999999999999982</v>
      </c>
      <c r="D33" s="255">
        <v>8.9999999999999982</v>
      </c>
      <c r="E33" s="255">
        <v>8.9999999999999982</v>
      </c>
      <c r="F33" s="255">
        <v>8.9999999999999982</v>
      </c>
      <c r="G33" s="255">
        <v>9.0000383739823526</v>
      </c>
      <c r="H33" s="255">
        <v>9</v>
      </c>
      <c r="I33" s="255">
        <v>9.7666701791359323</v>
      </c>
      <c r="J33" s="255">
        <v>10</v>
      </c>
      <c r="K33" s="255">
        <v>10</v>
      </c>
      <c r="L33" s="255">
        <v>10</v>
      </c>
      <c r="M33" s="255">
        <v>10</v>
      </c>
      <c r="N33" s="764">
        <f t="shared" si="4"/>
        <v>112.76670855311828</v>
      </c>
    </row>
    <row r="34" spans="1:14" x14ac:dyDescent="0.25">
      <c r="A34" s="8" t="s">
        <v>6</v>
      </c>
      <c r="B34" s="161">
        <f t="shared" ref="B34:N34" si="5">SUM(B21:B33)</f>
        <v>851159.17105035076</v>
      </c>
      <c r="C34" s="161">
        <f t="shared" si="5"/>
        <v>860099.82303566241</v>
      </c>
      <c r="D34" s="161">
        <f t="shared" si="5"/>
        <v>810762.82182964962</v>
      </c>
      <c r="E34" s="161">
        <f t="shared" si="5"/>
        <v>848487.73557747295</v>
      </c>
      <c r="F34" s="161">
        <f t="shared" si="5"/>
        <v>811672.60593412537</v>
      </c>
      <c r="G34" s="161">
        <f t="shared" si="5"/>
        <v>838433.51595005055</v>
      </c>
      <c r="H34" s="161">
        <f t="shared" si="5"/>
        <v>841603.52068070101</v>
      </c>
      <c r="I34" s="161">
        <f t="shared" si="5"/>
        <v>764493.72807058494</v>
      </c>
      <c r="J34" s="161">
        <f t="shared" si="5"/>
        <v>872555.52159902721</v>
      </c>
      <c r="K34" s="161">
        <f t="shared" si="5"/>
        <v>857050.96012735367</v>
      </c>
      <c r="L34" s="161">
        <f t="shared" si="5"/>
        <v>861214.74799908488</v>
      </c>
      <c r="M34" s="161">
        <f t="shared" si="5"/>
        <v>823300.03216950188</v>
      </c>
      <c r="N34" s="161">
        <f t="shared" si="5"/>
        <v>10040834.184023561</v>
      </c>
    </row>
    <row r="42" spans="1:14" x14ac:dyDescent="0.25">
      <c r="C42" s="32"/>
      <c r="D42" s="161"/>
    </row>
  </sheetData>
  <pageMargins left="0.7" right="0.7" top="0.75" bottom="0.75" header="0.3" footer="0.3"/>
  <pageSetup scale="55" orientation="landscape" r:id="rId1"/>
  <headerFooter>
    <oddFooter>&amp;L&amp;F
&amp;A&amp;C&amp;P&amp;R&amp;D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8"/>
  <sheetViews>
    <sheetView zoomScaleNormal="100" workbookViewId="0">
      <selection activeCell="O28" sqref="O28"/>
    </sheetView>
  </sheetViews>
  <sheetFormatPr defaultRowHeight="15" x14ac:dyDescent="0.25"/>
  <cols>
    <col min="1" max="1" width="16.28515625" customWidth="1"/>
    <col min="2" max="2" width="42.85546875" customWidth="1"/>
    <col min="3" max="15" width="12.7109375" customWidth="1"/>
    <col min="17" max="17" width="11.5703125" bestFit="1" customWidth="1"/>
  </cols>
  <sheetData>
    <row r="1" spans="1:17" x14ac:dyDescent="0.25">
      <c r="A1" s="233" t="s">
        <v>205</v>
      </c>
    </row>
    <row r="2" spans="1:17" x14ac:dyDescent="0.25">
      <c r="C2" s="234">
        <v>42917</v>
      </c>
      <c r="D2" s="234">
        <f>EDATE(C2,1)</f>
        <v>42948</v>
      </c>
      <c r="E2" s="234">
        <f t="shared" ref="E2:N2" si="0">EDATE(D2,1)</f>
        <v>42979</v>
      </c>
      <c r="F2" s="234">
        <f t="shared" si="0"/>
        <v>43009</v>
      </c>
      <c r="G2" s="234">
        <f t="shared" si="0"/>
        <v>43040</v>
      </c>
      <c r="H2" s="234">
        <f t="shared" si="0"/>
        <v>43070</v>
      </c>
      <c r="I2" s="234">
        <f t="shared" si="0"/>
        <v>43101</v>
      </c>
      <c r="J2" s="234">
        <f t="shared" si="0"/>
        <v>43132</v>
      </c>
      <c r="K2" s="234">
        <f t="shared" si="0"/>
        <v>43160</v>
      </c>
      <c r="L2" s="234">
        <f t="shared" si="0"/>
        <v>43191</v>
      </c>
      <c r="M2" s="234">
        <f t="shared" si="0"/>
        <v>43221</v>
      </c>
      <c r="N2" s="234">
        <f t="shared" si="0"/>
        <v>43252</v>
      </c>
      <c r="O2" s="236" t="s">
        <v>206</v>
      </c>
    </row>
    <row r="3" spans="1:17" x14ac:dyDescent="0.25">
      <c r="A3" s="157" t="s">
        <v>120</v>
      </c>
      <c r="B3" s="158"/>
    </row>
    <row r="4" spans="1:17" x14ac:dyDescent="0.25">
      <c r="A4" s="159" t="s">
        <v>122</v>
      </c>
      <c r="B4" s="159" t="s">
        <v>121</v>
      </c>
      <c r="C4" s="215">
        <v>1085.1554347826088</v>
      </c>
      <c r="D4" s="215">
        <v>1095.271739130435</v>
      </c>
      <c r="E4" s="215">
        <v>1028.8304347826088</v>
      </c>
      <c r="F4" s="215">
        <v>1064.2445652173913</v>
      </c>
      <c r="G4" s="215">
        <v>1017.1434782608695</v>
      </c>
      <c r="H4" s="215">
        <v>1055.2872204071375</v>
      </c>
      <c r="I4" s="215">
        <v>1033.7757225433525</v>
      </c>
      <c r="J4" s="215">
        <v>945.84508670520233</v>
      </c>
      <c r="K4" s="215">
        <v>1078.1606936416185</v>
      </c>
      <c r="L4" s="215">
        <v>1042.8161849710982</v>
      </c>
      <c r="M4" s="215">
        <v>1040.7661428529932</v>
      </c>
      <c r="N4" s="215">
        <v>993.1683417085427</v>
      </c>
      <c r="O4" s="161">
        <f>SUM(C4:N4)</f>
        <v>12480.465045003857</v>
      </c>
      <c r="Q4" s="767"/>
    </row>
    <row r="5" spans="1:17" x14ac:dyDescent="0.25">
      <c r="A5" s="159" t="s">
        <v>124</v>
      </c>
      <c r="B5" s="159" t="s">
        <v>123</v>
      </c>
      <c r="C5" s="215">
        <v>16915.187327823693</v>
      </c>
      <c r="D5" s="215">
        <v>17070.690082644629</v>
      </c>
      <c r="E5" s="215">
        <v>15992.024104683196</v>
      </c>
      <c r="F5" s="215">
        <v>16515.414600550965</v>
      </c>
      <c r="G5" s="215">
        <v>15789.394628099175</v>
      </c>
      <c r="H5" s="215">
        <v>16300.663356438283</v>
      </c>
      <c r="I5" s="215">
        <v>16099.599706744868</v>
      </c>
      <c r="J5" s="215">
        <v>14678.629765395894</v>
      </c>
      <c r="K5" s="215">
        <v>16673.274926686216</v>
      </c>
      <c r="L5" s="215">
        <v>16173.826246334309</v>
      </c>
      <c r="M5" s="215">
        <v>16233.312189514972</v>
      </c>
      <c r="N5" s="215">
        <v>15464.36593059937</v>
      </c>
      <c r="O5" s="161">
        <f t="shared" ref="O5:O26" si="1">SUM(C5:N5)</f>
        <v>193906.38286551557</v>
      </c>
      <c r="Q5" s="767"/>
    </row>
    <row r="6" spans="1:17" x14ac:dyDescent="0.25">
      <c r="A6" s="159" t="s">
        <v>126</v>
      </c>
      <c r="B6" s="159" t="s">
        <v>125</v>
      </c>
      <c r="C6" s="215">
        <v>3184.9822046465647</v>
      </c>
      <c r="D6" s="215">
        <v>3215.2130499258528</v>
      </c>
      <c r="E6" s="215">
        <v>3013.5971329708354</v>
      </c>
      <c r="F6" s="215">
        <v>3126.019278299555</v>
      </c>
      <c r="G6" s="215">
        <v>2994.2886801779532</v>
      </c>
      <c r="H6" s="215">
        <v>3076.9092630323239</v>
      </c>
      <c r="I6" s="215">
        <v>3042.6304691618343</v>
      </c>
      <c r="J6" s="215">
        <v>2777.3674222456516</v>
      </c>
      <c r="K6" s="215">
        <v>3147.1560358460729</v>
      </c>
      <c r="L6" s="215">
        <v>3059.9393779652087</v>
      </c>
      <c r="M6" s="215">
        <v>3081.7409925717875</v>
      </c>
      <c r="N6" s="215">
        <v>2920.3404735062009</v>
      </c>
      <c r="O6" s="161">
        <f t="shared" si="1"/>
        <v>36640.184380349841</v>
      </c>
      <c r="Q6" s="767"/>
    </row>
    <row r="7" spans="1:17" x14ac:dyDescent="0.25">
      <c r="A7" s="159" t="s">
        <v>128</v>
      </c>
      <c r="B7" s="159" t="s">
        <v>127</v>
      </c>
      <c r="C7" s="215">
        <v>721.73548712771333</v>
      </c>
      <c r="D7" s="215">
        <v>728.75012619888957</v>
      </c>
      <c r="E7" s="215">
        <v>678.68854114083797</v>
      </c>
      <c r="F7" s="215">
        <v>699.89500252397784</v>
      </c>
      <c r="G7" s="215">
        <v>667.3508329126704</v>
      </c>
      <c r="H7" s="215">
        <v>682.6099353215418</v>
      </c>
      <c r="I7" s="215">
        <v>674.62560516406677</v>
      </c>
      <c r="J7" s="215">
        <v>614.99300699300693</v>
      </c>
      <c r="K7" s="215">
        <v>696.23776223776224</v>
      </c>
      <c r="L7" s="215">
        <v>677.99731038192579</v>
      </c>
      <c r="M7" s="215">
        <v>680.11525501202652</v>
      </c>
      <c r="N7" s="215">
        <v>643.05814622913067</v>
      </c>
      <c r="O7" s="161">
        <f t="shared" si="1"/>
        <v>8166.0570112435507</v>
      </c>
      <c r="Q7" s="767"/>
    </row>
    <row r="8" spans="1:17" x14ac:dyDescent="0.25">
      <c r="A8" s="159" t="s">
        <v>130</v>
      </c>
      <c r="B8" s="159" t="s">
        <v>129</v>
      </c>
      <c r="C8" s="215">
        <v>3555.6702412868631</v>
      </c>
      <c r="D8" s="215">
        <v>3601.2573726541555</v>
      </c>
      <c r="E8" s="215">
        <v>3377.5321715817695</v>
      </c>
      <c r="F8" s="215">
        <v>3485.516085790885</v>
      </c>
      <c r="G8" s="215">
        <v>3339.225201072386</v>
      </c>
      <c r="H8" s="215">
        <v>3457.5811829758713</v>
      </c>
      <c r="I8" s="215">
        <v>3394.727272727273</v>
      </c>
      <c r="J8" s="215">
        <v>3098.9715909090905</v>
      </c>
      <c r="K8" s="215">
        <v>3524.9573863636365</v>
      </c>
      <c r="L8" s="215">
        <v>3416.990056818182</v>
      </c>
      <c r="M8" s="215">
        <v>3438.2039082412916</v>
      </c>
      <c r="N8" s="215">
        <v>3278.5747663551401</v>
      </c>
      <c r="O8" s="161">
        <f t="shared" si="1"/>
        <v>40969.207236776536</v>
      </c>
      <c r="Q8" s="767"/>
    </row>
    <row r="9" spans="1:17" x14ac:dyDescent="0.25">
      <c r="A9" s="159" t="s">
        <v>132</v>
      </c>
      <c r="B9" s="159" t="s">
        <v>131</v>
      </c>
      <c r="C9" s="215">
        <v>208.73692427790789</v>
      </c>
      <c r="D9" s="215">
        <v>209.17252146760342</v>
      </c>
      <c r="E9" s="215">
        <v>195.65573770491801</v>
      </c>
      <c r="F9" s="215">
        <v>202.91100702576111</v>
      </c>
      <c r="G9" s="215">
        <v>192.7166276346604</v>
      </c>
      <c r="H9" s="215">
        <v>199.79105320227924</v>
      </c>
      <c r="I9" s="215">
        <v>196.22028262676645</v>
      </c>
      <c r="J9" s="215">
        <v>178.50623441396507</v>
      </c>
      <c r="K9" s="215">
        <v>203.99833748960933</v>
      </c>
      <c r="L9" s="215">
        <v>198.78802992518706</v>
      </c>
      <c r="M9" s="215">
        <v>200.35938156401113</v>
      </c>
      <c r="N9" s="215">
        <v>191.64605734767025</v>
      </c>
      <c r="O9" s="161">
        <f t="shared" si="1"/>
        <v>2378.5021946803395</v>
      </c>
      <c r="Q9" s="767"/>
    </row>
    <row r="10" spans="1:17" x14ac:dyDescent="0.25">
      <c r="A10" s="1"/>
      <c r="B10" s="160" t="s">
        <v>133</v>
      </c>
      <c r="C10" s="32"/>
      <c r="O10" s="161"/>
      <c r="Q10" s="767"/>
    </row>
    <row r="11" spans="1:17" x14ac:dyDescent="0.25">
      <c r="A11" s="1"/>
      <c r="B11" s="159"/>
      <c r="C11" s="32"/>
      <c r="O11" s="161"/>
      <c r="Q11" s="767"/>
    </row>
    <row r="12" spans="1:17" x14ac:dyDescent="0.25">
      <c r="A12" s="157" t="s">
        <v>134</v>
      </c>
      <c r="B12" s="159"/>
      <c r="O12" s="161"/>
      <c r="Q12" s="767"/>
    </row>
    <row r="13" spans="1:17" x14ac:dyDescent="0.25">
      <c r="A13" s="159" t="s">
        <v>136</v>
      </c>
      <c r="B13" s="159" t="s">
        <v>135</v>
      </c>
      <c r="C13" s="215">
        <v>119.81165158371041</v>
      </c>
      <c r="D13" s="215">
        <v>121.00339366515838</v>
      </c>
      <c r="E13" s="215">
        <v>115.11877828054298</v>
      </c>
      <c r="F13" s="215">
        <v>118.77205882352941</v>
      </c>
      <c r="G13" s="215">
        <v>111.72794117647058</v>
      </c>
      <c r="H13" s="215">
        <v>115.58367188160562</v>
      </c>
      <c r="I13" s="215">
        <v>114.13321277878241</v>
      </c>
      <c r="J13" s="215">
        <v>104.43821579264618</v>
      </c>
      <c r="K13" s="215">
        <v>119.22242314647379</v>
      </c>
      <c r="L13" s="215">
        <v>116.44665461121157</v>
      </c>
      <c r="M13" s="215">
        <v>116.83931767213754</v>
      </c>
      <c r="N13" s="215">
        <v>112.28276307295029</v>
      </c>
      <c r="O13" s="161">
        <f t="shared" si="1"/>
        <v>1385.380082485219</v>
      </c>
      <c r="Q13" s="767"/>
    </row>
    <row r="14" spans="1:17" x14ac:dyDescent="0.25">
      <c r="A14" s="159" t="s">
        <v>138</v>
      </c>
      <c r="B14" s="159" t="s">
        <v>137</v>
      </c>
      <c r="C14" s="215">
        <v>89.358539765319421</v>
      </c>
      <c r="D14" s="215">
        <v>89.996523250760546</v>
      </c>
      <c r="E14" s="215">
        <v>85.253802694480655</v>
      </c>
      <c r="F14" s="215">
        <v>88.504997827031715</v>
      </c>
      <c r="G14" s="215">
        <v>84.224250325945235</v>
      </c>
      <c r="H14" s="215">
        <v>87.802691457049804</v>
      </c>
      <c r="I14" s="215">
        <v>87.45779220779221</v>
      </c>
      <c r="J14" s="215">
        <v>79.320500927643792</v>
      </c>
      <c r="K14" s="215">
        <v>89.946196660482386</v>
      </c>
      <c r="L14" s="215">
        <v>86.881725417439711</v>
      </c>
      <c r="M14" s="215">
        <v>85.684886895457893</v>
      </c>
      <c r="N14" s="215">
        <v>83.126300148588399</v>
      </c>
      <c r="O14" s="161">
        <f t="shared" si="1"/>
        <v>1037.5582075779919</v>
      </c>
      <c r="Q14" s="767"/>
    </row>
    <row r="15" spans="1:17" x14ac:dyDescent="0.25">
      <c r="A15" s="159" t="s">
        <v>140</v>
      </c>
      <c r="B15" s="159" t="s">
        <v>139</v>
      </c>
      <c r="C15" s="215">
        <v>241.72316384180789</v>
      </c>
      <c r="D15" s="215">
        <v>243.94654498044326</v>
      </c>
      <c r="E15" s="215">
        <v>230.81790525858321</v>
      </c>
      <c r="F15" s="215">
        <v>237.77183833116035</v>
      </c>
      <c r="G15" s="215">
        <v>226.77879182963929</v>
      </c>
      <c r="H15" s="215">
        <v>233.77839110042498</v>
      </c>
      <c r="I15" s="215">
        <v>232.46382189239333</v>
      </c>
      <c r="J15" s="215">
        <v>211.23423005565863</v>
      </c>
      <c r="K15" s="215">
        <v>236.86456400742117</v>
      </c>
      <c r="L15" s="215">
        <v>229.18877551020412</v>
      </c>
      <c r="M15" s="215">
        <v>230.01569091772868</v>
      </c>
      <c r="N15" s="215">
        <v>217.35661218424963</v>
      </c>
      <c r="O15" s="161">
        <f t="shared" si="1"/>
        <v>2771.9403299097144</v>
      </c>
      <c r="Q15" s="767"/>
    </row>
    <row r="16" spans="1:17" x14ac:dyDescent="0.25">
      <c r="A16" s="159" t="s">
        <v>142</v>
      </c>
      <c r="B16" s="159" t="s">
        <v>141</v>
      </c>
      <c r="C16" s="215">
        <v>13.316568873987148</v>
      </c>
      <c r="D16" s="215">
        <v>13.436714165968148</v>
      </c>
      <c r="E16" s="215">
        <v>12.781782620843812</v>
      </c>
      <c r="F16" s="215">
        <v>13.176306230790724</v>
      </c>
      <c r="G16" s="215">
        <v>12.522771723945237</v>
      </c>
      <c r="H16" s="215">
        <v>13.209126172347609</v>
      </c>
      <c r="I16" s="215">
        <v>13.094542201014017</v>
      </c>
      <c r="J16" s="215">
        <v>11.847002684163435</v>
      </c>
      <c r="K16" s="215">
        <v>13.679391589621234</v>
      </c>
      <c r="L16" s="215">
        <v>13.234118699671935</v>
      </c>
      <c r="M16" s="215">
        <v>13.267633297091864</v>
      </c>
      <c r="N16" s="215">
        <v>12.857641090678502</v>
      </c>
      <c r="O16" s="161">
        <f t="shared" si="1"/>
        <v>156.42359935012365</v>
      </c>
      <c r="Q16" s="767"/>
    </row>
    <row r="17" spans="1:17" x14ac:dyDescent="0.25">
      <c r="A17" s="159" t="s">
        <v>144</v>
      </c>
      <c r="B17" s="159" t="s">
        <v>143</v>
      </c>
      <c r="C17" s="215">
        <v>577.36504187245009</v>
      </c>
      <c r="D17" s="215">
        <v>581.67275069787411</v>
      </c>
      <c r="E17" s="215">
        <v>550.9944170066567</v>
      </c>
      <c r="F17" s="215">
        <v>564.87975091260466</v>
      </c>
      <c r="G17" s="215">
        <v>538.88490444492163</v>
      </c>
      <c r="H17" s="215">
        <v>560.78133148080269</v>
      </c>
      <c r="I17" s="215">
        <v>553.85946813388352</v>
      </c>
      <c r="J17" s="215">
        <v>503.65910132966536</v>
      </c>
      <c r="K17" s="215">
        <v>571.99426868408989</v>
      </c>
      <c r="L17" s="215">
        <v>555.40829894543788</v>
      </c>
      <c r="M17" s="215">
        <v>558.05272074351478</v>
      </c>
      <c r="N17" s="215">
        <v>535.53892944038932</v>
      </c>
      <c r="O17" s="161">
        <f t="shared" si="1"/>
        <v>6653.0909836922901</v>
      </c>
      <c r="Q17" s="767"/>
    </row>
    <row r="18" spans="1:17" x14ac:dyDescent="0.25">
      <c r="A18" s="159" t="s">
        <v>146</v>
      </c>
      <c r="B18" s="159" t="s">
        <v>145</v>
      </c>
      <c r="C18" s="215">
        <v>389.67493556701032</v>
      </c>
      <c r="D18" s="215">
        <v>392.11082474226805</v>
      </c>
      <c r="E18" s="215">
        <v>369.97309922680415</v>
      </c>
      <c r="F18" s="215">
        <v>379.37113402061857</v>
      </c>
      <c r="G18" s="215">
        <v>363.68073453608247</v>
      </c>
      <c r="H18" s="215">
        <v>378.20374964850703</v>
      </c>
      <c r="I18" s="215">
        <v>373.6085011185682</v>
      </c>
      <c r="J18" s="215">
        <v>340.57683703321283</v>
      </c>
      <c r="K18" s="215">
        <v>386.75253828945102</v>
      </c>
      <c r="L18" s="215">
        <v>375.70108415074861</v>
      </c>
      <c r="M18" s="215">
        <v>378.61723041300604</v>
      </c>
      <c r="N18" s="215">
        <v>364.7448942377826</v>
      </c>
      <c r="O18" s="161">
        <f t="shared" si="1"/>
        <v>4493.0155629840601</v>
      </c>
      <c r="Q18" s="767"/>
    </row>
    <row r="19" spans="1:17" x14ac:dyDescent="0.25">
      <c r="A19" s="159" t="s">
        <v>148</v>
      </c>
      <c r="B19" s="159" t="s">
        <v>147</v>
      </c>
      <c r="C19" s="215">
        <v>1116.8391394864677</v>
      </c>
      <c r="D19" s="215">
        <v>1128.0147120055519</v>
      </c>
      <c r="E19" s="215">
        <v>1066.6023594725884</v>
      </c>
      <c r="F19" s="215">
        <v>1094.7529493407355</v>
      </c>
      <c r="G19" s="215">
        <v>1047.997918112422</v>
      </c>
      <c r="H19" s="215">
        <v>1093.5556146960353</v>
      </c>
      <c r="I19" s="215">
        <v>1087.2295373665479</v>
      </c>
      <c r="J19" s="215">
        <v>986.3290332147094</v>
      </c>
      <c r="K19" s="215">
        <v>1124.0837781731911</v>
      </c>
      <c r="L19" s="215">
        <v>1088.1192170818506</v>
      </c>
      <c r="M19" s="215">
        <v>1093.9170118460033</v>
      </c>
      <c r="N19" s="215">
        <v>1052.2836055276382</v>
      </c>
      <c r="O19" s="161">
        <f t="shared" si="1"/>
        <v>12979.72487632374</v>
      </c>
      <c r="Q19" s="767"/>
    </row>
    <row r="20" spans="1:17" x14ac:dyDescent="0.25">
      <c r="A20" s="1"/>
      <c r="B20" s="160" t="s">
        <v>133</v>
      </c>
      <c r="C20" s="32"/>
      <c r="O20" s="161"/>
      <c r="Q20" s="767"/>
    </row>
    <row r="21" spans="1:17" x14ac:dyDescent="0.25">
      <c r="A21" s="160"/>
      <c r="B21" s="158"/>
      <c r="O21" s="161"/>
      <c r="Q21" s="767"/>
    </row>
    <row r="22" spans="1:17" x14ac:dyDescent="0.25">
      <c r="A22" s="157" t="s">
        <v>150</v>
      </c>
      <c r="B22" s="158"/>
      <c r="O22" s="161"/>
      <c r="Q22" s="767"/>
    </row>
    <row r="23" spans="1:17" x14ac:dyDescent="0.25">
      <c r="A23" s="159" t="s">
        <v>152</v>
      </c>
      <c r="B23" s="159" t="s">
        <v>151</v>
      </c>
      <c r="C23" s="215">
        <v>1052.3862348178138</v>
      </c>
      <c r="D23" s="215">
        <v>1055.6639676113361</v>
      </c>
      <c r="E23" s="215">
        <v>991.00161943319847</v>
      </c>
      <c r="F23" s="215">
        <v>1013.4566801619434</v>
      </c>
      <c r="G23" s="215">
        <v>969.88582995951424</v>
      </c>
      <c r="H23" s="215">
        <v>984.75416375820191</v>
      </c>
      <c r="I23" s="215">
        <v>973.20517241379321</v>
      </c>
      <c r="J23" s="215">
        <v>888.79224137931033</v>
      </c>
      <c r="K23" s="215">
        <v>1009.196551724138</v>
      </c>
      <c r="L23" s="215">
        <v>976.72241379310344</v>
      </c>
      <c r="M23" s="215">
        <v>979.85421010425034</v>
      </c>
      <c r="N23" s="215">
        <v>931.993488372093</v>
      </c>
      <c r="O23" s="161">
        <f t="shared" si="1"/>
        <v>11826.912573528694</v>
      </c>
      <c r="Q23" s="767"/>
    </row>
    <row r="24" spans="1:17" x14ac:dyDescent="0.25">
      <c r="A24" s="159" t="s">
        <v>154</v>
      </c>
      <c r="B24" s="159" t="s">
        <v>153</v>
      </c>
      <c r="C24" s="215">
        <v>72.595208462974483</v>
      </c>
      <c r="D24" s="215">
        <v>73.464530180460486</v>
      </c>
      <c r="E24" s="215">
        <v>70.158058494088365</v>
      </c>
      <c r="F24" s="215">
        <v>71.00560049782203</v>
      </c>
      <c r="G24" s="215">
        <v>68.061294337274418</v>
      </c>
      <c r="H24" s="215">
        <v>70.558293480299909</v>
      </c>
      <c r="I24" s="215">
        <v>70.18658698539177</v>
      </c>
      <c r="J24" s="215">
        <v>64.407038512616197</v>
      </c>
      <c r="K24" s="215">
        <v>73.05511288180611</v>
      </c>
      <c r="L24" s="215">
        <v>71.342297476759626</v>
      </c>
      <c r="M24" s="215">
        <v>71.807372160357403</v>
      </c>
      <c r="N24" s="215">
        <v>69.021554770318019</v>
      </c>
      <c r="O24" s="161">
        <f t="shared" si="1"/>
        <v>845.66294824016904</v>
      </c>
      <c r="Q24" s="767"/>
    </row>
    <row r="25" spans="1:17" x14ac:dyDescent="0.25">
      <c r="A25" s="159" t="s">
        <v>156</v>
      </c>
      <c r="B25" s="159" t="s">
        <v>155</v>
      </c>
      <c r="C25" s="215">
        <v>46.607027276930189</v>
      </c>
      <c r="D25" s="215">
        <v>46.817845584835879</v>
      </c>
      <c r="E25" s="215">
        <v>44.730929264909847</v>
      </c>
      <c r="F25" s="215">
        <v>45.026121128062876</v>
      </c>
      <c r="G25" s="215">
        <v>43.791030975497002</v>
      </c>
      <c r="H25" s="215">
        <v>44.375569816437064</v>
      </c>
      <c r="I25" s="215">
        <v>44.235874660745125</v>
      </c>
      <c r="J25" s="215">
        <v>40.671107821366888</v>
      </c>
      <c r="K25" s="215">
        <v>45.754502837404395</v>
      </c>
      <c r="L25" s="215">
        <v>44.633851468048356</v>
      </c>
      <c r="M25" s="215">
        <v>45.26855857555713</v>
      </c>
      <c r="N25" s="215">
        <v>43.597065758449041</v>
      </c>
      <c r="O25" s="161">
        <f t="shared" si="1"/>
        <v>535.50948516824371</v>
      </c>
      <c r="Q25" s="767"/>
    </row>
    <row r="26" spans="1:17" x14ac:dyDescent="0.25">
      <c r="A26" s="159" t="s">
        <v>158</v>
      </c>
      <c r="B26" s="159" t="s">
        <v>157</v>
      </c>
      <c r="C26" s="215">
        <v>1709.8026101141925</v>
      </c>
      <c r="D26" s="215">
        <v>1722.1386623164763</v>
      </c>
      <c r="E26" s="215">
        <v>1615.3442088091354</v>
      </c>
      <c r="F26" s="215">
        <v>1663.2131593257204</v>
      </c>
      <c r="G26" s="215">
        <v>1595.9869494290376</v>
      </c>
      <c r="H26" s="215">
        <v>1641.6552928103647</v>
      </c>
      <c r="I26" s="215">
        <v>1623.6892753623188</v>
      </c>
      <c r="J26" s="215">
        <v>1473.6950724637682</v>
      </c>
      <c r="K26" s="215">
        <v>1670.1843478260869</v>
      </c>
      <c r="L26" s="215">
        <v>1621.919420289855</v>
      </c>
      <c r="M26" s="215">
        <v>1626.9458385093164</v>
      </c>
      <c r="N26" s="215">
        <v>1547.8161490683228</v>
      </c>
      <c r="O26" s="161">
        <f t="shared" si="1"/>
        <v>19512.390986324594</v>
      </c>
      <c r="Q26" s="767"/>
    </row>
    <row r="27" spans="1:17" x14ac:dyDescent="0.25">
      <c r="Q27" s="767"/>
    </row>
    <row r="28" spans="1:17" x14ac:dyDescent="0.25">
      <c r="O28" s="161">
        <f>SUM(O4:O26)</f>
        <v>356738.40836915449</v>
      </c>
      <c r="Q28" s="767"/>
    </row>
  </sheetData>
  <pageMargins left="0.7" right="0.7" top="0.75" bottom="0.75" header="0.3" footer="0.3"/>
  <pageSetup scale="54" orientation="landscape" r:id="rId1"/>
  <headerFooter>
    <oddFooter>&amp;L&amp;F
&amp;A&amp;C&amp;P&amp;R&amp;D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"/>
  <sheetViews>
    <sheetView zoomScaleNormal="100" workbookViewId="0">
      <selection activeCell="F38" sqref="F38"/>
    </sheetView>
  </sheetViews>
  <sheetFormatPr defaultRowHeight="12.75" x14ac:dyDescent="0.2"/>
  <cols>
    <col min="1" max="1" width="2.5703125" style="265" customWidth="1"/>
    <col min="2" max="2" width="32.28515625" style="270" customWidth="1"/>
    <col min="3" max="3" width="9.85546875" style="270" bestFit="1" customWidth="1"/>
    <col min="4" max="4" width="12.140625" style="271" bestFit="1" customWidth="1"/>
    <col min="5" max="5" width="10.5703125" style="271" customWidth="1"/>
    <col min="6" max="6" width="15.5703125" style="270" customWidth="1"/>
    <col min="7" max="7" width="3.28515625" style="272" customWidth="1"/>
    <col min="8" max="8" width="10.42578125" style="265" bestFit="1" customWidth="1"/>
    <col min="9" max="9" width="14.85546875" style="273" customWidth="1"/>
    <col min="10" max="10" width="3" style="274" customWidth="1"/>
    <col min="11" max="11" width="13.7109375" style="265" bestFit="1" customWidth="1"/>
    <col min="12" max="12" width="11.140625" style="275" bestFit="1" customWidth="1"/>
    <col min="13" max="13" width="2.42578125" style="275" customWidth="1"/>
    <col min="14" max="14" width="1.5703125" style="275" customWidth="1"/>
    <col min="15" max="15" width="14" style="265" customWidth="1"/>
    <col min="16" max="16" width="3" style="265" customWidth="1"/>
    <col min="17" max="17" width="10.140625" style="278" bestFit="1" customWidth="1"/>
    <col min="18" max="16384" width="9.140625" style="265"/>
  </cols>
  <sheetData>
    <row r="1" spans="2:26" x14ac:dyDescent="0.2">
      <c r="B1" s="257"/>
      <c r="C1" s="257"/>
      <c r="D1" s="258"/>
      <c r="E1" s="258"/>
      <c r="F1" s="257"/>
      <c r="G1" s="259"/>
      <c r="H1" s="260"/>
      <c r="I1" s="261"/>
      <c r="J1" s="262"/>
      <c r="K1" s="260"/>
      <c r="L1" s="263"/>
      <c r="M1" s="263"/>
      <c r="N1" s="263"/>
      <c r="O1" s="260"/>
      <c r="P1" s="260"/>
      <c r="Q1" s="264"/>
    </row>
    <row r="2" spans="2:26" x14ac:dyDescent="0.2">
      <c r="B2" s="257" t="s">
        <v>0</v>
      </c>
      <c r="C2" s="257"/>
      <c r="D2" s="266"/>
      <c r="E2" s="266"/>
      <c r="F2" s="257"/>
      <c r="G2" s="257"/>
      <c r="H2" s="257"/>
      <c r="I2" s="257"/>
      <c r="J2" s="257"/>
      <c r="K2" s="257"/>
      <c r="L2" s="257"/>
      <c r="M2" s="263"/>
      <c r="N2" s="263"/>
      <c r="O2" s="260"/>
      <c r="P2" s="260"/>
      <c r="Q2" s="264"/>
    </row>
    <row r="3" spans="2:26" x14ac:dyDescent="0.2">
      <c r="B3" s="169" t="s">
        <v>441</v>
      </c>
      <c r="C3" s="257"/>
      <c r="D3" s="266"/>
      <c r="E3" s="266"/>
      <c r="F3" s="257"/>
      <c r="G3" s="257"/>
      <c r="H3" s="257"/>
      <c r="I3" s="257"/>
      <c r="J3" s="257"/>
      <c r="K3" s="257"/>
      <c r="L3" s="257"/>
      <c r="M3" s="263"/>
      <c r="N3" s="263"/>
      <c r="O3" s="260"/>
      <c r="P3" s="260"/>
      <c r="Q3" s="264"/>
    </row>
    <row r="4" spans="2:26" x14ac:dyDescent="0.2">
      <c r="B4" s="169" t="s">
        <v>417</v>
      </c>
      <c r="C4" s="257"/>
      <c r="D4" s="266"/>
      <c r="E4" s="266"/>
      <c r="F4" s="257"/>
      <c r="G4" s="257"/>
      <c r="H4" s="257"/>
      <c r="I4" s="257"/>
      <c r="J4" s="257"/>
      <c r="K4" s="257"/>
      <c r="L4" s="257"/>
      <c r="M4" s="263"/>
      <c r="N4" s="263"/>
      <c r="O4" s="260"/>
      <c r="P4" s="260"/>
      <c r="Q4" s="264"/>
    </row>
    <row r="5" spans="2:26" x14ac:dyDescent="0.2">
      <c r="B5" s="267" t="s">
        <v>264</v>
      </c>
      <c r="C5" s="257"/>
      <c r="D5" s="266"/>
      <c r="E5" s="266"/>
      <c r="F5" s="257"/>
      <c r="G5" s="257"/>
      <c r="H5" s="257"/>
      <c r="I5" s="257"/>
      <c r="J5" s="257"/>
      <c r="K5" s="257"/>
      <c r="L5" s="257"/>
      <c r="M5" s="263"/>
      <c r="N5" s="268"/>
      <c r="O5" s="269"/>
      <c r="P5" s="260"/>
      <c r="Q5" s="264"/>
    </row>
    <row r="6" spans="2:26" x14ac:dyDescent="0.2">
      <c r="N6" s="276"/>
      <c r="O6" s="277"/>
    </row>
    <row r="7" spans="2:26" ht="15" customHeight="1" x14ac:dyDescent="0.2">
      <c r="B7" s="279"/>
      <c r="C7" s="280"/>
      <c r="D7" s="281" t="s">
        <v>265</v>
      </c>
      <c r="E7" s="282" t="s">
        <v>5</v>
      </c>
      <c r="F7" s="283"/>
      <c r="G7" s="284"/>
      <c r="H7" s="285" t="s">
        <v>1</v>
      </c>
      <c r="I7" s="283"/>
      <c r="J7" s="286"/>
      <c r="K7" s="283" t="s">
        <v>266</v>
      </c>
      <c r="L7" s="287"/>
      <c r="M7" s="288"/>
      <c r="N7" s="288"/>
      <c r="O7" s="289" t="s">
        <v>267</v>
      </c>
      <c r="Q7" s="290" t="s">
        <v>268</v>
      </c>
    </row>
    <row r="8" spans="2:26" x14ac:dyDescent="0.2">
      <c r="B8" s="291" t="s">
        <v>215</v>
      </c>
      <c r="C8" s="292" t="s">
        <v>236</v>
      </c>
      <c r="D8" s="293" t="s">
        <v>269</v>
      </c>
      <c r="E8" s="293" t="s">
        <v>22</v>
      </c>
      <c r="F8" s="294" t="s">
        <v>270</v>
      </c>
      <c r="G8" s="292"/>
      <c r="H8" s="292" t="s">
        <v>22</v>
      </c>
      <c r="I8" s="294" t="s">
        <v>270</v>
      </c>
      <c r="J8" s="294"/>
      <c r="K8" s="294" t="s">
        <v>271</v>
      </c>
      <c r="L8" s="295" t="s">
        <v>272</v>
      </c>
      <c r="M8" s="296"/>
      <c r="N8" s="296"/>
      <c r="O8" s="297" t="s">
        <v>273</v>
      </c>
      <c r="Q8" s="298" t="s">
        <v>20</v>
      </c>
    </row>
    <row r="9" spans="2:26" x14ac:dyDescent="0.2">
      <c r="B9" s="277"/>
      <c r="C9" s="277"/>
      <c r="D9" s="299"/>
      <c r="E9" s="299"/>
      <c r="F9" s="277"/>
      <c r="H9" s="277"/>
      <c r="I9" s="274"/>
      <c r="K9" s="277"/>
      <c r="L9" s="276"/>
      <c r="M9" s="276"/>
      <c r="N9" s="276"/>
      <c r="O9" s="277"/>
    </row>
    <row r="10" spans="2:26" x14ac:dyDescent="0.2">
      <c r="B10" s="300" t="s">
        <v>274</v>
      </c>
      <c r="C10" s="301"/>
      <c r="D10" s="302"/>
      <c r="E10" s="302"/>
      <c r="F10" s="303"/>
      <c r="G10" s="304"/>
      <c r="H10" s="302"/>
      <c r="I10" s="305"/>
      <c r="J10" s="305"/>
      <c r="K10" s="305"/>
      <c r="L10" s="306"/>
      <c r="M10" s="276"/>
      <c r="N10" s="276"/>
      <c r="O10" s="277"/>
    </row>
    <row r="11" spans="2:26" x14ac:dyDescent="0.2">
      <c r="B11" s="307"/>
      <c r="C11" s="277"/>
      <c r="D11" s="299"/>
      <c r="E11" s="299"/>
      <c r="F11" s="277"/>
      <c r="G11" s="308"/>
      <c r="H11" s="299"/>
      <c r="I11" s="309"/>
      <c r="J11" s="309"/>
      <c r="K11" s="309"/>
      <c r="L11" s="310"/>
      <c r="M11" s="276"/>
      <c r="N11" s="276"/>
      <c r="O11" s="311" t="s">
        <v>275</v>
      </c>
      <c r="P11" s="277"/>
    </row>
    <row r="12" spans="2:26" x14ac:dyDescent="0.2">
      <c r="B12" s="312" t="s">
        <v>237</v>
      </c>
      <c r="C12" s="313" t="s">
        <v>238</v>
      </c>
      <c r="D12" s="314">
        <v>9046017.5601524524</v>
      </c>
      <c r="E12" s="315">
        <v>10.34</v>
      </c>
      <c r="F12" s="309">
        <f>SUM(+D12*E12)</f>
        <v>93535821.571976364</v>
      </c>
      <c r="H12" s="316">
        <v>11</v>
      </c>
      <c r="I12" s="309">
        <f>SUM(+D12*H12)</f>
        <v>99506193.161676973</v>
      </c>
      <c r="J12" s="309"/>
      <c r="K12" s="309">
        <f>I12-F12</f>
        <v>5970371.5897006094</v>
      </c>
      <c r="L12" s="317">
        <f>ROUND(K12/F12,5)</f>
        <v>6.3829999999999998E-2</v>
      </c>
      <c r="M12" s="276"/>
      <c r="N12" s="276"/>
      <c r="O12" s="318">
        <v>-4940805.2914509522</v>
      </c>
      <c r="P12" s="277"/>
      <c r="Q12" s="319">
        <f>H12/E12-1</f>
        <v>6.3829787234042534E-2</v>
      </c>
    </row>
    <row r="13" spans="2:26" x14ac:dyDescent="0.2">
      <c r="B13" s="307" t="s">
        <v>239</v>
      </c>
      <c r="C13" s="277" t="s">
        <v>240</v>
      </c>
      <c r="D13" s="320">
        <v>577531151.08299994</v>
      </c>
      <c r="E13" s="321">
        <v>0.36492000000000002</v>
      </c>
      <c r="F13" s="309">
        <f>ROUND(D13*E13,2)</f>
        <v>210752667.65000001</v>
      </c>
      <c r="H13" s="322">
        <f>ROUND(E13*(1+$O$16),5)</f>
        <v>0.34603</v>
      </c>
      <c r="I13" s="309">
        <f>ROUND(D13*H13,2)</f>
        <v>199843104.21000001</v>
      </c>
      <c r="J13" s="309"/>
      <c r="K13" s="309">
        <f>I13-F13</f>
        <v>-10909563.439999998</v>
      </c>
      <c r="L13" s="317">
        <f>ROUND(K13/F13,5)</f>
        <v>-5.176E-2</v>
      </c>
      <c r="M13" s="277"/>
      <c r="N13" s="277"/>
      <c r="O13" s="323" t="s">
        <v>276</v>
      </c>
      <c r="P13" s="277"/>
      <c r="Q13" s="319">
        <f>H13/E13-1</f>
        <v>-5.1764770360626988E-2</v>
      </c>
    </row>
    <row r="14" spans="2:26" x14ac:dyDescent="0.2">
      <c r="B14" s="324"/>
      <c r="C14" s="325"/>
      <c r="D14" s="326"/>
      <c r="E14" s="327"/>
      <c r="F14" s="305">
        <f>SUM(F12:F13)</f>
        <v>304288489.2219764</v>
      </c>
      <c r="H14" s="299"/>
      <c r="I14" s="305">
        <f>SUM(I12:I13)</f>
        <v>299349297.37167698</v>
      </c>
      <c r="J14" s="309"/>
      <c r="K14" s="305">
        <f>SUM(K12:K13)</f>
        <v>-4939191.8502993882</v>
      </c>
      <c r="L14" s="328">
        <f>ROUND(K14/F14,5)</f>
        <v>-1.6230000000000001E-2</v>
      </c>
      <c r="M14" s="277"/>
      <c r="N14" s="277"/>
      <c r="O14" s="329">
        <f>(K14+K26)-O12</f>
        <v>1617.3111515641212</v>
      </c>
      <c r="P14" s="277"/>
      <c r="Q14" s="330"/>
    </row>
    <row r="15" spans="2:26" x14ac:dyDescent="0.2">
      <c r="B15" s="324"/>
      <c r="C15" s="331"/>
      <c r="D15" s="299"/>
      <c r="E15" s="321"/>
      <c r="F15" s="332"/>
      <c r="H15" s="299"/>
      <c r="I15" s="309"/>
      <c r="J15" s="309"/>
      <c r="K15" s="309"/>
      <c r="L15" s="310"/>
      <c r="M15" s="319"/>
      <c r="N15" s="319"/>
      <c r="O15" s="333"/>
      <c r="Q15" s="334"/>
    </row>
    <row r="16" spans="2:26" x14ac:dyDescent="0.2">
      <c r="B16" s="307" t="s">
        <v>277</v>
      </c>
      <c r="C16" s="277" t="s">
        <v>240</v>
      </c>
      <c r="D16" s="326">
        <f>D13</f>
        <v>577531151.08299994</v>
      </c>
      <c r="E16" s="321">
        <v>0.4173</v>
      </c>
      <c r="F16" s="305">
        <f>E16*D16</f>
        <v>241003749.34693587</v>
      </c>
      <c r="G16" s="277"/>
      <c r="H16" s="321">
        <v>0.40933000000000003</v>
      </c>
      <c r="I16" s="305">
        <f>H16*D16</f>
        <v>236400826.07280439</v>
      </c>
      <c r="J16" s="309"/>
      <c r="K16" s="305">
        <f>I16-F16</f>
        <v>-4602923.2741314769</v>
      </c>
      <c r="L16" s="328">
        <f>ROUND(K16/F16,5)</f>
        <v>-1.9099999999999999E-2</v>
      </c>
      <c r="M16" s="319"/>
      <c r="N16" s="319"/>
      <c r="O16" s="335">
        <v>-5.1767237933664494E-2</v>
      </c>
      <c r="P16" s="336"/>
      <c r="Q16" s="337"/>
      <c r="R16" s="277"/>
      <c r="Z16" s="277"/>
    </row>
    <row r="17" spans="1:26" ht="14.25" customHeight="1" x14ac:dyDescent="0.2">
      <c r="B17" s="307"/>
      <c r="C17" s="277"/>
      <c r="D17" s="299"/>
      <c r="E17" s="299"/>
      <c r="F17" s="309"/>
      <c r="H17" s="338"/>
      <c r="I17" s="309"/>
      <c r="J17" s="309"/>
      <c r="K17" s="309"/>
      <c r="L17" s="310"/>
      <c r="M17" s="277"/>
      <c r="N17" s="277"/>
      <c r="O17" s="336"/>
      <c r="P17" s="336"/>
      <c r="Q17" s="336"/>
      <c r="R17" s="277"/>
      <c r="Z17" s="277"/>
    </row>
    <row r="18" spans="1:26" x14ac:dyDescent="0.2">
      <c r="B18" s="339" t="s">
        <v>278</v>
      </c>
      <c r="C18" s="325"/>
      <c r="D18" s="340"/>
      <c r="E18" s="299"/>
      <c r="F18" s="305">
        <f>F14+F16</f>
        <v>545292238.56891227</v>
      </c>
      <c r="H18" s="299"/>
      <c r="I18" s="305">
        <f>I14+I16</f>
        <v>535750123.44448137</v>
      </c>
      <c r="J18" s="309"/>
      <c r="K18" s="305">
        <f>K14+K16</f>
        <v>-9542115.124430865</v>
      </c>
      <c r="L18" s="328">
        <f>ROUND(K18/F18,5)</f>
        <v>-1.7500000000000002E-2</v>
      </c>
      <c r="M18" s="319"/>
      <c r="N18" s="319"/>
      <c r="O18" s="319"/>
      <c r="P18" s="341"/>
      <c r="Q18" s="290"/>
      <c r="R18" s="277"/>
      <c r="Z18" s="277"/>
    </row>
    <row r="19" spans="1:26" x14ac:dyDescent="0.2">
      <c r="B19" s="339"/>
      <c r="C19" s="325"/>
      <c r="D19" s="342"/>
      <c r="E19" s="299"/>
      <c r="F19" s="343"/>
      <c r="H19" s="299"/>
      <c r="I19" s="309"/>
      <c r="J19" s="309"/>
      <c r="K19" s="344"/>
      <c r="L19" s="317"/>
      <c r="M19" s="319"/>
      <c r="N19" s="276"/>
      <c r="O19" s="277"/>
      <c r="Q19" s="334"/>
      <c r="R19" s="277"/>
      <c r="Z19" s="277"/>
    </row>
    <row r="20" spans="1:26" s="271" customFormat="1" x14ac:dyDescent="0.2">
      <c r="B20" s="345"/>
      <c r="C20" s="346"/>
      <c r="D20" s="346"/>
      <c r="E20" s="346"/>
      <c r="F20" s="347"/>
      <c r="G20" s="348"/>
      <c r="H20" s="346"/>
      <c r="I20" s="347"/>
      <c r="J20" s="347"/>
      <c r="K20" s="347"/>
      <c r="L20" s="349"/>
      <c r="M20" s="299"/>
      <c r="N20" s="299"/>
      <c r="Q20" s="299"/>
      <c r="R20" s="299"/>
      <c r="Z20" s="299"/>
    </row>
    <row r="21" spans="1:26" s="271" customFormat="1" x14ac:dyDescent="0.2">
      <c r="B21" s="299"/>
      <c r="C21" s="299"/>
      <c r="D21" s="299"/>
      <c r="F21" s="350"/>
      <c r="G21" s="326"/>
      <c r="H21" s="299"/>
      <c r="I21" s="343"/>
      <c r="J21" s="343"/>
      <c r="K21" s="343"/>
      <c r="L21" s="351"/>
      <c r="M21" s="299"/>
      <c r="N21" s="299"/>
      <c r="O21" s="299"/>
      <c r="Q21" s="299"/>
      <c r="R21" s="299"/>
      <c r="Z21" s="299"/>
    </row>
    <row r="22" spans="1:26" x14ac:dyDescent="0.2">
      <c r="A22" s="271"/>
      <c r="B22" s="352" t="s">
        <v>279</v>
      </c>
      <c r="C22" s="353"/>
      <c r="D22" s="302"/>
      <c r="E22" s="354"/>
      <c r="F22" s="355"/>
      <c r="G22" s="304"/>
      <c r="H22" s="302"/>
      <c r="I22" s="305"/>
      <c r="J22" s="305"/>
      <c r="K22" s="305"/>
      <c r="L22" s="328"/>
      <c r="M22" s="277"/>
      <c r="N22" s="277"/>
      <c r="O22" s="277"/>
      <c r="Q22" s="334"/>
      <c r="R22" s="277"/>
      <c r="Z22" s="277"/>
    </row>
    <row r="23" spans="1:26" s="271" customFormat="1" x14ac:dyDescent="0.2">
      <c r="B23" s="356"/>
      <c r="C23" s="299"/>
      <c r="D23" s="299"/>
      <c r="E23" s="299"/>
      <c r="F23" s="343"/>
      <c r="G23" s="357"/>
      <c r="H23" s="299"/>
      <c r="I23" s="343"/>
      <c r="J23" s="343"/>
      <c r="K23" s="343"/>
      <c r="L23" s="358"/>
      <c r="M23" s="359"/>
      <c r="N23" s="359"/>
      <c r="O23" s="336"/>
      <c r="P23" s="299"/>
      <c r="Q23" s="360"/>
      <c r="R23" s="299"/>
      <c r="Z23" s="299"/>
    </row>
    <row r="24" spans="1:26" s="271" customFormat="1" ht="13.5" customHeight="1" x14ac:dyDescent="0.2">
      <c r="B24" s="312" t="s">
        <v>237</v>
      </c>
      <c r="C24" s="313" t="s">
        <v>238</v>
      </c>
      <c r="D24" s="314">
        <v>13.000000000000002</v>
      </c>
      <c r="E24" s="315">
        <v>10.34</v>
      </c>
      <c r="F24" s="343">
        <f>SUM(+D24*E24)</f>
        <v>134.42000000000002</v>
      </c>
      <c r="G24" s="326"/>
      <c r="H24" s="361">
        <f>H12</f>
        <v>11</v>
      </c>
      <c r="I24" s="343">
        <f>SUM(+D24*H24)</f>
        <v>143.00000000000003</v>
      </c>
      <c r="J24" s="343"/>
      <c r="K24" s="343">
        <f>I24-F24</f>
        <v>8.5800000000000125</v>
      </c>
      <c r="L24" s="358"/>
      <c r="M24" s="359"/>
      <c r="N24" s="359"/>
      <c r="O24" s="362"/>
      <c r="P24" s="299"/>
      <c r="Q24" s="319">
        <f>H24/E24-1</f>
        <v>6.3829787234042534E-2</v>
      </c>
      <c r="R24" s="299"/>
      <c r="Z24" s="299"/>
    </row>
    <row r="25" spans="1:26" s="271" customFormat="1" ht="13.5" customHeight="1" x14ac:dyDescent="0.2">
      <c r="B25" s="307" t="s">
        <v>239</v>
      </c>
      <c r="C25" s="277" t="s">
        <v>240</v>
      </c>
      <c r="D25" s="314">
        <v>249.405</v>
      </c>
      <c r="E25" s="321">
        <v>0.36492000000000002</v>
      </c>
      <c r="F25" s="343">
        <f>ROUND(D25*E25,2)</f>
        <v>91.01</v>
      </c>
      <c r="G25" s="326"/>
      <c r="H25" s="322">
        <f>H13</f>
        <v>0.34603</v>
      </c>
      <c r="I25" s="343">
        <f>ROUND(D25*H25,2)</f>
        <v>86.3</v>
      </c>
      <c r="J25" s="343"/>
      <c r="K25" s="343">
        <f>I25-F25</f>
        <v>-4.710000000000008</v>
      </c>
      <c r="L25" s="363"/>
      <c r="M25" s="359"/>
      <c r="N25" s="359"/>
      <c r="O25" s="364"/>
      <c r="P25" s="299"/>
      <c r="Q25" s="319">
        <f>H25/E25-1</f>
        <v>-5.1764770360626988E-2</v>
      </c>
      <c r="R25" s="299"/>
      <c r="Z25" s="299"/>
    </row>
    <row r="26" spans="1:26" s="271" customFormat="1" ht="13.5" customHeight="1" x14ac:dyDescent="0.2">
      <c r="B26" s="339" t="s">
        <v>280</v>
      </c>
      <c r="C26" s="313"/>
      <c r="D26" s="326"/>
      <c r="E26" s="299"/>
      <c r="F26" s="305">
        <f>SUM(F24:F25)</f>
        <v>225.43</v>
      </c>
      <c r="G26" s="326"/>
      <c r="H26" s="299"/>
      <c r="I26" s="305">
        <f>SUM(I24:I25)</f>
        <v>229.3</v>
      </c>
      <c r="J26" s="343"/>
      <c r="K26" s="305">
        <f>SUM(K24:K25)</f>
        <v>3.8700000000000045</v>
      </c>
      <c r="L26" s="328">
        <f>ROUND(K26/F26,5)</f>
        <v>1.7170000000000001E-2</v>
      </c>
      <c r="M26" s="299"/>
      <c r="N26" s="299"/>
      <c r="O26" s="364"/>
      <c r="P26" s="299"/>
      <c r="Q26" s="330"/>
      <c r="R26" s="299"/>
      <c r="Z26" s="299"/>
    </row>
    <row r="27" spans="1:26" s="271" customFormat="1" ht="13.5" customHeight="1" x14ac:dyDescent="0.2">
      <c r="B27" s="365"/>
      <c r="C27" s="366"/>
      <c r="D27" s="299"/>
      <c r="E27" s="299"/>
      <c r="F27" s="367"/>
      <c r="G27" s="326"/>
      <c r="H27" s="299"/>
      <c r="I27" s="343"/>
      <c r="J27" s="343"/>
      <c r="K27" s="343"/>
      <c r="L27" s="358"/>
      <c r="M27" s="299"/>
      <c r="N27" s="299"/>
      <c r="O27" s="368"/>
      <c r="Q27" s="360"/>
      <c r="R27" s="299"/>
      <c r="Z27" s="299"/>
    </row>
    <row r="28" spans="1:26" s="271" customFormat="1" ht="13.5" customHeight="1" x14ac:dyDescent="0.2">
      <c r="B28" s="307" t="s">
        <v>281</v>
      </c>
      <c r="C28" s="277" t="s">
        <v>240</v>
      </c>
      <c r="D28" s="326">
        <f>D25</f>
        <v>249.405</v>
      </c>
      <c r="E28" s="321">
        <v>4.0064099999999998</v>
      </c>
      <c r="F28" s="305">
        <f>E28*D28</f>
        <v>999.21868604999997</v>
      </c>
      <c r="G28" s="299"/>
      <c r="H28" s="322">
        <f>E28</f>
        <v>4.0064099999999998</v>
      </c>
      <c r="I28" s="305">
        <f>F28</f>
        <v>999.21868604999997</v>
      </c>
      <c r="J28" s="343"/>
      <c r="K28" s="305">
        <f>I28-F28</f>
        <v>0</v>
      </c>
      <c r="L28" s="328">
        <f>ROUND(K28/F28,5)</f>
        <v>0</v>
      </c>
      <c r="M28" s="359"/>
      <c r="N28" s="359"/>
      <c r="O28" s="369"/>
      <c r="P28" s="336"/>
      <c r="Q28" s="336"/>
      <c r="R28" s="299"/>
      <c r="Z28" s="299"/>
    </row>
    <row r="29" spans="1:26" s="271" customFormat="1" ht="13.5" customHeight="1" x14ac:dyDescent="0.2">
      <c r="B29" s="356"/>
      <c r="C29" s="299"/>
      <c r="D29" s="299"/>
      <c r="E29" s="370"/>
      <c r="F29" s="343"/>
      <c r="G29" s="326"/>
      <c r="H29" s="338"/>
      <c r="I29" s="343"/>
      <c r="J29" s="343"/>
      <c r="K29" s="343"/>
      <c r="L29" s="363"/>
      <c r="M29" s="371"/>
      <c r="N29" s="371"/>
      <c r="O29" s="368"/>
      <c r="P29" s="336"/>
      <c r="Q29" s="336"/>
      <c r="R29" s="299"/>
      <c r="Z29" s="299"/>
    </row>
    <row r="30" spans="1:26" s="271" customFormat="1" ht="13.5" customHeight="1" x14ac:dyDescent="0.2">
      <c r="B30" s="312" t="s">
        <v>278</v>
      </c>
      <c r="C30" s="313"/>
      <c r="D30" s="299"/>
      <c r="E30" s="299"/>
      <c r="F30" s="305">
        <f>F26+F28</f>
        <v>1224.6486860499999</v>
      </c>
      <c r="G30" s="326"/>
      <c r="H30" s="299"/>
      <c r="I30" s="305">
        <f>I26+I28</f>
        <v>1228.51868605</v>
      </c>
      <c r="J30" s="343"/>
      <c r="K30" s="305">
        <f>K26+K28</f>
        <v>3.8700000000000045</v>
      </c>
      <c r="L30" s="328">
        <f>ROUND(K30/F30,5)</f>
        <v>3.16E-3</v>
      </c>
      <c r="M30" s="299"/>
      <c r="N30" s="299"/>
      <c r="O30" s="372"/>
      <c r="P30" s="336"/>
      <c r="Q30" s="330"/>
      <c r="R30" s="299"/>
      <c r="Z30" s="299"/>
    </row>
    <row r="31" spans="1:26" s="271" customFormat="1" ht="13.5" customHeight="1" x14ac:dyDescent="0.2">
      <c r="B31" s="356"/>
      <c r="C31" s="299"/>
      <c r="D31" s="299"/>
      <c r="E31" s="299"/>
      <c r="F31" s="373"/>
      <c r="G31" s="326"/>
      <c r="H31" s="299"/>
      <c r="I31" s="343"/>
      <c r="J31" s="343"/>
      <c r="K31" s="343"/>
      <c r="L31" s="363"/>
      <c r="M31" s="371"/>
      <c r="N31" s="371"/>
      <c r="P31" s="336"/>
      <c r="Q31" s="299"/>
      <c r="R31" s="299"/>
      <c r="Z31" s="299"/>
    </row>
    <row r="32" spans="1:26" s="271" customFormat="1" ht="13.5" customHeight="1" x14ac:dyDescent="0.2">
      <c r="B32" s="345"/>
      <c r="C32" s="346"/>
      <c r="D32" s="346"/>
      <c r="E32" s="346"/>
      <c r="F32" s="347"/>
      <c r="G32" s="346"/>
      <c r="H32" s="346"/>
      <c r="I32" s="347"/>
      <c r="J32" s="347"/>
      <c r="K32" s="347"/>
      <c r="L32" s="349"/>
      <c r="M32" s="299"/>
      <c r="N32" s="299"/>
      <c r="P32" s="336"/>
      <c r="Q32" s="360"/>
      <c r="R32" s="299"/>
      <c r="Z32" s="299"/>
    </row>
    <row r="33" spans="2:26" s="271" customFormat="1" ht="13.5" customHeight="1" x14ac:dyDescent="0.2">
      <c r="B33" s="299"/>
      <c r="C33" s="299"/>
      <c r="D33" s="299"/>
      <c r="E33" s="374"/>
      <c r="F33" s="373"/>
      <c r="G33" s="326"/>
      <c r="H33" s="299"/>
      <c r="I33" s="343"/>
      <c r="J33" s="343"/>
      <c r="K33" s="343"/>
      <c r="L33" s="351"/>
      <c r="M33" s="299"/>
      <c r="N33" s="299"/>
      <c r="P33" s="336"/>
      <c r="Q33" s="360"/>
      <c r="R33" s="299"/>
      <c r="Z33" s="299"/>
    </row>
    <row r="34" spans="2:26" s="271" customFormat="1" ht="13.5" customHeight="1" x14ac:dyDescent="0.2">
      <c r="B34" s="299"/>
      <c r="C34" s="299"/>
      <c r="D34" s="299"/>
      <c r="E34" s="374"/>
      <c r="F34" s="373"/>
      <c r="G34" s="326"/>
      <c r="H34" s="299"/>
      <c r="I34" s="343"/>
      <c r="J34" s="343"/>
      <c r="K34" s="343"/>
      <c r="L34" s="351"/>
      <c r="M34" s="299"/>
      <c r="N34" s="299"/>
      <c r="P34" s="336"/>
      <c r="Q34" s="360"/>
      <c r="R34" s="299"/>
      <c r="Z34" s="299"/>
    </row>
    <row r="35" spans="2:26" ht="13.5" customHeight="1" x14ac:dyDescent="0.2">
      <c r="B35" s="352" t="s">
        <v>282</v>
      </c>
      <c r="C35" s="301"/>
      <c r="D35" s="302"/>
      <c r="E35" s="354"/>
      <c r="F35" s="355"/>
      <c r="G35" s="304"/>
      <c r="H35" s="303"/>
      <c r="I35" s="305"/>
      <c r="J35" s="305"/>
      <c r="K35" s="305"/>
      <c r="L35" s="328"/>
      <c r="M35" s="277"/>
      <c r="N35" s="277"/>
      <c r="P35" s="336"/>
      <c r="Q35" s="334"/>
      <c r="R35" s="277"/>
      <c r="Z35" s="277"/>
    </row>
    <row r="36" spans="2:26" ht="13.5" customHeight="1" x14ac:dyDescent="0.2">
      <c r="B36" s="324"/>
      <c r="C36" s="331"/>
      <c r="D36" s="299"/>
      <c r="E36" s="299"/>
      <c r="F36" s="309"/>
      <c r="G36" s="375"/>
      <c r="H36" s="277"/>
      <c r="I36" s="309"/>
      <c r="J36" s="309"/>
      <c r="K36" s="309"/>
      <c r="L36" s="310"/>
      <c r="M36" s="276"/>
      <c r="N36" s="276"/>
      <c r="O36" s="376" t="s">
        <v>283</v>
      </c>
      <c r="P36" s="336"/>
      <c r="Q36" s="334"/>
      <c r="R36" s="277"/>
      <c r="Z36" s="277"/>
    </row>
    <row r="37" spans="2:26" ht="13.5" customHeight="1" x14ac:dyDescent="0.2">
      <c r="B37" s="356" t="s">
        <v>284</v>
      </c>
      <c r="C37" s="377" t="s">
        <v>241</v>
      </c>
      <c r="D37" s="314">
        <v>509.99942105263153</v>
      </c>
      <c r="E37" s="315">
        <v>9.85</v>
      </c>
      <c r="F37" s="309">
        <f>ROUND(D37*E37,2)</f>
        <v>5023.49</v>
      </c>
      <c r="H37" s="361">
        <f>ROUND(E37*(1+$O$41),2)</f>
        <v>9.69</v>
      </c>
      <c r="I37" s="309">
        <f>ROUND(D37*H37,2)</f>
        <v>4941.8900000000003</v>
      </c>
      <c r="J37" s="309"/>
      <c r="K37" s="309">
        <f>I37-F37</f>
        <v>-81.599999999999454</v>
      </c>
      <c r="L37" s="317">
        <f>ROUND(K37/F37,5)</f>
        <v>-1.6240000000000001E-2</v>
      </c>
      <c r="M37" s="378"/>
      <c r="N37" s="378"/>
      <c r="O37" s="318">
        <v>-82.898261263035238</v>
      </c>
      <c r="P37" s="336"/>
      <c r="Q37" s="319">
        <f>H37/E37-1</f>
        <v>-1.624365482233503E-2</v>
      </c>
      <c r="R37" s="277"/>
      <c r="Z37" s="277"/>
    </row>
    <row r="38" spans="2:26" ht="13.5" customHeight="1" x14ac:dyDescent="0.2">
      <c r="B38" s="307"/>
      <c r="C38" s="277"/>
      <c r="D38" s="327"/>
      <c r="E38" s="327"/>
      <c r="F38" s="309"/>
      <c r="G38" s="277"/>
      <c r="H38" s="277"/>
      <c r="I38" s="309"/>
      <c r="J38" s="309"/>
      <c r="K38" s="309"/>
      <c r="L38" s="317"/>
      <c r="M38" s="378"/>
      <c r="N38" s="378"/>
      <c r="O38" s="323" t="s">
        <v>276</v>
      </c>
      <c r="P38" s="336"/>
      <c r="Q38" s="319"/>
      <c r="R38" s="277"/>
      <c r="Z38" s="277"/>
    </row>
    <row r="39" spans="2:26" ht="13.5" customHeight="1" x14ac:dyDescent="0.2">
      <c r="B39" s="339" t="s">
        <v>285</v>
      </c>
      <c r="C39" s="325"/>
      <c r="D39" s="314">
        <v>9689.9889999999996</v>
      </c>
      <c r="E39" s="314"/>
      <c r="F39" s="332"/>
      <c r="H39" s="277"/>
      <c r="I39" s="309"/>
      <c r="J39" s="309"/>
      <c r="K39" s="309"/>
      <c r="L39" s="310"/>
      <c r="M39" s="378"/>
      <c r="N39" s="378"/>
      <c r="O39" s="329">
        <f>K37-O37</f>
        <v>1.2982612630357835</v>
      </c>
      <c r="P39" s="336"/>
      <c r="Q39" s="319"/>
      <c r="R39" s="277"/>
      <c r="Z39" s="277"/>
    </row>
    <row r="40" spans="2:26" ht="13.5" customHeight="1" x14ac:dyDescent="0.2">
      <c r="B40" s="307"/>
      <c r="C40" s="277"/>
      <c r="D40" s="299"/>
      <c r="E40" s="299"/>
      <c r="F40" s="379"/>
      <c r="G40" s="326"/>
      <c r="H40" s="299"/>
      <c r="I40" s="343"/>
      <c r="J40" s="309"/>
      <c r="K40" s="309"/>
      <c r="L40" s="310"/>
      <c r="M40" s="319"/>
      <c r="N40" s="319"/>
      <c r="P40" s="336"/>
      <c r="Q40" s="319"/>
      <c r="R40" s="277"/>
      <c r="Z40" s="277"/>
    </row>
    <row r="41" spans="2:26" ht="13.5" customHeight="1" x14ac:dyDescent="0.2">
      <c r="B41" s="307" t="s">
        <v>277</v>
      </c>
      <c r="C41" s="325"/>
      <c r="D41" s="326">
        <f>D39</f>
        <v>9689.9889999999996</v>
      </c>
      <c r="E41" s="321">
        <v>0.41737000000000002</v>
      </c>
      <c r="F41" s="305">
        <f>D41*E41</f>
        <v>4044.3107089300001</v>
      </c>
      <c r="G41" s="380"/>
      <c r="H41" s="381">
        <f>ROUND(7.77/19,5)</f>
        <v>0.40894999999999998</v>
      </c>
      <c r="I41" s="305">
        <f>D41*H41</f>
        <v>3962.7210015499995</v>
      </c>
      <c r="J41" s="309"/>
      <c r="K41" s="305">
        <f>I41-F41</f>
        <v>-81.589707380000618</v>
      </c>
      <c r="L41" s="328">
        <f>ROUND(K41/F41,5)</f>
        <v>-2.017E-2</v>
      </c>
      <c r="M41" s="277"/>
      <c r="N41" s="277"/>
      <c r="O41" s="335">
        <v>-1.6155942202292047E-2</v>
      </c>
      <c r="P41" s="336"/>
      <c r="Q41" s="336"/>
      <c r="R41" s="277"/>
      <c r="Z41" s="277"/>
    </row>
    <row r="42" spans="2:26" ht="13.5" customHeight="1" x14ac:dyDescent="0.2">
      <c r="B42" s="307"/>
      <c r="C42" s="277"/>
      <c r="D42" s="299"/>
      <c r="E42" s="299"/>
      <c r="F42" s="309"/>
      <c r="H42" s="277"/>
      <c r="I42" s="309"/>
      <c r="J42" s="309"/>
      <c r="K42" s="309"/>
      <c r="L42" s="382"/>
      <c r="O42" s="369"/>
      <c r="P42" s="336"/>
      <c r="Q42" s="336"/>
      <c r="R42" s="277"/>
      <c r="Z42" s="277"/>
    </row>
    <row r="43" spans="2:26" ht="13.5" customHeight="1" x14ac:dyDescent="0.2">
      <c r="B43" s="307" t="s">
        <v>278</v>
      </c>
      <c r="C43" s="277"/>
      <c r="D43" s="299"/>
      <c r="E43" s="299"/>
      <c r="F43" s="305">
        <f>F37+F41</f>
        <v>9067.8007089300008</v>
      </c>
      <c r="H43" s="277"/>
      <c r="I43" s="305">
        <f>I37+I41</f>
        <v>8904.6110015499999</v>
      </c>
      <c r="J43" s="309"/>
      <c r="K43" s="305">
        <f>K37+K41</f>
        <v>-163.18970738000007</v>
      </c>
      <c r="L43" s="328">
        <f>ROUND(K43/F43,5)</f>
        <v>-1.7999999999999999E-2</v>
      </c>
      <c r="M43" s="276"/>
      <c r="N43" s="276"/>
      <c r="O43" s="336"/>
      <c r="P43" s="336"/>
      <c r="Q43" s="336"/>
      <c r="R43" s="277"/>
      <c r="Z43" s="277"/>
    </row>
    <row r="44" spans="2:26" ht="13.5" customHeight="1" x14ac:dyDescent="0.2">
      <c r="B44" s="307"/>
      <c r="C44" s="277"/>
      <c r="D44" s="299"/>
      <c r="E44" s="299"/>
      <c r="F44" s="343"/>
      <c r="H44" s="277"/>
      <c r="I44" s="309"/>
      <c r="J44" s="309"/>
      <c r="K44" s="309"/>
      <c r="L44" s="382"/>
      <c r="M44" s="319"/>
      <c r="N44" s="319"/>
      <c r="O44" s="383"/>
      <c r="P44" s="384"/>
      <c r="Q44" s="290"/>
      <c r="R44" s="277"/>
      <c r="Z44" s="277"/>
    </row>
    <row r="45" spans="2:26" ht="13.5" customHeight="1" x14ac:dyDescent="0.2">
      <c r="B45" s="385"/>
      <c r="C45" s="386"/>
      <c r="D45" s="346"/>
      <c r="E45" s="346"/>
      <c r="F45" s="387"/>
      <c r="G45" s="388"/>
      <c r="H45" s="389"/>
      <c r="I45" s="390"/>
      <c r="J45" s="390"/>
      <c r="K45" s="389"/>
      <c r="L45" s="391"/>
      <c r="M45" s="364"/>
      <c r="N45" s="364"/>
      <c r="Q45" s="334"/>
      <c r="R45" s="277"/>
      <c r="Z45" s="277"/>
    </row>
    <row r="46" spans="2:26" ht="13.5" customHeight="1" x14ac:dyDescent="0.2">
      <c r="B46" s="265"/>
      <c r="K46" s="277"/>
      <c r="M46" s="319"/>
      <c r="N46" s="319"/>
      <c r="Q46" s="334"/>
      <c r="R46" s="277"/>
      <c r="Z46" s="277"/>
    </row>
    <row r="47" spans="2:26" x14ac:dyDescent="0.2">
      <c r="B47" s="270" t="s">
        <v>286</v>
      </c>
      <c r="K47" s="277"/>
      <c r="M47" s="364"/>
      <c r="N47" s="364"/>
      <c r="Q47" s="334"/>
      <c r="R47" s="277"/>
      <c r="Z47" s="277"/>
    </row>
    <row r="48" spans="2:26" x14ac:dyDescent="0.2">
      <c r="B48" s="265"/>
      <c r="D48" s="392" t="s">
        <v>240</v>
      </c>
      <c r="F48" s="292" t="s">
        <v>5</v>
      </c>
      <c r="I48" s="294" t="s">
        <v>1</v>
      </c>
      <c r="K48" s="294" t="s">
        <v>24</v>
      </c>
      <c r="Q48" s="334"/>
      <c r="R48" s="277"/>
      <c r="Z48" s="277"/>
    </row>
    <row r="49" spans="2:26" x14ac:dyDescent="0.2">
      <c r="B49" s="265" t="s">
        <v>287</v>
      </c>
      <c r="F49" s="393">
        <f>F16+F28+F41</f>
        <v>241008792.87633085</v>
      </c>
      <c r="I49" s="393">
        <f>I16+I28+I41</f>
        <v>236405788.01249197</v>
      </c>
      <c r="J49" s="393"/>
      <c r="K49" s="309">
        <f>I49-F49</f>
        <v>-4603004.8638388813</v>
      </c>
      <c r="Q49" s="334"/>
      <c r="R49" s="277"/>
      <c r="Z49" s="277"/>
    </row>
    <row r="50" spans="2:26" x14ac:dyDescent="0.2">
      <c r="B50" s="265" t="s">
        <v>288</v>
      </c>
      <c r="F50" s="393">
        <f>F14+F26+F37</f>
        <v>304293738.14197642</v>
      </c>
      <c r="G50" s="393"/>
      <c r="H50" s="393"/>
      <c r="I50" s="393">
        <f>I14+I26+I37</f>
        <v>299354468.56167698</v>
      </c>
      <c r="J50" s="393"/>
      <c r="K50" s="309">
        <f>I50-F50</f>
        <v>-4939269.580299437</v>
      </c>
      <c r="L50" s="394">
        <f>K50/F50</f>
        <v>-1.6231913316582573E-2</v>
      </c>
    </row>
    <row r="51" spans="2:26" x14ac:dyDescent="0.2">
      <c r="B51" s="265" t="s">
        <v>289</v>
      </c>
      <c r="D51" s="395">
        <f>D13+D25+D39</f>
        <v>577541090.47699988</v>
      </c>
      <c r="F51" s="305">
        <f>F49+F50</f>
        <v>545302531.01830721</v>
      </c>
      <c r="I51" s="305">
        <f>I49+I50</f>
        <v>535760256.57416892</v>
      </c>
      <c r="K51" s="305">
        <f>K49+K50</f>
        <v>-9542274.4441383183</v>
      </c>
      <c r="L51" s="394">
        <f>K51/F51</f>
        <v>-1.7499046678398709E-2</v>
      </c>
    </row>
    <row r="52" spans="2:26" x14ac:dyDescent="0.2">
      <c r="B52" s="265"/>
      <c r="F52" s="393"/>
      <c r="I52" s="393"/>
      <c r="K52" s="309"/>
    </row>
    <row r="53" spans="2:26" x14ac:dyDescent="0.2">
      <c r="B53" s="265" t="s">
        <v>290</v>
      </c>
      <c r="F53" s="396"/>
      <c r="K53" s="277"/>
      <c r="O53" s="397"/>
      <c r="P53" s="393"/>
    </row>
    <row r="54" spans="2:26" x14ac:dyDescent="0.2">
      <c r="B54" s="265"/>
      <c r="F54" s="265"/>
    </row>
    <row r="55" spans="2:26" x14ac:dyDescent="0.2">
      <c r="B55" s="265"/>
      <c r="F55" s="265"/>
    </row>
    <row r="56" spans="2:26" s="398" customFormat="1" x14ac:dyDescent="0.2">
      <c r="E56" s="399"/>
    </row>
  </sheetData>
  <dataConsolidate/>
  <printOptions horizontalCentered="1"/>
  <pageMargins left="0.5" right="0.5" top="1" bottom="0.7" header="0.75" footer="0.5"/>
  <pageSetup scale="75" fitToHeight="2" orientation="landscape" blackAndWhite="1" r:id="rId1"/>
  <headerFooter alignWithMargins="0">
    <oddFooter>&amp;L&amp;F 
&amp;A&amp;C&amp;P&amp;R&amp;D</oddFooter>
  </headerFooter>
  <rowBreaks count="1" manualBreakCount="1">
    <brk id="46" min="1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148"/>
  <sheetViews>
    <sheetView topLeftCell="A38" zoomScaleNormal="100" workbookViewId="0">
      <selection activeCell="F38" sqref="F38"/>
    </sheetView>
  </sheetViews>
  <sheetFormatPr defaultRowHeight="12.75" x14ac:dyDescent="0.2"/>
  <cols>
    <col min="1" max="1" width="2.42578125" style="400" customWidth="1"/>
    <col min="2" max="2" width="31.42578125" style="400" bestFit="1" customWidth="1"/>
    <col min="3" max="3" width="9.85546875" style="400" bestFit="1" customWidth="1"/>
    <col min="4" max="4" width="12.5703125" style="400" bestFit="1" customWidth="1"/>
    <col min="5" max="5" width="11.28515625" style="400" bestFit="1" customWidth="1"/>
    <col min="6" max="6" width="14" style="564" bestFit="1" customWidth="1"/>
    <col min="7" max="7" width="6" style="548" customWidth="1"/>
    <col min="8" max="8" width="11" style="507" bestFit="1" customWidth="1"/>
    <col min="9" max="9" width="14.85546875" style="564" bestFit="1" customWidth="1"/>
    <col min="10" max="10" width="2.28515625" style="564" customWidth="1"/>
    <col min="11" max="11" width="12.85546875" style="564" bestFit="1" customWidth="1"/>
    <col min="12" max="12" width="7.28515625" style="549" customWidth="1"/>
    <col min="13" max="13" width="2.140625" style="415" customWidth="1"/>
    <col min="14" max="14" width="2" style="558" customWidth="1"/>
    <col min="15" max="15" width="18.7109375" style="400" bestFit="1" customWidth="1"/>
    <col min="16" max="16" width="2.28515625" style="400" customWidth="1"/>
    <col min="17" max="17" width="8.85546875" style="418" bestFit="1" customWidth="1"/>
    <col min="18" max="16384" width="9.140625" style="400"/>
  </cols>
  <sheetData>
    <row r="2" spans="1:17" x14ac:dyDescent="0.2">
      <c r="B2" s="267" t="s">
        <v>0</v>
      </c>
      <c r="C2" s="401"/>
      <c r="D2" s="401"/>
      <c r="E2" s="401"/>
      <c r="F2" s="402"/>
      <c r="G2" s="403"/>
      <c r="H2" s="404"/>
      <c r="I2" s="402"/>
      <c r="J2" s="402"/>
      <c r="K2" s="402"/>
      <c r="L2" s="405"/>
      <c r="M2" s="406"/>
      <c r="N2" s="406"/>
      <c r="O2" s="401"/>
      <c r="P2" s="401"/>
      <c r="Q2" s="407"/>
    </row>
    <row r="3" spans="1:17" x14ac:dyDescent="0.2">
      <c r="B3" s="169" t="s">
        <v>441</v>
      </c>
      <c r="C3" s="401"/>
      <c r="D3" s="401"/>
      <c r="E3" s="401"/>
      <c r="F3" s="401"/>
      <c r="G3" s="404"/>
      <c r="H3" s="404"/>
      <c r="I3" s="401"/>
      <c r="J3" s="401"/>
      <c r="K3" s="401"/>
      <c r="L3" s="405"/>
      <c r="M3" s="401"/>
      <c r="N3" s="406"/>
      <c r="O3" s="401"/>
      <c r="P3" s="401"/>
      <c r="Q3" s="407"/>
    </row>
    <row r="4" spans="1:17" x14ac:dyDescent="0.2">
      <c r="B4" s="169" t="s">
        <v>417</v>
      </c>
      <c r="C4" s="401"/>
      <c r="D4" s="401"/>
      <c r="E4" s="401"/>
      <c r="F4" s="401"/>
      <c r="G4" s="404"/>
      <c r="H4" s="404"/>
      <c r="I4" s="401"/>
      <c r="J4" s="401"/>
      <c r="K4" s="401"/>
      <c r="L4" s="405"/>
      <c r="M4" s="401"/>
      <c r="N4" s="406"/>
      <c r="O4" s="401"/>
      <c r="P4" s="401"/>
      <c r="Q4" s="407"/>
    </row>
    <row r="5" spans="1:17" x14ac:dyDescent="0.2">
      <c r="B5" s="267" t="s">
        <v>264</v>
      </c>
      <c r="C5" s="401"/>
      <c r="D5" s="401"/>
      <c r="E5" s="401"/>
      <c r="F5" s="401"/>
      <c r="G5" s="404"/>
      <c r="H5" s="404"/>
      <c r="I5" s="401"/>
      <c r="J5" s="401"/>
      <c r="K5" s="401"/>
      <c r="L5" s="405"/>
      <c r="M5" s="401"/>
      <c r="N5" s="408"/>
      <c r="O5" s="409"/>
      <c r="P5" s="401"/>
      <c r="Q5" s="407"/>
    </row>
    <row r="6" spans="1:17" ht="13.5" customHeight="1" x14ac:dyDescent="0.2">
      <c r="B6" s="410"/>
      <c r="C6" s="410"/>
      <c r="D6" s="410"/>
      <c r="E6" s="410"/>
      <c r="F6" s="411"/>
      <c r="G6" s="412"/>
      <c r="H6" s="413"/>
      <c r="I6" s="411"/>
      <c r="J6" s="411"/>
      <c r="K6" s="411"/>
      <c r="L6" s="414"/>
      <c r="N6" s="416"/>
      <c r="O6" s="417"/>
    </row>
    <row r="7" spans="1:17" ht="12" customHeight="1" x14ac:dyDescent="0.2">
      <c r="B7" s="419"/>
      <c r="C7" s="420"/>
      <c r="D7" s="421" t="s">
        <v>265</v>
      </c>
      <c r="E7" s="285" t="s">
        <v>5</v>
      </c>
      <c r="F7" s="422"/>
      <c r="G7" s="423"/>
      <c r="H7" s="424" t="s">
        <v>1</v>
      </c>
      <c r="I7" s="422"/>
      <c r="J7" s="425"/>
      <c r="K7" s="791" t="s">
        <v>266</v>
      </c>
      <c r="L7" s="792"/>
      <c r="M7" s="426"/>
      <c r="N7" s="408"/>
      <c r="O7" s="289" t="s">
        <v>267</v>
      </c>
      <c r="Q7" s="290" t="s">
        <v>268</v>
      </c>
    </row>
    <row r="8" spans="1:17" x14ac:dyDescent="0.2">
      <c r="B8" s="427" t="s">
        <v>215</v>
      </c>
      <c r="C8" s="297" t="s">
        <v>236</v>
      </c>
      <c r="D8" s="428" t="s">
        <v>269</v>
      </c>
      <c r="E8" s="297" t="s">
        <v>22</v>
      </c>
      <c r="F8" s="429" t="s">
        <v>270</v>
      </c>
      <c r="G8" s="428"/>
      <c r="H8" s="428" t="s">
        <v>22</v>
      </c>
      <c r="I8" s="429" t="s">
        <v>270</v>
      </c>
      <c r="J8" s="429"/>
      <c r="K8" s="429" t="s">
        <v>271</v>
      </c>
      <c r="L8" s="430" t="s">
        <v>272</v>
      </c>
      <c r="M8" s="431"/>
      <c r="N8" s="432"/>
      <c r="O8" s="297" t="s">
        <v>273</v>
      </c>
      <c r="Q8" s="298" t="s">
        <v>20</v>
      </c>
    </row>
    <row r="9" spans="1:17" x14ac:dyDescent="0.2">
      <c r="A9" s="417"/>
      <c r="B9" s="289"/>
      <c r="C9" s="289"/>
      <c r="D9" s="289"/>
      <c r="E9" s="289"/>
      <c r="F9" s="433"/>
      <c r="G9" s="423"/>
      <c r="H9" s="423"/>
      <c r="I9" s="433"/>
      <c r="J9" s="433"/>
      <c r="K9" s="433"/>
      <c r="L9" s="434"/>
      <c r="M9" s="431"/>
      <c r="N9" s="432"/>
      <c r="O9" s="417"/>
      <c r="P9" s="417"/>
      <c r="Q9" s="435"/>
    </row>
    <row r="10" spans="1:17" x14ac:dyDescent="0.2">
      <c r="B10" s="436" t="s">
        <v>291</v>
      </c>
      <c r="C10" s="437"/>
      <c r="D10" s="438"/>
      <c r="E10" s="438"/>
      <c r="F10" s="439"/>
      <c r="G10" s="440"/>
      <c r="H10" s="441"/>
      <c r="I10" s="439"/>
      <c r="J10" s="439"/>
      <c r="K10" s="439"/>
      <c r="L10" s="442"/>
      <c r="M10" s="443"/>
      <c r="N10" s="416"/>
      <c r="O10" s="417"/>
      <c r="P10" s="417"/>
      <c r="Q10" s="435"/>
    </row>
    <row r="11" spans="1:17" ht="15" x14ac:dyDescent="0.25">
      <c r="B11" s="444"/>
      <c r="C11" s="417"/>
      <c r="D11" s="445"/>
      <c r="E11" s="417"/>
      <c r="F11" s="446"/>
      <c r="G11" s="447"/>
      <c r="H11" s="448"/>
      <c r="I11" s="446"/>
      <c r="J11" s="446"/>
      <c r="K11" s="446"/>
      <c r="L11" s="449"/>
      <c r="M11" s="443"/>
      <c r="N11" s="416"/>
      <c r="O11" s="450" t="s">
        <v>292</v>
      </c>
      <c r="P11" s="417"/>
      <c r="Q11" s="435"/>
    </row>
    <row r="12" spans="1:17" x14ac:dyDescent="0.2">
      <c r="B12" s="451" t="s">
        <v>237</v>
      </c>
      <c r="C12" s="452" t="s">
        <v>238</v>
      </c>
      <c r="D12" s="453">
        <v>679614.01800213428</v>
      </c>
      <c r="E12" s="454">
        <v>33.42</v>
      </c>
      <c r="F12" s="446">
        <f>ROUND(D12*E12,2)</f>
        <v>22712700.48</v>
      </c>
      <c r="G12" s="447"/>
      <c r="H12" s="361">
        <f>ROUND(E12*(1+$O$16),2)</f>
        <v>32.159999999999997</v>
      </c>
      <c r="I12" s="455">
        <f>ROUND(D12*H12,2)</f>
        <v>21856386.82</v>
      </c>
      <c r="J12" s="446"/>
      <c r="K12" s="446">
        <f>I12-F12</f>
        <v>-856313.66000000015</v>
      </c>
      <c r="L12" s="449"/>
      <c r="M12" s="443"/>
      <c r="N12" s="416"/>
      <c r="O12" s="456">
        <v>-1436063.4611234923</v>
      </c>
      <c r="P12" s="417"/>
      <c r="Q12" s="319">
        <f>H12/E12-1</f>
        <v>-3.7701974865350207E-2</v>
      </c>
    </row>
    <row r="13" spans="1:17" x14ac:dyDescent="0.2">
      <c r="B13" s="444" t="s">
        <v>239</v>
      </c>
      <c r="C13" s="457" t="s">
        <v>240</v>
      </c>
      <c r="D13" s="453">
        <v>214564223.29299998</v>
      </c>
      <c r="E13" s="458">
        <v>0.30626999999999999</v>
      </c>
      <c r="F13" s="446">
        <f>ROUND(D13*E13,2)</f>
        <v>65714584.670000002</v>
      </c>
      <c r="G13" s="447"/>
      <c r="H13" s="459">
        <f>ROUND(E13*(1+$O$16),5)</f>
        <v>0.29475000000000001</v>
      </c>
      <c r="I13" s="455">
        <f>ROUND(D13*H13,2)</f>
        <v>63242804.82</v>
      </c>
      <c r="J13" s="446"/>
      <c r="K13" s="446">
        <f>I13-F13</f>
        <v>-2471779.8500000015</v>
      </c>
      <c r="L13" s="449"/>
      <c r="M13" s="443"/>
      <c r="N13" s="416"/>
      <c r="O13" s="460" t="s">
        <v>276</v>
      </c>
      <c r="P13" s="417"/>
      <c r="Q13" s="319">
        <f>H13/E13-1</f>
        <v>-3.7613870114604708E-2</v>
      </c>
    </row>
    <row r="14" spans="1:17" x14ac:dyDescent="0.2">
      <c r="B14" s="444" t="s">
        <v>87</v>
      </c>
      <c r="C14" s="457"/>
      <c r="D14" s="461">
        <f>D13</f>
        <v>214564223.29299998</v>
      </c>
      <c r="E14" s="458">
        <v>0</v>
      </c>
      <c r="F14" s="446">
        <f>ROUND(D14*E14,2)</f>
        <v>0</v>
      </c>
      <c r="G14" s="447"/>
      <c r="H14" s="458">
        <v>8.8199999999999997E-3</v>
      </c>
      <c r="I14" s="446">
        <f>ROUND(D14*H14,2)</f>
        <v>1892456.45</v>
      </c>
      <c r="J14" s="462"/>
      <c r="K14" s="446">
        <f>I14-F14</f>
        <v>1892456.45</v>
      </c>
      <c r="L14" s="463"/>
      <c r="M14" s="431"/>
      <c r="N14" s="431"/>
      <c r="O14" s="464">
        <f>K15+K27-O12</f>
        <v>-31.718876509461552</v>
      </c>
      <c r="P14" s="417"/>
      <c r="Q14" s="435"/>
    </row>
    <row r="15" spans="1:17" x14ac:dyDescent="0.2">
      <c r="B15" s="339" t="s">
        <v>280</v>
      </c>
      <c r="C15" s="465"/>
      <c r="D15" s="447"/>
      <c r="E15" s="466"/>
      <c r="F15" s="439">
        <f>SUM(F12:F14)</f>
        <v>88427285.150000006</v>
      </c>
      <c r="G15" s="447"/>
      <c r="H15" s="447"/>
      <c r="I15" s="467">
        <f>SUM(I12:I14)</f>
        <v>86991648.090000004</v>
      </c>
      <c r="J15" s="446"/>
      <c r="K15" s="439">
        <f>SUM(K12:K14)</f>
        <v>-1435637.0600000017</v>
      </c>
      <c r="L15" s="442">
        <f>ROUND(K15/F15,5)</f>
        <v>-1.6240000000000001E-2</v>
      </c>
      <c r="M15" s="443"/>
      <c r="N15" s="416"/>
      <c r="O15" s="468"/>
      <c r="P15" s="469"/>
      <c r="Q15" s="470"/>
    </row>
    <row r="16" spans="1:17" x14ac:dyDescent="0.2">
      <c r="B16" s="444"/>
      <c r="C16" s="417"/>
      <c r="D16" s="448"/>
      <c r="E16" s="466"/>
      <c r="F16" s="446"/>
      <c r="G16" s="447"/>
      <c r="H16" s="447"/>
      <c r="I16" s="455"/>
      <c r="J16" s="446"/>
      <c r="K16" s="446"/>
      <c r="L16" s="449"/>
      <c r="M16" s="443"/>
      <c r="N16" s="416"/>
      <c r="O16" s="471">
        <v>-3.7605143002000636E-2</v>
      </c>
      <c r="P16" s="417"/>
      <c r="Q16" s="435"/>
    </row>
    <row r="17" spans="1:17" ht="15" x14ac:dyDescent="0.25">
      <c r="B17" s="307" t="s">
        <v>277</v>
      </c>
      <c r="C17" s="457" t="s">
        <v>240</v>
      </c>
      <c r="D17" s="447">
        <f>D13</f>
        <v>214564223.29299998</v>
      </c>
      <c r="E17" s="217">
        <v>0.41065000000000002</v>
      </c>
      <c r="F17" s="446">
        <f>E17*D17</f>
        <v>88110798.295270443</v>
      </c>
      <c r="G17" s="448"/>
      <c r="H17" s="458">
        <v>0.40664</v>
      </c>
      <c r="I17" s="455">
        <f>H17*D17</f>
        <v>87250395.759865507</v>
      </c>
      <c r="J17" s="446"/>
      <c r="K17" s="446">
        <f>I17-F17</f>
        <v>-860402.53540493548</v>
      </c>
      <c r="L17" s="449">
        <f>ROUND(K17/F17,5)</f>
        <v>-9.7699999999999992E-3</v>
      </c>
      <c r="M17" s="443"/>
      <c r="N17" s="416"/>
      <c r="O17" s="289"/>
      <c r="P17" s="289"/>
      <c r="Q17" s="289"/>
    </row>
    <row r="18" spans="1:17" x14ac:dyDescent="0.2">
      <c r="B18" s="444"/>
      <c r="C18" s="417"/>
      <c r="D18" s="448"/>
      <c r="E18" s="472"/>
      <c r="F18" s="446"/>
      <c r="G18" s="473"/>
      <c r="H18" s="474"/>
      <c r="I18" s="455"/>
      <c r="J18" s="446"/>
      <c r="K18" s="446"/>
      <c r="L18" s="449"/>
      <c r="M18" s="443"/>
      <c r="N18" s="416"/>
      <c r="O18" s="475"/>
      <c r="P18" s="289"/>
      <c r="Q18" s="289"/>
    </row>
    <row r="19" spans="1:17" x14ac:dyDescent="0.2">
      <c r="B19" s="476" t="s">
        <v>278</v>
      </c>
      <c r="C19" s="417"/>
      <c r="D19" s="448"/>
      <c r="E19" s="417"/>
      <c r="F19" s="439">
        <f>F17+F15</f>
        <v>176538083.44527045</v>
      </c>
      <c r="G19" s="473"/>
      <c r="H19" s="477"/>
      <c r="I19" s="467">
        <f>I17+I15</f>
        <v>174242043.8498655</v>
      </c>
      <c r="J19" s="446"/>
      <c r="K19" s="439">
        <f>K15+K17</f>
        <v>-2296039.5954049369</v>
      </c>
      <c r="L19" s="442">
        <f>ROUND(K19/F19,5)</f>
        <v>-1.3010000000000001E-2</v>
      </c>
      <c r="M19" s="443"/>
      <c r="N19" s="416"/>
      <c r="O19" s="289"/>
      <c r="P19" s="289"/>
      <c r="Q19" s="289"/>
    </row>
    <row r="20" spans="1:17" x14ac:dyDescent="0.2">
      <c r="B20" s="478"/>
      <c r="C20" s="479"/>
      <c r="D20" s="480"/>
      <c r="E20" s="481"/>
      <c r="F20" s="482"/>
      <c r="G20" s="480"/>
      <c r="H20" s="483"/>
      <c r="I20" s="484"/>
      <c r="J20" s="485"/>
      <c r="K20" s="485"/>
      <c r="L20" s="486"/>
      <c r="M20" s="443"/>
      <c r="N20" s="416"/>
      <c r="O20" s="417"/>
    </row>
    <row r="21" spans="1:17" x14ac:dyDescent="0.2">
      <c r="A21" s="417"/>
      <c r="B21" s="417"/>
      <c r="C21" s="417"/>
      <c r="D21" s="448"/>
      <c r="E21" s="417"/>
      <c r="F21" s="487"/>
      <c r="G21" s="473"/>
      <c r="H21" s="477"/>
      <c r="I21" s="487"/>
      <c r="J21" s="487"/>
      <c r="K21" s="446"/>
      <c r="L21" s="488"/>
      <c r="M21" s="443"/>
      <c r="N21" s="416"/>
      <c r="O21" s="417"/>
    </row>
    <row r="22" spans="1:17" x14ac:dyDescent="0.2">
      <c r="A22" s="417"/>
      <c r="B22" s="489" t="s">
        <v>293</v>
      </c>
      <c r="C22" s="437"/>
      <c r="D22" s="438"/>
      <c r="E22" s="438"/>
      <c r="F22" s="439"/>
      <c r="G22" s="440"/>
      <c r="H22" s="441"/>
      <c r="I22" s="439"/>
      <c r="J22" s="439"/>
      <c r="K22" s="439"/>
      <c r="L22" s="442"/>
      <c r="M22" s="443"/>
      <c r="N22" s="416"/>
      <c r="O22" s="417"/>
    </row>
    <row r="23" spans="1:17" x14ac:dyDescent="0.2">
      <c r="A23" s="417"/>
      <c r="B23" s="444"/>
      <c r="C23" s="417"/>
      <c r="D23" s="445"/>
      <c r="E23" s="417"/>
      <c r="F23" s="446"/>
      <c r="G23" s="447"/>
      <c r="H23" s="448"/>
      <c r="I23" s="446"/>
      <c r="J23" s="446"/>
      <c r="K23" s="446"/>
      <c r="L23" s="449"/>
      <c r="M23" s="443"/>
      <c r="N23" s="416"/>
      <c r="O23" s="417"/>
      <c r="Q23" s="319">
        <f>H24/E24-1</f>
        <v>-3.7596234935661998E-2</v>
      </c>
    </row>
    <row r="24" spans="1:17" x14ac:dyDescent="0.2">
      <c r="A24" s="417"/>
      <c r="B24" s="451" t="s">
        <v>237</v>
      </c>
      <c r="C24" s="452" t="s">
        <v>238</v>
      </c>
      <c r="D24" s="453">
        <v>23</v>
      </c>
      <c r="E24" s="454">
        <v>367.59</v>
      </c>
      <c r="F24" s="446">
        <f>ROUND(D24*E24,2)</f>
        <v>8454.57</v>
      </c>
      <c r="G24" s="447"/>
      <c r="H24" s="361">
        <f>ROUND(E24*(1+$O$16),2)</f>
        <v>353.77</v>
      </c>
      <c r="I24" s="455">
        <f>ROUND(D24*H24,2)</f>
        <v>8136.71</v>
      </c>
      <c r="J24" s="446"/>
      <c r="K24" s="446">
        <f>I24-F24</f>
        <v>-317.85999999999967</v>
      </c>
      <c r="L24" s="449"/>
      <c r="M24" s="443"/>
      <c r="N24" s="416"/>
      <c r="O24" s="417"/>
      <c r="Q24" s="319">
        <f>H25/E25-1</f>
        <v>-3.7613870114604708E-2</v>
      </c>
    </row>
    <row r="25" spans="1:17" x14ac:dyDescent="0.2">
      <c r="A25" s="417"/>
      <c r="B25" s="444" t="s">
        <v>239</v>
      </c>
      <c r="C25" s="457" t="s">
        <v>240</v>
      </c>
      <c r="D25" s="453">
        <v>22880.93</v>
      </c>
      <c r="E25" s="458">
        <v>0.30626999999999999</v>
      </c>
      <c r="F25" s="446">
        <f>ROUND(D25*E25,2)</f>
        <v>7007.74</v>
      </c>
      <c r="G25" s="447"/>
      <c r="H25" s="459">
        <f>H13</f>
        <v>0.29475000000000001</v>
      </c>
      <c r="I25" s="455">
        <f>ROUND(D25*H25,2)</f>
        <v>6744.15</v>
      </c>
      <c r="J25" s="446"/>
      <c r="K25" s="446">
        <f>I25-F25</f>
        <v>-263.59000000000015</v>
      </c>
      <c r="L25" s="449"/>
      <c r="M25" s="443"/>
      <c r="N25" s="416"/>
      <c r="O25" s="417"/>
      <c r="Q25" s="319"/>
    </row>
    <row r="26" spans="1:17" x14ac:dyDescent="0.2">
      <c r="A26" s="417"/>
      <c r="B26" s="490" t="s">
        <v>87</v>
      </c>
      <c r="C26" s="457"/>
      <c r="D26" s="461">
        <f>D25</f>
        <v>22880.93</v>
      </c>
      <c r="E26" s="458">
        <v>-5.3899999999999998E-3</v>
      </c>
      <c r="F26" s="446">
        <f>ROUND(D26*E26,2)</f>
        <v>-123.33</v>
      </c>
      <c r="G26" s="447"/>
      <c r="H26" s="491">
        <v>0</v>
      </c>
      <c r="I26" s="455">
        <f>ROUND(D26*H26,2)</f>
        <v>0</v>
      </c>
      <c r="J26" s="446"/>
      <c r="K26" s="446">
        <f>I26-F26</f>
        <v>123.33</v>
      </c>
      <c r="L26" s="449"/>
      <c r="M26" s="443"/>
      <c r="N26" s="416"/>
      <c r="O26" s="417"/>
    </row>
    <row r="27" spans="1:17" x14ac:dyDescent="0.2">
      <c r="A27" s="417"/>
      <c r="B27" s="339" t="s">
        <v>280</v>
      </c>
      <c r="C27" s="465"/>
      <c r="D27" s="447"/>
      <c r="E27" s="466"/>
      <c r="F27" s="439">
        <f>SUM(F24:F26)</f>
        <v>15338.98</v>
      </c>
      <c r="G27" s="447"/>
      <c r="H27" s="447"/>
      <c r="I27" s="467">
        <f>SUM(I24:I26)</f>
        <v>14880.86</v>
      </c>
      <c r="J27" s="446"/>
      <c r="K27" s="467">
        <f>SUM(K24:K26)</f>
        <v>-458.11999999999983</v>
      </c>
      <c r="L27" s="442"/>
      <c r="M27" s="443"/>
      <c r="N27" s="416"/>
      <c r="O27" s="417"/>
    </row>
    <row r="28" spans="1:17" x14ac:dyDescent="0.2">
      <c r="A28" s="417"/>
      <c r="B28" s="444"/>
      <c r="C28" s="417"/>
      <c r="D28" s="448"/>
      <c r="E28" s="466"/>
      <c r="F28" s="446"/>
      <c r="G28" s="447"/>
      <c r="H28" s="447"/>
      <c r="I28" s="455"/>
      <c r="J28" s="446"/>
      <c r="K28" s="446"/>
      <c r="L28" s="449"/>
      <c r="M28" s="443"/>
      <c r="N28" s="416"/>
      <c r="O28" s="417"/>
    </row>
    <row r="29" spans="1:17" x14ac:dyDescent="0.2">
      <c r="A29" s="417"/>
      <c r="B29" s="492" t="s">
        <v>294</v>
      </c>
      <c r="C29" s="457" t="s">
        <v>240</v>
      </c>
      <c r="D29" s="447">
        <f>D25</f>
        <v>22880.93</v>
      </c>
      <c r="E29" s="458">
        <v>6.9999999999999999E-4</v>
      </c>
      <c r="F29" s="446">
        <f>E29*D29</f>
        <v>16.016651</v>
      </c>
      <c r="G29" s="448"/>
      <c r="H29" s="459">
        <f>E29</f>
        <v>6.9999999999999999E-4</v>
      </c>
      <c r="I29" s="455">
        <f>H29*D29</f>
        <v>16.016651</v>
      </c>
      <c r="J29" s="446"/>
      <c r="K29" s="446">
        <f>I29-F29</f>
        <v>0</v>
      </c>
      <c r="L29" s="449"/>
      <c r="M29" s="443"/>
      <c r="N29" s="416"/>
      <c r="O29" s="417"/>
    </row>
    <row r="30" spans="1:17" x14ac:dyDescent="0.2">
      <c r="A30" s="417"/>
      <c r="B30" s="476" t="s">
        <v>278</v>
      </c>
      <c r="C30" s="417"/>
      <c r="D30" s="448"/>
      <c r="E30" s="417"/>
      <c r="F30" s="439">
        <f>F29+F27</f>
        <v>15354.996650999999</v>
      </c>
      <c r="G30" s="473"/>
      <c r="H30" s="477"/>
      <c r="I30" s="467">
        <f>I29+I27</f>
        <v>14896.876651</v>
      </c>
      <c r="J30" s="446"/>
      <c r="K30" s="439">
        <f>K27+K29</f>
        <v>-458.11999999999983</v>
      </c>
      <c r="L30" s="442"/>
      <c r="M30" s="443"/>
      <c r="N30" s="416"/>
      <c r="O30" s="417"/>
    </row>
    <row r="31" spans="1:17" x14ac:dyDescent="0.2">
      <c r="A31" s="417"/>
      <c r="B31" s="478"/>
      <c r="C31" s="479"/>
      <c r="D31" s="480"/>
      <c r="E31" s="481"/>
      <c r="F31" s="482"/>
      <c r="G31" s="480"/>
      <c r="H31" s="483"/>
      <c r="I31" s="484"/>
      <c r="J31" s="485"/>
      <c r="K31" s="485"/>
      <c r="L31" s="486"/>
      <c r="M31" s="443"/>
      <c r="N31" s="416"/>
      <c r="O31" s="417"/>
    </row>
    <row r="32" spans="1:17" x14ac:dyDescent="0.2">
      <c r="A32" s="417"/>
      <c r="B32" s="417"/>
      <c r="C32" s="417"/>
      <c r="D32" s="448"/>
      <c r="E32" s="417"/>
      <c r="F32" s="487"/>
      <c r="G32" s="473"/>
      <c r="H32" s="477"/>
      <c r="I32" s="487"/>
      <c r="J32" s="487"/>
      <c r="K32" s="446"/>
      <c r="L32" s="488"/>
      <c r="M32" s="443"/>
      <c r="N32" s="416"/>
      <c r="O32" s="417"/>
    </row>
    <row r="33" spans="1:17" x14ac:dyDescent="0.2">
      <c r="A33" s="417"/>
      <c r="B33" s="436" t="s">
        <v>295</v>
      </c>
      <c r="C33" s="437"/>
      <c r="D33" s="438"/>
      <c r="E33" s="438"/>
      <c r="F33" s="439"/>
      <c r="G33" s="440"/>
      <c r="H33" s="441"/>
      <c r="I33" s="439"/>
      <c r="J33" s="439"/>
      <c r="K33" s="439"/>
      <c r="L33" s="442"/>
      <c r="M33" s="443"/>
      <c r="N33" s="416"/>
      <c r="O33" s="417"/>
    </row>
    <row r="34" spans="1:17" x14ac:dyDescent="0.2">
      <c r="A34" s="417"/>
      <c r="B34" s="444"/>
      <c r="C34" s="417"/>
      <c r="D34" s="445"/>
      <c r="E34" s="417"/>
      <c r="F34" s="446"/>
      <c r="G34" s="447"/>
      <c r="H34" s="448"/>
      <c r="I34" s="446"/>
      <c r="J34" s="446"/>
      <c r="K34" s="446"/>
      <c r="L34" s="449"/>
      <c r="M34" s="443"/>
      <c r="N34" s="416"/>
      <c r="O34" s="417"/>
    </row>
    <row r="35" spans="1:17" x14ac:dyDescent="0.2">
      <c r="A35" s="417"/>
      <c r="B35" s="451" t="s">
        <v>237</v>
      </c>
      <c r="C35" s="452" t="s">
        <v>238</v>
      </c>
      <c r="D35" s="461">
        <f>D12+D24</f>
        <v>679637.01800213428</v>
      </c>
      <c r="E35" s="493"/>
      <c r="F35" s="446">
        <f>F12+F24</f>
        <v>22721155.050000001</v>
      </c>
      <c r="G35" s="447"/>
      <c r="H35" s="493"/>
      <c r="I35" s="446">
        <f>I12+I24</f>
        <v>21864523.530000001</v>
      </c>
      <c r="J35" s="446"/>
      <c r="K35" s="446">
        <f>I35-F35</f>
        <v>-856631.51999999955</v>
      </c>
      <c r="L35" s="449"/>
      <c r="M35" s="443"/>
      <c r="N35" s="416"/>
      <c r="O35" s="417"/>
    </row>
    <row r="36" spans="1:17" x14ac:dyDescent="0.2">
      <c r="A36" s="417"/>
      <c r="B36" s="444" t="s">
        <v>239</v>
      </c>
      <c r="C36" s="457" t="s">
        <v>240</v>
      </c>
      <c r="D36" s="461">
        <f>D13+D25</f>
        <v>214587104.22299999</v>
      </c>
      <c r="E36" s="494"/>
      <c r="F36" s="446">
        <f>F13+F25+F26</f>
        <v>65721469.080000006</v>
      </c>
      <c r="G36" s="447"/>
      <c r="H36" s="494"/>
      <c r="I36" s="446">
        <f>I13+I25+I14</f>
        <v>65142005.420000002</v>
      </c>
      <c r="J36" s="446"/>
      <c r="K36" s="446">
        <f>I36-F36</f>
        <v>-579463.66000000387</v>
      </c>
      <c r="L36" s="449"/>
      <c r="M36" s="443"/>
      <c r="N36" s="416"/>
      <c r="O36" s="417"/>
    </row>
    <row r="37" spans="1:17" x14ac:dyDescent="0.2">
      <c r="A37" s="417"/>
      <c r="B37" s="339" t="s">
        <v>280</v>
      </c>
      <c r="C37" s="465"/>
      <c r="D37" s="447"/>
      <c r="E37" s="448"/>
      <c r="F37" s="439">
        <f>SUM(F35:F36)</f>
        <v>88442624.13000001</v>
      </c>
      <c r="G37" s="447"/>
      <c r="H37" s="447"/>
      <c r="I37" s="439">
        <f>SUM(I35:I36)</f>
        <v>87006528.950000003</v>
      </c>
      <c r="J37" s="446"/>
      <c r="K37" s="439">
        <f>SUM(K35:K36)</f>
        <v>-1436095.1800000034</v>
      </c>
      <c r="L37" s="442">
        <f>ROUND(K37/F37,5)</f>
        <v>-1.6240000000000001E-2</v>
      </c>
      <c r="M37" s="443"/>
      <c r="N37" s="416"/>
      <c r="O37" s="417"/>
    </row>
    <row r="38" spans="1:17" x14ac:dyDescent="0.2">
      <c r="A38" s="417"/>
      <c r="B38" s="444"/>
      <c r="C38" s="417"/>
      <c r="D38" s="448"/>
      <c r="E38" s="448"/>
      <c r="F38" s="446"/>
      <c r="G38" s="447"/>
      <c r="H38" s="447"/>
      <c r="I38" s="446"/>
      <c r="J38" s="446"/>
      <c r="K38" s="446"/>
      <c r="L38" s="449"/>
      <c r="M38" s="443"/>
      <c r="N38" s="416"/>
      <c r="O38" s="417"/>
    </row>
    <row r="39" spans="1:17" x14ac:dyDescent="0.2">
      <c r="A39" s="417"/>
      <c r="B39" s="444"/>
      <c r="C39" s="417"/>
      <c r="D39" s="448"/>
      <c r="E39" s="448"/>
      <c r="F39" s="446"/>
      <c r="G39" s="447"/>
      <c r="H39" s="447"/>
      <c r="I39" s="446"/>
      <c r="J39" s="446"/>
      <c r="K39" s="446"/>
      <c r="L39" s="449"/>
      <c r="M39" s="443"/>
      <c r="N39" s="416"/>
      <c r="O39" s="417"/>
    </row>
    <row r="40" spans="1:17" x14ac:dyDescent="0.2">
      <c r="A40" s="417"/>
      <c r="B40" s="307" t="s">
        <v>277</v>
      </c>
      <c r="C40" s="457" t="s">
        <v>240</v>
      </c>
      <c r="D40" s="447">
        <f>D36</f>
        <v>214587104.22299999</v>
      </c>
      <c r="E40" s="494"/>
      <c r="F40" s="446">
        <f>F17+F29</f>
        <v>88110814.311921448</v>
      </c>
      <c r="G40" s="448"/>
      <c r="H40" s="459"/>
      <c r="I40" s="446">
        <f>I17+I29</f>
        <v>87250411.776516512</v>
      </c>
      <c r="J40" s="446"/>
      <c r="K40" s="485">
        <f>I40-F40</f>
        <v>-860402.53540493548</v>
      </c>
      <c r="L40" s="486">
        <f>ROUND(K40/F40,5)</f>
        <v>-9.7699999999999992E-3</v>
      </c>
      <c r="M40" s="443"/>
      <c r="N40" s="416"/>
      <c r="O40" s="417"/>
    </row>
    <row r="41" spans="1:17" x14ac:dyDescent="0.2">
      <c r="A41" s="417"/>
      <c r="B41" s="476" t="s">
        <v>278</v>
      </c>
      <c r="C41" s="417"/>
      <c r="D41" s="448"/>
      <c r="E41" s="417"/>
      <c r="F41" s="439">
        <f>F40+F37</f>
        <v>176553438.44192147</v>
      </c>
      <c r="G41" s="473"/>
      <c r="H41" s="477"/>
      <c r="I41" s="439">
        <f>I40+I37</f>
        <v>174256940.72651652</v>
      </c>
      <c r="J41" s="446"/>
      <c r="K41" s="439">
        <f>K37+K40</f>
        <v>-2296497.7154049389</v>
      </c>
      <c r="L41" s="442">
        <f>ROUND(K41/F41,5)</f>
        <v>-1.3010000000000001E-2</v>
      </c>
      <c r="M41" s="443"/>
      <c r="N41" s="416"/>
      <c r="O41" s="417"/>
    </row>
    <row r="42" spans="1:17" x14ac:dyDescent="0.2">
      <c r="A42" s="417"/>
      <c r="B42" s="478"/>
      <c r="C42" s="479"/>
      <c r="D42" s="480"/>
      <c r="E42" s="481"/>
      <c r="F42" s="482"/>
      <c r="G42" s="480"/>
      <c r="H42" s="483"/>
      <c r="I42" s="484"/>
      <c r="J42" s="485"/>
      <c r="K42" s="485"/>
      <c r="L42" s="486"/>
      <c r="M42" s="443"/>
      <c r="N42" s="416"/>
      <c r="O42" s="417"/>
    </row>
    <row r="43" spans="1:17" x14ac:dyDescent="0.2">
      <c r="A43" s="417"/>
      <c r="B43" s="417"/>
      <c r="C43" s="417"/>
      <c r="D43" s="448"/>
      <c r="E43" s="417"/>
      <c r="F43" s="487"/>
      <c r="G43" s="473"/>
      <c r="H43" s="477"/>
      <c r="I43" s="487"/>
      <c r="J43" s="487"/>
      <c r="K43" s="446"/>
      <c r="L43" s="488"/>
      <c r="M43" s="443"/>
      <c r="N43" s="416"/>
      <c r="O43" s="417"/>
    </row>
    <row r="44" spans="1:17" x14ac:dyDescent="0.2">
      <c r="A44" s="417"/>
      <c r="B44" s="417"/>
      <c r="C44" s="417"/>
      <c r="D44" s="448"/>
      <c r="E44" s="417"/>
      <c r="F44" s="487"/>
      <c r="G44" s="473"/>
      <c r="H44" s="477"/>
      <c r="I44" s="487"/>
      <c r="J44" s="487"/>
      <c r="K44" s="446"/>
      <c r="L44" s="488"/>
      <c r="M44" s="443"/>
      <c r="N44" s="416"/>
    </row>
    <row r="45" spans="1:17" ht="15" x14ac:dyDescent="0.25">
      <c r="B45" s="489" t="s">
        <v>296</v>
      </c>
      <c r="C45" s="437"/>
      <c r="D45" s="441"/>
      <c r="E45" s="438"/>
      <c r="F45" s="439"/>
      <c r="G45" s="441"/>
      <c r="H45" s="441"/>
      <c r="I45" s="439"/>
      <c r="J45" s="439"/>
      <c r="K45" s="439"/>
      <c r="L45" s="442"/>
      <c r="M45" s="443"/>
      <c r="N45" s="416"/>
      <c r="O45" s="495" t="s">
        <v>297</v>
      </c>
    </row>
    <row r="46" spans="1:17" x14ac:dyDescent="0.2">
      <c r="B46" s="496"/>
      <c r="C46" s="417"/>
      <c r="D46" s="448"/>
      <c r="E46" s="448"/>
      <c r="F46" s="446"/>
      <c r="G46" s="497"/>
      <c r="H46" s="448"/>
      <c r="I46" s="446"/>
      <c r="J46" s="446"/>
      <c r="K46" s="446"/>
      <c r="L46" s="449"/>
      <c r="M46" s="443"/>
      <c r="N46" s="498"/>
      <c r="O46" s="499">
        <v>-300287.59071210795</v>
      </c>
      <c r="Q46" s="319">
        <f>H47/E47-1</f>
        <v>-6.8201715986692224E-2</v>
      </c>
    </row>
    <row r="47" spans="1:17" x14ac:dyDescent="0.2">
      <c r="B47" s="451" t="s">
        <v>237</v>
      </c>
      <c r="C47" s="452" t="s">
        <v>238</v>
      </c>
      <c r="D47" s="453">
        <v>16236.105928853754</v>
      </c>
      <c r="E47" s="454">
        <v>114.22</v>
      </c>
      <c r="F47" s="446">
        <f>ROUND(D47*E47,2)</f>
        <v>1854488.02</v>
      </c>
      <c r="G47" s="447"/>
      <c r="H47" s="361">
        <f>ROUND(E47*(1+$O$52),2)</f>
        <v>106.43</v>
      </c>
      <c r="I47" s="446">
        <f>ROUND(D47*H47,2)</f>
        <v>1728008.75</v>
      </c>
      <c r="J47" s="446"/>
      <c r="K47" s="446">
        <f>I47-F47</f>
        <v>-126479.27000000002</v>
      </c>
      <c r="L47" s="449"/>
      <c r="M47" s="443"/>
      <c r="N47" s="498"/>
      <c r="O47" s="500" t="s">
        <v>276</v>
      </c>
      <c r="Q47" s="319">
        <f>H48/E48-1</f>
        <v>-6.8189128337085902E-2</v>
      </c>
    </row>
    <row r="48" spans="1:17" x14ac:dyDescent="0.2">
      <c r="B48" s="496" t="s">
        <v>242</v>
      </c>
      <c r="C48" s="452" t="s">
        <v>238</v>
      </c>
      <c r="D48" s="447">
        <f>D47</f>
        <v>16236.105928853754</v>
      </c>
      <c r="E48" s="454">
        <v>124.36</v>
      </c>
      <c r="F48" s="487">
        <f>D48*E48</f>
        <v>2019122.1333122528</v>
      </c>
      <c r="G48" s="461"/>
      <c r="H48" s="501">
        <f>ROUND(+H53*900,2)</f>
        <v>115.88</v>
      </c>
      <c r="I48" s="487">
        <f>ROUND(D48*H48,2)</f>
        <v>1881439.96</v>
      </c>
      <c r="J48" s="487"/>
      <c r="K48" s="446">
        <f>I48-F48</f>
        <v>-137682.17331225285</v>
      </c>
      <c r="L48" s="463"/>
      <c r="M48" s="443"/>
      <c r="N48" s="502"/>
      <c r="O48" s="503">
        <f>K57+K79-O46</f>
        <v>-172.99586919607827</v>
      </c>
      <c r="Q48" s="319">
        <f>H49/E49-1</f>
        <v>1.7391304347826209E-2</v>
      </c>
    </row>
    <row r="49" spans="1:17" x14ac:dyDescent="0.2">
      <c r="B49" s="492" t="s">
        <v>78</v>
      </c>
      <c r="C49" s="457" t="s">
        <v>204</v>
      </c>
      <c r="D49" s="453">
        <v>3818909.6199999996</v>
      </c>
      <c r="E49" s="454">
        <v>1.1499999999999999</v>
      </c>
      <c r="F49" s="487">
        <f>ROUND(D49*E49,2)</f>
        <v>4391746.0599999996</v>
      </c>
      <c r="G49" s="447"/>
      <c r="H49" s="454">
        <v>1.17</v>
      </c>
      <c r="I49" s="487">
        <f>ROUND(D49*H49,2)</f>
        <v>4468124.26</v>
      </c>
      <c r="J49" s="487"/>
      <c r="K49" s="446">
        <f>I49-F49</f>
        <v>76378.200000000186</v>
      </c>
      <c r="L49" s="463"/>
      <c r="M49" s="443"/>
      <c r="N49" s="502"/>
      <c r="O49" s="504"/>
    </row>
    <row r="50" spans="1:17" x14ac:dyDescent="0.2">
      <c r="B50" s="496"/>
      <c r="C50" s="417"/>
      <c r="D50" s="447"/>
      <c r="E50" s="454"/>
      <c r="F50" s="462"/>
      <c r="G50" s="447"/>
      <c r="H50" s="501"/>
      <c r="I50" s="487"/>
      <c r="J50" s="487"/>
      <c r="K50" s="505"/>
      <c r="L50" s="463"/>
      <c r="M50" s="443"/>
      <c r="N50" s="432"/>
      <c r="O50" s="506"/>
      <c r="P50" s="507"/>
      <c r="Q50" s="508"/>
    </row>
    <row r="51" spans="1:17" x14ac:dyDescent="0.2">
      <c r="B51" s="492" t="s">
        <v>79</v>
      </c>
      <c r="C51" s="417"/>
      <c r="D51" s="447"/>
      <c r="E51" s="454"/>
      <c r="F51" s="487"/>
      <c r="G51" s="447"/>
      <c r="H51" s="501"/>
      <c r="I51" s="487"/>
      <c r="J51" s="487"/>
      <c r="K51" s="505"/>
      <c r="L51" s="463"/>
      <c r="M51" s="443"/>
      <c r="N51" s="432"/>
      <c r="O51" s="507"/>
      <c r="P51" s="507"/>
      <c r="Q51" s="509"/>
    </row>
    <row r="52" spans="1:17" x14ac:dyDescent="0.2">
      <c r="B52" s="492" t="s">
        <v>164</v>
      </c>
      <c r="C52" s="457" t="s">
        <v>240</v>
      </c>
      <c r="D52" s="453">
        <v>13495006.088</v>
      </c>
      <c r="E52" s="458">
        <v>0.13818</v>
      </c>
      <c r="F52" s="446"/>
      <c r="G52" s="447"/>
      <c r="H52" s="510">
        <f>H53</f>
        <v>0.12876000000000001</v>
      </c>
      <c r="I52" s="511" t="s">
        <v>298</v>
      </c>
      <c r="J52" s="446"/>
      <c r="K52" s="446"/>
      <c r="L52" s="449"/>
      <c r="M52" s="443"/>
      <c r="N52" s="416"/>
      <c r="O52" s="335">
        <v>-6.819340402544434E-2</v>
      </c>
      <c r="P52" s="423"/>
      <c r="Q52" s="319">
        <f>H53/E53-1</f>
        <v>-6.8171949630916107E-2</v>
      </c>
    </row>
    <row r="53" spans="1:17" x14ac:dyDescent="0.2">
      <c r="B53" s="496" t="s">
        <v>165</v>
      </c>
      <c r="C53" s="457" t="s">
        <v>240</v>
      </c>
      <c r="D53" s="453">
        <v>28173626.976</v>
      </c>
      <c r="E53" s="458">
        <v>0.13818</v>
      </c>
      <c r="F53" s="446">
        <f>ROUND(D53*E53,2)</f>
        <v>3893031.78</v>
      </c>
      <c r="G53" s="447"/>
      <c r="H53" s="459">
        <f>ROUND(E53*(1+$O$52),5)</f>
        <v>0.12876000000000001</v>
      </c>
      <c r="I53" s="446">
        <f>ROUND(D53*H53,2)</f>
        <v>3627636.21</v>
      </c>
      <c r="J53" s="446"/>
      <c r="K53" s="446">
        <f>I53-F53</f>
        <v>-265395.56999999983</v>
      </c>
      <c r="L53" s="449"/>
      <c r="M53" s="443"/>
      <c r="N53" s="416"/>
      <c r="O53" s="512"/>
      <c r="P53" s="423"/>
      <c r="Q53" s="319">
        <f>H54/E54-1</f>
        <v>-6.8236986424525803E-2</v>
      </c>
    </row>
    <row r="54" spans="1:17" x14ac:dyDescent="0.2">
      <c r="B54" s="496" t="s">
        <v>166</v>
      </c>
      <c r="C54" s="457" t="s">
        <v>240</v>
      </c>
      <c r="D54" s="453">
        <v>24322017.149</v>
      </c>
      <c r="E54" s="458">
        <v>0.11123</v>
      </c>
      <c r="F54" s="446">
        <f>ROUND(D54*E54,2)</f>
        <v>2705337.97</v>
      </c>
      <c r="G54" s="447"/>
      <c r="H54" s="459">
        <f>ROUND(E54*(1+$O$52),5)</f>
        <v>0.10364</v>
      </c>
      <c r="I54" s="446">
        <f>ROUND(D54*H54,2)</f>
        <v>2520733.86</v>
      </c>
      <c r="J54" s="446"/>
      <c r="K54" s="446">
        <f>I54-F54</f>
        <v>-184604.11000000034</v>
      </c>
      <c r="L54" s="449"/>
      <c r="M54" s="443"/>
      <c r="N54" s="416"/>
      <c r="O54" s="455"/>
      <c r="P54" s="423"/>
      <c r="Q54" s="509"/>
    </row>
    <row r="55" spans="1:17" s="507" customFormat="1" x14ac:dyDescent="0.2">
      <c r="A55" s="448"/>
      <c r="B55" s="490" t="s">
        <v>223</v>
      </c>
      <c r="C55" s="465"/>
      <c r="D55" s="440">
        <f>SUM(D52:D54)</f>
        <v>65990650.213</v>
      </c>
      <c r="E55" s="513"/>
      <c r="F55" s="487"/>
      <c r="G55" s="447"/>
      <c r="H55" s="447"/>
      <c r="I55" s="448"/>
      <c r="J55" s="448"/>
      <c r="K55" s="448"/>
      <c r="L55" s="514"/>
      <c r="M55" s="515"/>
      <c r="N55" s="516"/>
      <c r="O55" s="517"/>
      <c r="P55" s="518"/>
      <c r="Q55" s="319"/>
    </row>
    <row r="56" spans="1:17" s="507" customFormat="1" x14ac:dyDescent="0.2">
      <c r="A56" s="448"/>
      <c r="B56" s="490" t="s">
        <v>87</v>
      </c>
      <c r="C56" s="457" t="s">
        <v>240</v>
      </c>
      <c r="D56" s="447">
        <f>D55</f>
        <v>65990650.213</v>
      </c>
      <c r="E56" s="519">
        <v>0</v>
      </c>
      <c r="F56" s="487">
        <f>D56*E56</f>
        <v>0</v>
      </c>
      <c r="G56" s="447"/>
      <c r="H56" s="520">
        <v>6.0899999999999999E-3</v>
      </c>
      <c r="I56" s="487">
        <f>D56*H56</f>
        <v>401883.05979716999</v>
      </c>
      <c r="J56" s="487"/>
      <c r="K56" s="446">
        <f>I56-F56</f>
        <v>401883.05979716999</v>
      </c>
      <c r="L56" s="449"/>
      <c r="M56" s="515"/>
      <c r="N56" s="516"/>
      <c r="O56" s="448"/>
      <c r="Q56" s="521"/>
    </row>
    <row r="57" spans="1:17" x14ac:dyDescent="0.2">
      <c r="B57" s="339" t="s">
        <v>280</v>
      </c>
      <c r="C57" s="465"/>
      <c r="D57" s="440"/>
      <c r="E57" s="513"/>
      <c r="F57" s="522">
        <f>SUM(F47:F56)</f>
        <v>14863725.963312253</v>
      </c>
      <c r="G57" s="447"/>
      <c r="H57" s="447"/>
      <c r="I57" s="522">
        <f>SUM(I47:I49,I53:I56)</f>
        <v>14627826.099797169</v>
      </c>
      <c r="J57" s="487"/>
      <c r="K57" s="522">
        <f>SUM(K47:K56)</f>
        <v>-235899.86351508286</v>
      </c>
      <c r="L57" s="442">
        <f>ROUND(K57/F57,5)</f>
        <v>-1.5869999999999999E-2</v>
      </c>
      <c r="M57" s="443"/>
      <c r="N57" s="416"/>
      <c r="O57" s="523"/>
      <c r="P57" s="524"/>
      <c r="Q57" s="525"/>
    </row>
    <row r="58" spans="1:17" x14ac:dyDescent="0.2">
      <c r="B58" s="451"/>
      <c r="C58" s="465"/>
      <c r="D58" s="447"/>
      <c r="E58" s="526"/>
      <c r="F58" s="446"/>
      <c r="G58" s="447"/>
      <c r="H58" s="447"/>
      <c r="I58" s="487"/>
      <c r="J58" s="487"/>
      <c r="K58" s="446"/>
      <c r="L58" s="449"/>
      <c r="M58" s="443"/>
      <c r="N58" s="416"/>
      <c r="O58" s="527"/>
      <c r="P58" s="524"/>
      <c r="Q58" s="525"/>
    </row>
    <row r="59" spans="1:17" x14ac:dyDescent="0.2">
      <c r="B59" s="307" t="s">
        <v>277</v>
      </c>
      <c r="C59" s="465"/>
      <c r="D59" s="448"/>
      <c r="E59" s="526"/>
      <c r="F59" s="446"/>
      <c r="G59" s="447"/>
      <c r="H59" s="447"/>
      <c r="I59" s="487"/>
      <c r="J59" s="487"/>
      <c r="K59" s="446"/>
      <c r="L59" s="449"/>
      <c r="M59" s="443"/>
      <c r="N59" s="416"/>
      <c r="O59" s="507"/>
      <c r="P59" s="507"/>
      <c r="Q59" s="509"/>
    </row>
    <row r="60" spans="1:17" x14ac:dyDescent="0.2">
      <c r="B60" s="492" t="s">
        <v>299</v>
      </c>
      <c r="C60" s="457" t="s">
        <v>240</v>
      </c>
      <c r="D60" s="447">
        <f>D55</f>
        <v>65990650.213</v>
      </c>
      <c r="E60" s="458">
        <v>0.32635999999999998</v>
      </c>
      <c r="F60" s="446">
        <f>E60*D60</f>
        <v>21536708.603514679</v>
      </c>
      <c r="G60" s="448"/>
      <c r="H60" s="458">
        <v>0.39626</v>
      </c>
      <c r="I60" s="446">
        <f>H60*D60</f>
        <v>26149455.053403381</v>
      </c>
      <c r="J60" s="446"/>
      <c r="K60" s="446">
        <f>I60-F60</f>
        <v>4612746.4498887025</v>
      </c>
      <c r="L60" s="449"/>
      <c r="M60" s="443"/>
      <c r="N60" s="417"/>
      <c r="O60" s="507"/>
      <c r="P60" s="528"/>
      <c r="Q60" s="509"/>
    </row>
    <row r="61" spans="1:17" x14ac:dyDescent="0.2">
      <c r="B61" s="492" t="s">
        <v>78</v>
      </c>
      <c r="C61" s="457" t="s">
        <v>204</v>
      </c>
      <c r="D61" s="447">
        <f>D49</f>
        <v>3818909.6199999996</v>
      </c>
      <c r="E61" s="454">
        <v>1.05</v>
      </c>
      <c r="F61" s="446">
        <f>E61*D61</f>
        <v>4009855.1009999998</v>
      </c>
      <c r="G61" s="448"/>
      <c r="H61" s="454">
        <v>1.05</v>
      </c>
      <c r="I61" s="446">
        <f>H61*D61</f>
        <v>4009855.1009999998</v>
      </c>
      <c r="J61" s="446"/>
      <c r="K61" s="446">
        <f>I61-F61</f>
        <v>0</v>
      </c>
      <c r="L61" s="449"/>
      <c r="M61" s="443"/>
      <c r="N61" s="416"/>
      <c r="O61" s="527"/>
      <c r="P61" s="524"/>
      <c r="Q61" s="509"/>
    </row>
    <row r="62" spans="1:17" x14ac:dyDescent="0.2">
      <c r="B62" s="529" t="s">
        <v>300</v>
      </c>
      <c r="C62" s="465"/>
      <c r="D62" s="448"/>
      <c r="E62" s="530"/>
      <c r="F62" s="522">
        <f>SUM(F60:F61)</f>
        <v>25546563.704514679</v>
      </c>
      <c r="G62" s="448"/>
      <c r="H62" s="501"/>
      <c r="I62" s="522">
        <f>SUM(I60:I61)</f>
        <v>30159310.154403381</v>
      </c>
      <c r="J62" s="446"/>
      <c r="K62" s="522">
        <f>SUM(K60:K61)</f>
        <v>4612746.4498887025</v>
      </c>
      <c r="L62" s="442">
        <f>ROUND(K62/F62,5)</f>
        <v>0.18056</v>
      </c>
      <c r="M62" s="443"/>
      <c r="N62" s="416"/>
      <c r="O62" s="448"/>
      <c r="P62" s="507"/>
      <c r="Q62" s="521"/>
    </row>
    <row r="63" spans="1:17" x14ac:dyDescent="0.2">
      <c r="B63" s="496"/>
      <c r="C63" s="417"/>
      <c r="D63" s="448"/>
      <c r="E63" s="417"/>
      <c r="F63" s="446"/>
      <c r="G63" s="448"/>
      <c r="H63" s="448"/>
      <c r="I63" s="487"/>
      <c r="J63" s="487"/>
      <c r="K63" s="446"/>
      <c r="L63" s="449"/>
      <c r="M63" s="443"/>
      <c r="N63" s="416"/>
      <c r="O63" s="455"/>
      <c r="P63" s="507"/>
      <c r="Q63" s="509"/>
    </row>
    <row r="64" spans="1:17" x14ac:dyDescent="0.2">
      <c r="B64" s="451" t="s">
        <v>278</v>
      </c>
      <c r="C64" s="465"/>
      <c r="D64" s="448"/>
      <c r="E64" s="447"/>
      <c r="F64" s="522">
        <f>+F62+F57</f>
        <v>40410289.667826936</v>
      </c>
      <c r="G64" s="447"/>
      <c r="H64" s="447"/>
      <c r="I64" s="522">
        <f>+I62+I57</f>
        <v>44787136.254200548</v>
      </c>
      <c r="J64" s="487"/>
      <c r="K64" s="522">
        <f>K62+K57</f>
        <v>4376846.5863736197</v>
      </c>
      <c r="L64" s="442">
        <f>ROUND(K64/F64,5)</f>
        <v>0.10831</v>
      </c>
      <c r="M64" s="443"/>
      <c r="N64" s="416"/>
      <c r="O64" s="448"/>
      <c r="P64" s="507"/>
      <c r="Q64" s="521"/>
    </row>
    <row r="65" spans="1:17" s="507" customFormat="1" x14ac:dyDescent="0.2">
      <c r="B65" s="531"/>
      <c r="C65" s="480"/>
      <c r="D65" s="480"/>
      <c r="E65" s="480"/>
      <c r="F65" s="484"/>
      <c r="G65" s="480"/>
      <c r="H65" s="480"/>
      <c r="I65" s="482"/>
      <c r="J65" s="482"/>
      <c r="K65" s="484"/>
      <c r="L65" s="532"/>
      <c r="M65" s="515"/>
      <c r="N65" s="516"/>
      <c r="O65" s="448"/>
      <c r="Q65" s="521"/>
    </row>
    <row r="66" spans="1:17" s="507" customFormat="1" x14ac:dyDescent="0.2">
      <c r="A66" s="448"/>
      <c r="B66" s="448"/>
      <c r="C66" s="448"/>
      <c r="D66" s="448"/>
      <c r="E66" s="448"/>
      <c r="F66" s="455"/>
      <c r="G66" s="448"/>
      <c r="H66" s="448"/>
      <c r="I66" s="533"/>
      <c r="J66" s="533"/>
      <c r="K66" s="455"/>
      <c r="L66" s="534"/>
      <c r="M66" s="515"/>
      <c r="N66" s="516"/>
      <c r="O66" s="448"/>
      <c r="Q66" s="521"/>
    </row>
    <row r="67" spans="1:17" s="507" customFormat="1" x14ac:dyDescent="0.2">
      <c r="A67" s="448"/>
      <c r="B67" s="489" t="s">
        <v>301</v>
      </c>
      <c r="C67" s="437"/>
      <c r="D67" s="441"/>
      <c r="E67" s="438"/>
      <c r="F67" s="439"/>
      <c r="G67" s="441"/>
      <c r="H67" s="441"/>
      <c r="I67" s="439"/>
      <c r="J67" s="439"/>
      <c r="K67" s="439"/>
      <c r="L67" s="442"/>
      <c r="M67" s="515"/>
      <c r="N67" s="516"/>
      <c r="O67" s="448"/>
      <c r="Q67" s="521"/>
    </row>
    <row r="68" spans="1:17" s="507" customFormat="1" x14ac:dyDescent="0.2">
      <c r="A68" s="448"/>
      <c r="B68" s="496"/>
      <c r="C68" s="417"/>
      <c r="D68" s="448"/>
      <c r="E68" s="448"/>
      <c r="F68" s="446"/>
      <c r="G68" s="497"/>
      <c r="H68" s="448"/>
      <c r="I68" s="446"/>
      <c r="J68" s="446"/>
      <c r="K68" s="446"/>
      <c r="L68" s="449"/>
      <c r="M68" s="515"/>
      <c r="N68" s="516"/>
      <c r="O68" s="448"/>
      <c r="Q68" s="319">
        <f>H69/E69-1</f>
        <v>-6.8187492906594094E-2</v>
      </c>
    </row>
    <row r="69" spans="1:17" s="507" customFormat="1" x14ac:dyDescent="0.2">
      <c r="A69" s="448"/>
      <c r="B69" s="451" t="s">
        <v>237</v>
      </c>
      <c r="C69" s="452" t="s">
        <v>238</v>
      </c>
      <c r="D69" s="453">
        <v>1179.1322705534049</v>
      </c>
      <c r="E69" s="454">
        <v>440.55</v>
      </c>
      <c r="F69" s="446">
        <f>ROUND(D69*E69,2)</f>
        <v>519466.72</v>
      </c>
      <c r="G69" s="447"/>
      <c r="H69" s="361">
        <f>ROUND(E69*(1+$O$52),2)</f>
        <v>410.51</v>
      </c>
      <c r="I69" s="446">
        <f>ROUND(D69*H69,2)</f>
        <v>484045.59</v>
      </c>
      <c r="J69" s="446"/>
      <c r="K69" s="446">
        <f>I69-F69</f>
        <v>-35421.129999999946</v>
      </c>
      <c r="L69" s="449"/>
      <c r="M69" s="515"/>
      <c r="N69" s="516"/>
      <c r="O69" s="535"/>
      <c r="Q69" s="319">
        <f>H70/E70-1</f>
        <v>-6.8189128337085902E-2</v>
      </c>
    </row>
    <row r="70" spans="1:17" s="507" customFormat="1" x14ac:dyDescent="0.2">
      <c r="A70" s="448"/>
      <c r="B70" s="496" t="s">
        <v>242</v>
      </c>
      <c r="C70" s="452" t="s">
        <v>238</v>
      </c>
      <c r="D70" s="447">
        <f>D69</f>
        <v>1179.1322705534049</v>
      </c>
      <c r="E70" s="454">
        <v>124.36</v>
      </c>
      <c r="F70" s="487">
        <f>D70*E70</f>
        <v>146636.88916602143</v>
      </c>
      <c r="G70" s="447"/>
      <c r="H70" s="501">
        <f>H48</f>
        <v>115.88</v>
      </c>
      <c r="I70" s="487">
        <f>ROUND(D70*H70,2)</f>
        <v>136637.85</v>
      </c>
      <c r="J70" s="487"/>
      <c r="K70" s="446">
        <f>I70-F70</f>
        <v>-9999.0391660214227</v>
      </c>
      <c r="L70" s="463"/>
      <c r="M70" s="515"/>
      <c r="N70" s="516"/>
      <c r="O70" s="517"/>
      <c r="Q70" s="319">
        <f>H71/E71-1</f>
        <v>1.7391304347826209E-2</v>
      </c>
    </row>
    <row r="71" spans="1:17" s="507" customFormat="1" x14ac:dyDescent="0.2">
      <c r="A71" s="448"/>
      <c r="B71" s="492" t="s">
        <v>78</v>
      </c>
      <c r="C71" s="457" t="s">
        <v>204</v>
      </c>
      <c r="D71" s="453">
        <v>956311.5</v>
      </c>
      <c r="E71" s="454">
        <v>1.1499999999999999</v>
      </c>
      <c r="F71" s="487">
        <f>ROUND(D71*E71,2)</f>
        <v>1099758.23</v>
      </c>
      <c r="G71" s="447"/>
      <c r="H71" s="536">
        <f>H49</f>
        <v>1.17</v>
      </c>
      <c r="I71" s="487">
        <f>ROUND(D71*H71,2)</f>
        <v>1118884.46</v>
      </c>
      <c r="J71" s="448"/>
      <c r="K71" s="446">
        <f>I71-F71</f>
        <v>19126.229999999981</v>
      </c>
      <c r="L71" s="463"/>
      <c r="M71" s="515"/>
      <c r="N71" s="516"/>
      <c r="O71" s="517"/>
      <c r="Q71" s="521"/>
    </row>
    <row r="72" spans="1:17" s="507" customFormat="1" x14ac:dyDescent="0.2">
      <c r="A72" s="448"/>
      <c r="B72" s="496"/>
      <c r="C72" s="417"/>
      <c r="D72" s="447"/>
      <c r="E72" s="454"/>
      <c r="F72" s="487"/>
      <c r="G72" s="447"/>
      <c r="H72" s="501"/>
      <c r="I72" s="487"/>
      <c r="J72" s="487"/>
      <c r="K72" s="505"/>
      <c r="L72" s="463"/>
      <c r="M72" s="515"/>
      <c r="N72" s="516"/>
      <c r="O72" s="517"/>
      <c r="Q72" s="521"/>
    </row>
    <row r="73" spans="1:17" s="507" customFormat="1" x14ac:dyDescent="0.2">
      <c r="A73" s="448"/>
      <c r="B73" s="492" t="s">
        <v>79</v>
      </c>
      <c r="C73" s="417"/>
      <c r="D73" s="447"/>
      <c r="E73" s="454"/>
      <c r="F73" s="446"/>
      <c r="G73" s="447"/>
      <c r="H73" s="501"/>
      <c r="I73" s="487"/>
      <c r="J73" s="487"/>
      <c r="K73" s="505"/>
      <c r="L73" s="463"/>
      <c r="M73" s="515"/>
      <c r="N73" s="516"/>
      <c r="O73" s="448"/>
      <c r="Q73" s="319">
        <f>H74/E74-1</f>
        <v>-6.8171949630916107E-2</v>
      </c>
    </row>
    <row r="74" spans="1:17" s="507" customFormat="1" x14ac:dyDescent="0.2">
      <c r="A74" s="448"/>
      <c r="B74" s="492" t="s">
        <v>164</v>
      </c>
      <c r="C74" s="457" t="s">
        <v>240</v>
      </c>
      <c r="D74" s="453">
        <v>1041707.81</v>
      </c>
      <c r="E74" s="458">
        <v>0.13818</v>
      </c>
      <c r="F74" s="511" t="s">
        <v>298</v>
      </c>
      <c r="G74" s="447"/>
      <c r="H74" s="510">
        <f>H52</f>
        <v>0.12876000000000001</v>
      </c>
      <c r="I74" s="511" t="s">
        <v>298</v>
      </c>
      <c r="J74" s="446"/>
      <c r="K74" s="511"/>
      <c r="L74" s="449"/>
      <c r="M74" s="515"/>
      <c r="N74" s="516"/>
      <c r="O74" s="448"/>
      <c r="Q74" s="319">
        <f>H75/E75-1</f>
        <v>-6.8171949630916107E-2</v>
      </c>
    </row>
    <row r="75" spans="1:17" s="507" customFormat="1" x14ac:dyDescent="0.2">
      <c r="A75" s="448"/>
      <c r="B75" s="496" t="s">
        <v>165</v>
      </c>
      <c r="C75" s="457" t="s">
        <v>240</v>
      </c>
      <c r="D75" s="453">
        <v>3950092.4699999997</v>
      </c>
      <c r="E75" s="458">
        <v>0.13818</v>
      </c>
      <c r="F75" s="446">
        <f>D75*E75</f>
        <v>545823.7775046</v>
      </c>
      <c r="G75" s="447"/>
      <c r="H75" s="510">
        <f>H53</f>
        <v>0.12876000000000001</v>
      </c>
      <c r="I75" s="446">
        <f>H75*D75</f>
        <v>508613.90643720003</v>
      </c>
      <c r="J75" s="446"/>
      <c r="K75" s="446">
        <f>I75-F75</f>
        <v>-37209.871067399974</v>
      </c>
      <c r="L75" s="449"/>
      <c r="M75" s="515"/>
      <c r="N75" s="516"/>
      <c r="O75" s="448"/>
      <c r="Q75" s="319">
        <f>H76/E76-1</f>
        <v>-6.8236986424525803E-2</v>
      </c>
    </row>
    <row r="76" spans="1:17" s="507" customFormat="1" x14ac:dyDescent="0.2">
      <c r="A76" s="448"/>
      <c r="B76" s="496" t="s">
        <v>166</v>
      </c>
      <c r="C76" s="457" t="s">
        <v>240</v>
      </c>
      <c r="D76" s="453">
        <v>12710325.609999999</v>
      </c>
      <c r="E76" s="458">
        <v>0.11123</v>
      </c>
      <c r="F76" s="446">
        <f>D76*E76</f>
        <v>1413769.5176002998</v>
      </c>
      <c r="G76" s="447"/>
      <c r="H76" s="510">
        <f>H54</f>
        <v>0.10364</v>
      </c>
      <c r="I76" s="446">
        <f>H76*D76</f>
        <v>1317298.1462204</v>
      </c>
      <c r="J76" s="446"/>
      <c r="K76" s="446">
        <f>I76-F76</f>
        <v>-96471.371379899792</v>
      </c>
      <c r="L76" s="449"/>
      <c r="M76" s="515"/>
      <c r="N76" s="516"/>
      <c r="O76" s="448"/>
      <c r="Q76" s="521"/>
    </row>
    <row r="77" spans="1:17" s="507" customFormat="1" x14ac:dyDescent="0.2">
      <c r="A77" s="448"/>
      <c r="B77" s="490" t="s">
        <v>223</v>
      </c>
      <c r="C77" s="465"/>
      <c r="D77" s="440">
        <f>SUM(D74:D76)</f>
        <v>17702125.890000001</v>
      </c>
      <c r="E77" s="513"/>
      <c r="F77" s="487"/>
      <c r="G77" s="447"/>
      <c r="H77" s="447"/>
      <c r="I77" s="448"/>
      <c r="J77" s="448"/>
      <c r="K77" s="448"/>
      <c r="L77" s="514"/>
      <c r="M77" s="515"/>
      <c r="N77" s="516"/>
      <c r="O77" s="517"/>
      <c r="P77" s="518"/>
      <c r="Q77" s="319"/>
    </row>
    <row r="78" spans="1:17" s="507" customFormat="1" x14ac:dyDescent="0.2">
      <c r="A78" s="448"/>
      <c r="B78" s="490" t="s">
        <v>87</v>
      </c>
      <c r="C78" s="457" t="s">
        <v>240</v>
      </c>
      <c r="D78" s="447">
        <f>D77</f>
        <v>17702125.890000001</v>
      </c>
      <c r="E78" s="519">
        <v>-5.3899999999999998E-3</v>
      </c>
      <c r="F78" s="487">
        <f>D78*E78</f>
        <v>-95414.458547100003</v>
      </c>
      <c r="G78" s="447"/>
      <c r="H78" s="537">
        <v>0</v>
      </c>
      <c r="I78" s="487">
        <f>D78*H78</f>
        <v>0</v>
      </c>
      <c r="J78" s="487"/>
      <c r="K78" s="446">
        <f>I78-F78</f>
        <v>95414.458547100003</v>
      </c>
      <c r="L78" s="449"/>
      <c r="M78" s="515"/>
      <c r="N78" s="516"/>
      <c r="O78" s="448"/>
      <c r="Q78" s="521"/>
    </row>
    <row r="79" spans="1:17" s="507" customFormat="1" x14ac:dyDescent="0.2">
      <c r="A79" s="448"/>
      <c r="B79" s="339" t="s">
        <v>280</v>
      </c>
      <c r="C79" s="465"/>
      <c r="D79" s="447"/>
      <c r="E79" s="513"/>
      <c r="F79" s="522">
        <f>SUM(F69:F78)</f>
        <v>3630040.6757238214</v>
      </c>
      <c r="G79" s="447"/>
      <c r="H79" s="447"/>
      <c r="I79" s="522">
        <f>SUM(I69:I78)</f>
        <v>3565479.9526575999</v>
      </c>
      <c r="J79" s="487"/>
      <c r="K79" s="522">
        <f>SUM(K69:K78)</f>
        <v>-64560.723066221151</v>
      </c>
      <c r="L79" s="442">
        <f>ROUND(K79/F79,5)</f>
        <v>-1.779E-2</v>
      </c>
      <c r="M79" s="515"/>
      <c r="N79" s="516"/>
      <c r="O79" s="448"/>
      <c r="Q79" s="521"/>
    </row>
    <row r="80" spans="1:17" s="507" customFormat="1" x14ac:dyDescent="0.2">
      <c r="A80" s="448"/>
      <c r="B80" s="490"/>
      <c r="C80" s="465"/>
      <c r="D80" s="447"/>
      <c r="E80" s="513"/>
      <c r="F80" s="487"/>
      <c r="G80" s="447"/>
      <c r="H80" s="447"/>
      <c r="I80" s="487"/>
      <c r="J80" s="487"/>
      <c r="K80" s="446"/>
      <c r="L80" s="449"/>
      <c r="M80" s="515"/>
      <c r="N80" s="516"/>
      <c r="O80" s="538"/>
      <c r="P80" s="417"/>
      <c r="Q80" s="319"/>
    </row>
    <row r="81" spans="1:17" s="507" customFormat="1" x14ac:dyDescent="0.2">
      <c r="A81" s="448"/>
      <c r="B81" s="492" t="s">
        <v>294</v>
      </c>
      <c r="C81" s="457" t="s">
        <v>240</v>
      </c>
      <c r="D81" s="447">
        <f>D77</f>
        <v>17702125.890000001</v>
      </c>
      <c r="E81" s="458">
        <v>6.9999999999999999E-4</v>
      </c>
      <c r="F81" s="446">
        <f>E81*D81</f>
        <v>12391.488123000001</v>
      </c>
      <c r="G81" s="448"/>
      <c r="H81" s="494">
        <v>6.9999999999999999E-4</v>
      </c>
      <c r="I81" s="446">
        <f>H81*D81</f>
        <v>12391.488123000001</v>
      </c>
      <c r="J81" s="446"/>
      <c r="K81" s="446">
        <f>I81-F81</f>
        <v>0</v>
      </c>
      <c r="L81" s="449"/>
      <c r="M81" s="515"/>
      <c r="N81" s="516"/>
      <c r="O81" s="446"/>
      <c r="P81" s="457"/>
      <c r="Q81" s="539"/>
    </row>
    <row r="82" spans="1:17" s="507" customFormat="1" x14ac:dyDescent="0.2">
      <c r="A82" s="448"/>
      <c r="B82" s="496" t="s">
        <v>278</v>
      </c>
      <c r="C82" s="457"/>
      <c r="D82" s="447"/>
      <c r="E82" s="510"/>
      <c r="F82" s="522">
        <f>F79+F81</f>
        <v>3642432.1638468215</v>
      </c>
      <c r="G82" s="448"/>
      <c r="H82" s="501"/>
      <c r="I82" s="522">
        <f>I79+SUM(I81:I81)</f>
        <v>3577871.4407806001</v>
      </c>
      <c r="J82" s="446"/>
      <c r="K82" s="522">
        <f>K79+SUM(K81:K81)</f>
        <v>-64560.723066221151</v>
      </c>
      <c r="L82" s="442">
        <f>ROUND(K82/F82,5)</f>
        <v>-1.772E-2</v>
      </c>
      <c r="M82" s="515"/>
      <c r="N82" s="516"/>
      <c r="O82" s="455"/>
      <c r="P82" s="457"/>
      <c r="Q82" s="539"/>
    </row>
    <row r="83" spans="1:17" s="507" customFormat="1" x14ac:dyDescent="0.2">
      <c r="A83" s="448"/>
      <c r="B83" s="496"/>
      <c r="C83" s="465"/>
      <c r="D83" s="448"/>
      <c r="E83" s="530"/>
      <c r="F83" s="448"/>
      <c r="G83" s="448"/>
      <c r="H83" s="448"/>
      <c r="I83" s="455"/>
      <c r="J83" s="448"/>
      <c r="K83" s="448"/>
      <c r="L83" s="514"/>
      <c r="M83" s="515"/>
      <c r="N83" s="516"/>
      <c r="O83" s="540"/>
      <c r="P83" s="457"/>
      <c r="Q83" s="539"/>
    </row>
    <row r="84" spans="1:17" s="507" customFormat="1" x14ac:dyDescent="0.2">
      <c r="A84" s="448"/>
      <c r="B84" s="531"/>
      <c r="C84" s="480"/>
      <c r="D84" s="480"/>
      <c r="E84" s="480"/>
      <c r="F84" s="484"/>
      <c r="G84" s="480"/>
      <c r="H84" s="480"/>
      <c r="I84" s="482"/>
      <c r="J84" s="482"/>
      <c r="K84" s="484"/>
      <c r="L84" s="532"/>
      <c r="M84" s="515"/>
      <c r="N84" s="516"/>
      <c r="O84" s="540"/>
      <c r="P84" s="457"/>
      <c r="Q84" s="539"/>
    </row>
    <row r="85" spans="1:17" s="507" customFormat="1" x14ac:dyDescent="0.2">
      <c r="A85" s="448"/>
      <c r="B85" s="448"/>
      <c r="C85" s="448"/>
      <c r="D85" s="448"/>
      <c r="E85" s="448"/>
      <c r="F85" s="455"/>
      <c r="G85" s="448"/>
      <c r="H85" s="448"/>
      <c r="I85" s="533"/>
      <c r="J85" s="533"/>
      <c r="K85" s="455"/>
      <c r="L85" s="534"/>
      <c r="M85" s="515"/>
      <c r="N85" s="516"/>
      <c r="O85" s="538"/>
      <c r="P85" s="457"/>
      <c r="Q85" s="539"/>
    </row>
    <row r="86" spans="1:17" s="507" customFormat="1" x14ac:dyDescent="0.2">
      <c r="A86" s="448"/>
      <c r="B86" s="489" t="s">
        <v>302</v>
      </c>
      <c r="C86" s="437"/>
      <c r="D86" s="441"/>
      <c r="E86" s="438"/>
      <c r="F86" s="439"/>
      <c r="G86" s="441"/>
      <c r="H86" s="441"/>
      <c r="I86" s="439"/>
      <c r="J86" s="439"/>
      <c r="K86" s="439"/>
      <c r="L86" s="442"/>
      <c r="M86" s="515"/>
      <c r="N86" s="516"/>
      <c r="O86" s="540"/>
      <c r="P86" s="457"/>
      <c r="Q86" s="539"/>
    </row>
    <row r="87" spans="1:17" s="507" customFormat="1" x14ac:dyDescent="0.2">
      <c r="A87" s="448"/>
      <c r="B87" s="444"/>
      <c r="C87" s="417"/>
      <c r="D87" s="448"/>
      <c r="E87" s="448"/>
      <c r="F87" s="446"/>
      <c r="G87" s="497"/>
      <c r="H87" s="448"/>
      <c r="I87" s="446"/>
      <c r="J87" s="446"/>
      <c r="K87" s="446"/>
      <c r="L87" s="449"/>
      <c r="M87" s="515"/>
      <c r="N87" s="516"/>
      <c r="O87" s="540"/>
      <c r="P87" s="457"/>
      <c r="Q87" s="539"/>
    </row>
    <row r="88" spans="1:17" s="507" customFormat="1" x14ac:dyDescent="0.2">
      <c r="A88" s="448"/>
      <c r="B88" s="451" t="s">
        <v>237</v>
      </c>
      <c r="C88" s="452" t="s">
        <v>238</v>
      </c>
      <c r="D88" s="461">
        <f>D69+D47</f>
        <v>17415.238199407158</v>
      </c>
      <c r="E88" s="493"/>
      <c r="F88" s="446">
        <f>F69+F47</f>
        <v>2373954.7400000002</v>
      </c>
      <c r="G88" s="447"/>
      <c r="H88" s="493"/>
      <c r="I88" s="446">
        <f>I69+I47</f>
        <v>2212054.34</v>
      </c>
      <c r="J88" s="446"/>
      <c r="K88" s="446">
        <f>K69+K47</f>
        <v>-161900.39999999997</v>
      </c>
      <c r="L88" s="449"/>
      <c r="M88" s="515"/>
      <c r="N88" s="516"/>
      <c r="O88" s="540"/>
      <c r="P88" s="457"/>
      <c r="Q88" s="539"/>
    </row>
    <row r="89" spans="1:17" s="507" customFormat="1" x14ac:dyDescent="0.2">
      <c r="A89" s="448"/>
      <c r="B89" s="496" t="s">
        <v>242</v>
      </c>
      <c r="C89" s="452" t="s">
        <v>238</v>
      </c>
      <c r="D89" s="447">
        <f>D88</f>
        <v>17415.238199407158</v>
      </c>
      <c r="E89" s="493"/>
      <c r="F89" s="446">
        <f>F70+F48</f>
        <v>2165759.0224782741</v>
      </c>
      <c r="G89" s="447"/>
      <c r="H89" s="501"/>
      <c r="I89" s="446">
        <f>I70+I48</f>
        <v>2018077.81</v>
      </c>
      <c r="J89" s="487"/>
      <c r="K89" s="446">
        <f>K70+K48</f>
        <v>-147681.21247827428</v>
      </c>
      <c r="L89" s="463"/>
      <c r="M89" s="515"/>
      <c r="N89" s="516"/>
      <c r="O89" s="540"/>
      <c r="P89" s="457"/>
      <c r="Q89" s="539"/>
    </row>
    <row r="90" spans="1:17" s="507" customFormat="1" x14ac:dyDescent="0.2">
      <c r="A90" s="448"/>
      <c r="B90" s="541" t="s">
        <v>78</v>
      </c>
      <c r="C90" s="457" t="s">
        <v>204</v>
      </c>
      <c r="D90" s="461">
        <f>D71+D49</f>
        <v>4775221.1199999992</v>
      </c>
      <c r="E90" s="493"/>
      <c r="F90" s="446">
        <f>F71+F49</f>
        <v>5491504.2899999991</v>
      </c>
      <c r="G90" s="447"/>
      <c r="H90" s="493"/>
      <c r="I90" s="446">
        <f>I71+I49</f>
        <v>5587008.7199999997</v>
      </c>
      <c r="J90" s="487"/>
      <c r="K90" s="446">
        <f>K71+K49</f>
        <v>95504.430000000168</v>
      </c>
      <c r="L90" s="463"/>
      <c r="M90" s="515"/>
      <c r="N90" s="516"/>
      <c r="O90" s="540"/>
      <c r="P90" s="457"/>
      <c r="Q90" s="539"/>
    </row>
    <row r="91" spans="1:17" s="507" customFormat="1" x14ac:dyDescent="0.2">
      <c r="A91" s="448"/>
      <c r="B91" s="444"/>
      <c r="C91" s="417"/>
      <c r="D91" s="447"/>
      <c r="E91" s="501"/>
      <c r="F91" s="487"/>
      <c r="G91" s="447"/>
      <c r="H91" s="501"/>
      <c r="I91" s="487"/>
      <c r="J91" s="487"/>
      <c r="K91" s="505"/>
      <c r="L91" s="463"/>
      <c r="M91" s="515"/>
      <c r="N91" s="516"/>
      <c r="O91" s="540"/>
      <c r="P91" s="457"/>
      <c r="Q91" s="539"/>
    </row>
    <row r="92" spans="1:17" s="507" customFormat="1" x14ac:dyDescent="0.2">
      <c r="A92" s="448"/>
      <c r="B92" s="541" t="s">
        <v>79</v>
      </c>
      <c r="C92" s="417"/>
      <c r="D92" s="447"/>
      <c r="E92" s="501"/>
      <c r="F92" s="446"/>
      <c r="G92" s="447"/>
      <c r="H92" s="501"/>
      <c r="I92" s="487"/>
      <c r="J92" s="487"/>
      <c r="K92" s="505"/>
      <c r="L92" s="463"/>
      <c r="M92" s="515"/>
      <c r="N92" s="516"/>
      <c r="O92" s="540"/>
      <c r="P92" s="457"/>
      <c r="Q92" s="539"/>
    </row>
    <row r="93" spans="1:17" s="507" customFormat="1" x14ac:dyDescent="0.2">
      <c r="A93" s="448"/>
      <c r="B93" s="492" t="s">
        <v>164</v>
      </c>
      <c r="C93" s="457" t="s">
        <v>240</v>
      </c>
      <c r="D93" s="461">
        <f>D74+D52</f>
        <v>14536713.898</v>
      </c>
      <c r="E93" s="494"/>
      <c r="F93" s="446"/>
      <c r="G93" s="447"/>
      <c r="H93" s="510"/>
      <c r="I93" s="511" t="s">
        <v>298</v>
      </c>
      <c r="J93" s="446"/>
      <c r="K93" s="446"/>
      <c r="L93" s="449"/>
      <c r="M93" s="515"/>
      <c r="N93" s="516"/>
      <c r="O93" s="540"/>
      <c r="P93" s="457"/>
      <c r="Q93" s="539"/>
    </row>
    <row r="94" spans="1:17" s="507" customFormat="1" x14ac:dyDescent="0.2">
      <c r="A94" s="448"/>
      <c r="B94" s="496" t="s">
        <v>165</v>
      </c>
      <c r="C94" s="457" t="s">
        <v>240</v>
      </c>
      <c r="D94" s="461">
        <f>D75+D53</f>
        <v>32123719.445999999</v>
      </c>
      <c r="E94" s="494"/>
      <c r="F94" s="446">
        <f>F75+F53</f>
        <v>4438855.5575045999</v>
      </c>
      <c r="G94" s="447"/>
      <c r="H94" s="459"/>
      <c r="I94" s="446">
        <f>I75+I53</f>
        <v>4136250.1164372</v>
      </c>
      <c r="J94" s="446"/>
      <c r="K94" s="446">
        <f>K75+K53</f>
        <v>-302605.44106739981</v>
      </c>
      <c r="L94" s="449"/>
      <c r="M94" s="515"/>
      <c r="N94" s="516"/>
      <c r="O94" s="540"/>
      <c r="P94" s="457"/>
      <c r="Q94" s="539"/>
    </row>
    <row r="95" spans="1:17" s="507" customFormat="1" x14ac:dyDescent="0.2">
      <c r="A95" s="448"/>
      <c r="B95" s="496" t="s">
        <v>166</v>
      </c>
      <c r="C95" s="457" t="s">
        <v>240</v>
      </c>
      <c r="D95" s="542">
        <f>D76+D54</f>
        <v>37032342.759000003</v>
      </c>
      <c r="E95" s="494"/>
      <c r="F95" s="446">
        <f>F76+F54</f>
        <v>4119107.4876003</v>
      </c>
      <c r="G95" s="447"/>
      <c r="H95" s="459"/>
      <c r="I95" s="446">
        <f>I76+I54</f>
        <v>3838032.0062203999</v>
      </c>
      <c r="J95" s="446"/>
      <c r="K95" s="446">
        <f>K76+K54</f>
        <v>-281075.48137990013</v>
      </c>
      <c r="L95" s="449"/>
      <c r="M95" s="515"/>
      <c r="N95" s="516"/>
      <c r="O95" s="540"/>
      <c r="P95" s="457"/>
      <c r="Q95" s="539"/>
    </row>
    <row r="96" spans="1:17" s="507" customFormat="1" x14ac:dyDescent="0.2">
      <c r="A96" s="448"/>
      <c r="B96" s="529" t="s">
        <v>223</v>
      </c>
      <c r="C96" s="465"/>
      <c r="D96" s="440">
        <f>SUM(D93:D95)</f>
        <v>83692776.103</v>
      </c>
      <c r="E96" s="445"/>
      <c r="F96" s="487"/>
      <c r="G96" s="447"/>
      <c r="H96" s="447"/>
      <c r="I96" s="448"/>
      <c r="J96" s="448"/>
      <c r="K96" s="448"/>
      <c r="L96" s="514"/>
      <c r="M96" s="515"/>
      <c r="N96" s="516"/>
      <c r="O96" s="540"/>
      <c r="P96" s="457"/>
      <c r="Q96" s="539"/>
    </row>
    <row r="97" spans="1:17" s="507" customFormat="1" x14ac:dyDescent="0.2">
      <c r="A97" s="448"/>
      <c r="B97" s="490" t="s">
        <v>87</v>
      </c>
      <c r="C97" s="457" t="s">
        <v>240</v>
      </c>
      <c r="D97" s="461">
        <f>D78+D58</f>
        <v>17702125.890000001</v>
      </c>
      <c r="E97" s="543"/>
      <c r="F97" s="487">
        <f>F78</f>
        <v>-95414.458547100003</v>
      </c>
      <c r="G97" s="447"/>
      <c r="H97" s="447"/>
      <c r="I97" s="487">
        <f>I78+I56</f>
        <v>401883.05979716999</v>
      </c>
      <c r="J97" s="487"/>
      <c r="K97" s="487">
        <f>K78</f>
        <v>95414.458547100003</v>
      </c>
      <c r="L97" s="449"/>
      <c r="M97" s="515"/>
      <c r="N97" s="516"/>
      <c r="O97" s="540"/>
      <c r="P97" s="457"/>
      <c r="Q97" s="539"/>
    </row>
    <row r="98" spans="1:17" s="507" customFormat="1" x14ac:dyDescent="0.2">
      <c r="A98" s="448"/>
      <c r="B98" s="339" t="s">
        <v>280</v>
      </c>
      <c r="C98" s="465"/>
      <c r="D98" s="447"/>
      <c r="E98" s="445"/>
      <c r="F98" s="522">
        <f>SUM(F88:F97)</f>
        <v>18493766.639036071</v>
      </c>
      <c r="G98" s="447"/>
      <c r="H98" s="447"/>
      <c r="I98" s="522">
        <f>SUM(I88:I90,I94:I97)</f>
        <v>18193306.052454773</v>
      </c>
      <c r="J98" s="487"/>
      <c r="K98" s="522">
        <f>SUM(K88:K97)</f>
        <v>-702343.64637847408</v>
      </c>
      <c r="L98" s="442">
        <f>ROUND(K98/F98,5)</f>
        <v>-3.798E-2</v>
      </c>
      <c r="M98" s="515"/>
      <c r="N98" s="516"/>
      <c r="O98" s="540"/>
      <c r="P98" s="457"/>
      <c r="Q98" s="539"/>
    </row>
    <row r="99" spans="1:17" s="507" customFormat="1" x14ac:dyDescent="0.2">
      <c r="A99" s="448"/>
      <c r="B99" s="476"/>
      <c r="C99" s="465"/>
      <c r="D99" s="447"/>
      <c r="E99" s="445"/>
      <c r="F99" s="487"/>
      <c r="G99" s="447"/>
      <c r="H99" s="447"/>
      <c r="I99" s="487"/>
      <c r="J99" s="487"/>
      <c r="K99" s="446"/>
      <c r="L99" s="449"/>
      <c r="M99" s="515"/>
      <c r="N99" s="516"/>
      <c r="O99" s="540"/>
      <c r="P99" s="457"/>
      <c r="Q99" s="539"/>
    </row>
    <row r="100" spans="1:17" s="507" customFormat="1" x14ac:dyDescent="0.2">
      <c r="A100" s="448"/>
      <c r="B100" s="307" t="s">
        <v>277</v>
      </c>
      <c r="C100" s="465"/>
      <c r="D100" s="447"/>
      <c r="E100" s="445"/>
      <c r="F100" s="487"/>
      <c r="G100" s="447"/>
      <c r="H100" s="447"/>
      <c r="I100" s="487"/>
      <c r="J100" s="487"/>
      <c r="K100" s="446"/>
      <c r="L100" s="449"/>
      <c r="M100" s="515"/>
      <c r="N100" s="516"/>
      <c r="O100" s="540"/>
      <c r="P100" s="457"/>
      <c r="Q100" s="539"/>
    </row>
    <row r="101" spans="1:17" s="507" customFormat="1" x14ac:dyDescent="0.2">
      <c r="A101" s="448"/>
      <c r="B101" s="492" t="s">
        <v>299</v>
      </c>
      <c r="C101" s="465"/>
      <c r="D101" s="447"/>
      <c r="E101" s="445"/>
      <c r="F101" s="487">
        <f>F60</f>
        <v>21536708.603514679</v>
      </c>
      <c r="G101" s="447"/>
      <c r="H101" s="447"/>
      <c r="I101" s="487">
        <f>I60</f>
        <v>26149455.053403381</v>
      </c>
      <c r="J101" s="487"/>
      <c r="K101" s="487">
        <f>K60</f>
        <v>4612746.4498887025</v>
      </c>
      <c r="L101" s="449"/>
      <c r="M101" s="515"/>
      <c r="N101" s="516"/>
      <c r="O101" s="540"/>
      <c r="P101" s="457"/>
      <c r="Q101" s="539"/>
    </row>
    <row r="102" spans="1:17" s="507" customFormat="1" x14ac:dyDescent="0.2">
      <c r="A102" s="448"/>
      <c r="B102" s="492" t="s">
        <v>78</v>
      </c>
      <c r="C102" s="465"/>
      <c r="D102" s="447"/>
      <c r="E102" s="445"/>
      <c r="F102" s="487">
        <f>F61</f>
        <v>4009855.1009999998</v>
      </c>
      <c r="G102" s="447"/>
      <c r="H102" s="447"/>
      <c r="I102" s="487">
        <f>I61</f>
        <v>4009855.1009999998</v>
      </c>
      <c r="J102" s="487"/>
      <c r="K102" s="487">
        <f>K61</f>
        <v>0</v>
      </c>
      <c r="L102" s="449"/>
      <c r="M102" s="515"/>
      <c r="N102" s="516"/>
      <c r="O102" s="540"/>
      <c r="P102" s="457"/>
      <c r="Q102" s="539"/>
    </row>
    <row r="103" spans="1:17" s="507" customFormat="1" x14ac:dyDescent="0.2">
      <c r="A103" s="448"/>
      <c r="B103" s="492" t="s">
        <v>294</v>
      </c>
      <c r="C103" s="465"/>
      <c r="D103" s="447"/>
      <c r="E103" s="445"/>
      <c r="F103" s="487">
        <f>F81</f>
        <v>12391.488123000001</v>
      </c>
      <c r="G103" s="447"/>
      <c r="H103" s="447"/>
      <c r="I103" s="487">
        <f>I81</f>
        <v>12391.488123000001</v>
      </c>
      <c r="J103" s="487"/>
      <c r="K103" s="487">
        <f>K81</f>
        <v>0</v>
      </c>
      <c r="L103" s="449"/>
      <c r="M103" s="515"/>
      <c r="N103" s="516"/>
      <c r="O103" s="540"/>
      <c r="P103" s="457"/>
      <c r="Q103" s="539"/>
    </row>
    <row r="104" spans="1:17" s="507" customFormat="1" x14ac:dyDescent="0.2">
      <c r="A104" s="448"/>
      <c r="B104" s="529" t="s">
        <v>300</v>
      </c>
      <c r="C104" s="465"/>
      <c r="D104" s="447"/>
      <c r="E104" s="445"/>
      <c r="F104" s="522">
        <f>SUM(F101:F103)</f>
        <v>25558955.192637678</v>
      </c>
      <c r="G104" s="447"/>
      <c r="H104" s="447"/>
      <c r="I104" s="522">
        <f>SUM(I101:I103)</f>
        <v>30171701.642526381</v>
      </c>
      <c r="J104" s="487"/>
      <c r="K104" s="522">
        <f>SUM(K101:K103)</f>
        <v>4612746.4498887025</v>
      </c>
      <c r="L104" s="442">
        <f>ROUND(K104/F104,5)</f>
        <v>0.18046999999999999</v>
      </c>
      <c r="M104" s="515"/>
      <c r="N104" s="516"/>
      <c r="O104" s="540"/>
      <c r="P104" s="457"/>
      <c r="Q104" s="539"/>
    </row>
    <row r="105" spans="1:17" s="507" customFormat="1" x14ac:dyDescent="0.2">
      <c r="A105" s="448"/>
      <c r="B105" s="541"/>
      <c r="C105" s="465"/>
      <c r="D105" s="448"/>
      <c r="E105" s="417"/>
      <c r="F105" s="446"/>
      <c r="G105" s="447"/>
      <c r="H105" s="447"/>
      <c r="I105" s="487"/>
      <c r="J105" s="487"/>
      <c r="K105" s="446"/>
      <c r="L105" s="449"/>
      <c r="M105" s="515"/>
      <c r="N105" s="516"/>
      <c r="O105" s="446"/>
      <c r="P105" s="457"/>
      <c r="Q105" s="539"/>
    </row>
    <row r="106" spans="1:17" s="507" customFormat="1" x14ac:dyDescent="0.2">
      <c r="A106" s="448"/>
      <c r="B106" s="444" t="s">
        <v>278</v>
      </c>
      <c r="C106" s="457"/>
      <c r="D106" s="447"/>
      <c r="E106" s="510"/>
      <c r="F106" s="522">
        <f>F98+F104</f>
        <v>44052721.831673749</v>
      </c>
      <c r="G106" s="448"/>
      <c r="H106" s="501"/>
      <c r="I106" s="522">
        <f>I98+I104</f>
        <v>48365007.694981158</v>
      </c>
      <c r="J106" s="446"/>
      <c r="K106" s="522">
        <f>K98+K104</f>
        <v>3910402.8035102282</v>
      </c>
      <c r="L106" s="442">
        <f>ROUND(K106/F106,5)</f>
        <v>8.8770000000000002E-2</v>
      </c>
      <c r="M106" s="515"/>
      <c r="N106" s="516"/>
      <c r="O106" s="457"/>
      <c r="P106" s="457"/>
      <c r="Q106" s="447"/>
    </row>
    <row r="107" spans="1:17" s="507" customFormat="1" x14ac:dyDescent="0.2">
      <c r="A107" s="448"/>
      <c r="B107" s="531"/>
      <c r="C107" s="480"/>
      <c r="D107" s="480"/>
      <c r="E107" s="544"/>
      <c r="F107" s="545"/>
      <c r="G107" s="480"/>
      <c r="H107" s="480"/>
      <c r="I107" s="482"/>
      <c r="J107" s="482"/>
      <c r="K107" s="484"/>
      <c r="L107" s="532"/>
      <c r="M107" s="515"/>
      <c r="N107" s="516"/>
      <c r="O107" s="457"/>
      <c r="P107" s="457"/>
      <c r="Q107" s="447"/>
    </row>
    <row r="108" spans="1:17" s="448" customFormat="1" x14ac:dyDescent="0.2">
      <c r="E108" s="517"/>
      <c r="F108" s="546"/>
      <c r="I108" s="533"/>
      <c r="J108" s="533"/>
      <c r="K108" s="455"/>
      <c r="L108" s="534"/>
      <c r="M108" s="515"/>
      <c r="N108" s="516"/>
      <c r="O108" s="289"/>
      <c r="P108" s="289"/>
      <c r="Q108" s="289"/>
    </row>
    <row r="109" spans="1:17" x14ac:dyDescent="0.2">
      <c r="B109" s="417"/>
      <c r="F109" s="547"/>
      <c r="I109" s="547"/>
      <c r="J109" s="547"/>
      <c r="K109" s="547"/>
      <c r="M109" s="443"/>
      <c r="N109" s="416"/>
      <c r="O109" s="289"/>
      <c r="P109" s="289"/>
      <c r="Q109" s="289"/>
    </row>
    <row r="110" spans="1:17" x14ac:dyDescent="0.2">
      <c r="B110" s="550" t="s">
        <v>303</v>
      </c>
      <c r="F110" s="547"/>
      <c r="I110" s="547"/>
      <c r="J110" s="547"/>
      <c r="K110" s="547"/>
      <c r="M110" s="443"/>
      <c r="N110" s="416"/>
      <c r="O110" s="551"/>
      <c r="P110" s="552"/>
      <c r="Q110" s="553"/>
    </row>
    <row r="111" spans="1:17" x14ac:dyDescent="0.2">
      <c r="D111" s="392" t="s">
        <v>240</v>
      </c>
      <c r="F111" s="554" t="s">
        <v>5</v>
      </c>
      <c r="I111" s="554" t="s">
        <v>1</v>
      </c>
      <c r="J111" s="547"/>
      <c r="K111" s="554" t="s">
        <v>24</v>
      </c>
      <c r="M111" s="443"/>
      <c r="N111" s="416"/>
    </row>
    <row r="112" spans="1:17" x14ac:dyDescent="0.2">
      <c r="B112" s="270" t="s">
        <v>304</v>
      </c>
      <c r="C112" s="509"/>
      <c r="D112" s="555"/>
      <c r="E112" s="509"/>
      <c r="F112" s="509"/>
      <c r="G112" s="556"/>
      <c r="H112" s="556"/>
      <c r="I112" s="509"/>
      <c r="J112" s="509"/>
      <c r="K112" s="509"/>
      <c r="M112" s="557"/>
    </row>
    <row r="113" spans="2:13" x14ac:dyDescent="0.2">
      <c r="B113" s="559" t="s">
        <v>305</v>
      </c>
      <c r="C113" s="509"/>
      <c r="D113" s="555"/>
      <c r="E113" s="509"/>
      <c r="F113" s="509">
        <f>F17+F29</f>
        <v>88110814.311921448</v>
      </c>
      <c r="G113" s="556"/>
      <c r="H113" s="556"/>
      <c r="I113" s="509">
        <f>I17+I29</f>
        <v>87250411.776516512</v>
      </c>
      <c r="J113" s="509"/>
      <c r="K113" s="560">
        <f>I113-F113</f>
        <v>-860402.53540493548</v>
      </c>
      <c r="M113" s="557"/>
    </row>
    <row r="114" spans="2:13" x14ac:dyDescent="0.2">
      <c r="B114" s="559" t="s">
        <v>306</v>
      </c>
      <c r="C114" s="509"/>
      <c r="D114" s="555"/>
      <c r="E114" s="509"/>
      <c r="F114" s="509">
        <f>F62+F81</f>
        <v>25558955.192637678</v>
      </c>
      <c r="G114" s="556"/>
      <c r="H114" s="556"/>
      <c r="I114" s="509">
        <f>I62+I81</f>
        <v>30171701.642526381</v>
      </c>
      <c r="J114" s="509"/>
      <c r="K114" s="560">
        <f>I114-F114</f>
        <v>4612746.4498887025</v>
      </c>
      <c r="M114" s="561"/>
    </row>
    <row r="115" spans="2:13" x14ac:dyDescent="0.2">
      <c r="B115" s="559" t="s">
        <v>6</v>
      </c>
      <c r="C115" s="509"/>
      <c r="D115" s="555"/>
      <c r="E115" s="509"/>
      <c r="F115" s="562">
        <f>SUM(F113:F114)</f>
        <v>113669769.50455913</v>
      </c>
      <c r="G115" s="556"/>
      <c r="H115" s="556"/>
      <c r="I115" s="562">
        <f>SUM(I113:I114)</f>
        <v>117422113.41904289</v>
      </c>
      <c r="J115" s="509"/>
      <c r="K115" s="562">
        <f>SUM(K113:K114)</f>
        <v>3752343.914483767</v>
      </c>
      <c r="M115" s="561"/>
    </row>
    <row r="116" spans="2:13" x14ac:dyDescent="0.2">
      <c r="C116" s="509"/>
      <c r="D116" s="555"/>
      <c r="E116" s="509"/>
      <c r="F116" s="509"/>
      <c r="G116" s="556"/>
      <c r="H116" s="556"/>
      <c r="I116" s="509"/>
      <c r="J116" s="509"/>
      <c r="K116" s="560"/>
      <c r="M116" s="561"/>
    </row>
    <row r="117" spans="2:13" x14ac:dyDescent="0.2">
      <c r="B117" s="270" t="s">
        <v>307</v>
      </c>
      <c r="C117" s="509"/>
      <c r="D117" s="555"/>
      <c r="E117" s="509"/>
      <c r="F117" s="509"/>
      <c r="G117" s="556"/>
      <c r="H117" s="556"/>
      <c r="I117" s="509"/>
      <c r="J117" s="509"/>
      <c r="K117" s="560"/>
      <c r="M117" s="561"/>
    </row>
    <row r="118" spans="2:13" x14ac:dyDescent="0.2">
      <c r="B118" s="559" t="s">
        <v>308</v>
      </c>
      <c r="C118" s="509"/>
      <c r="D118" s="555"/>
      <c r="E118" s="509"/>
      <c r="F118" s="509">
        <f>F15+F27</f>
        <v>88442624.13000001</v>
      </c>
      <c r="G118" s="509"/>
      <c r="H118" s="556"/>
      <c r="I118" s="509">
        <f>I15+I27</f>
        <v>87006528.950000003</v>
      </c>
      <c r="J118" s="509"/>
      <c r="K118" s="560">
        <f>I118-F118</f>
        <v>-1436095.1800000072</v>
      </c>
      <c r="L118" s="549">
        <f>K118/F118</f>
        <v>-1.6237591253388414E-2</v>
      </c>
      <c r="M118" s="561"/>
    </row>
    <row r="119" spans="2:13" x14ac:dyDescent="0.2">
      <c r="B119" s="559" t="s">
        <v>306</v>
      </c>
      <c r="C119" s="509"/>
      <c r="D119" s="555"/>
      <c r="E119" s="509"/>
      <c r="F119" s="509">
        <f>F57+F79</f>
        <v>18493766.639036074</v>
      </c>
      <c r="G119" s="509"/>
      <c r="H119" s="556"/>
      <c r="I119" s="509">
        <f>I57+I79</f>
        <v>18193306.05245477</v>
      </c>
      <c r="J119" s="509"/>
      <c r="K119" s="560">
        <f>I119-F119</f>
        <v>-300460.58658130467</v>
      </c>
      <c r="L119" s="549">
        <f>K119/F119</f>
        <v>-1.6246586887665258E-2</v>
      </c>
      <c r="M119" s="561"/>
    </row>
    <row r="120" spans="2:13" x14ac:dyDescent="0.2">
      <c r="B120" s="559" t="s">
        <v>6</v>
      </c>
      <c r="C120" s="509"/>
      <c r="D120" s="555"/>
      <c r="E120" s="509"/>
      <c r="F120" s="562">
        <f>SUM(F118:F119)</f>
        <v>106936390.76903608</v>
      </c>
      <c r="G120" s="509"/>
      <c r="H120" s="556"/>
      <c r="I120" s="562">
        <f>SUM(I118:I119)</f>
        <v>105199835.00245477</v>
      </c>
      <c r="J120" s="509"/>
      <c r="K120" s="562">
        <f>SUM(K118:K119)</f>
        <v>-1736555.7665813118</v>
      </c>
      <c r="L120" s="549">
        <f>K120/F120</f>
        <v>-1.6239146974129405E-2</v>
      </c>
      <c r="M120" s="561"/>
    </row>
    <row r="121" spans="2:13" x14ac:dyDescent="0.2">
      <c r="C121" s="509"/>
      <c r="D121" s="555"/>
      <c r="E121" s="509"/>
      <c r="F121" s="509"/>
      <c r="G121" s="509"/>
      <c r="H121" s="556"/>
      <c r="I121" s="509"/>
      <c r="J121" s="509"/>
      <c r="K121" s="560"/>
      <c r="M121" s="561"/>
    </row>
    <row r="122" spans="2:13" x14ac:dyDescent="0.2">
      <c r="B122" s="550" t="s">
        <v>309</v>
      </c>
      <c r="C122" s="509"/>
      <c r="D122" s="555"/>
      <c r="E122" s="509"/>
      <c r="F122" s="509"/>
      <c r="G122" s="509"/>
      <c r="H122" s="556"/>
      <c r="I122" s="509"/>
      <c r="J122" s="509"/>
      <c r="K122" s="560"/>
      <c r="M122" s="561"/>
    </row>
    <row r="123" spans="2:13" x14ac:dyDescent="0.2">
      <c r="B123" s="559" t="s">
        <v>308</v>
      </c>
      <c r="C123" s="509"/>
      <c r="D123" s="555">
        <f>D36</f>
        <v>214587104.22299999</v>
      </c>
      <c r="E123" s="509"/>
      <c r="F123" s="509">
        <f>F113+F118</f>
        <v>176553438.44192147</v>
      </c>
      <c r="G123" s="556"/>
      <c r="H123" s="556"/>
      <c r="I123" s="509">
        <f>I113+I118</f>
        <v>174256940.72651652</v>
      </c>
      <c r="J123" s="509"/>
      <c r="K123" s="560">
        <f>I123-F123</f>
        <v>-2296497.7154049575</v>
      </c>
      <c r="L123" s="549">
        <f>K123/F123</f>
        <v>-1.3007380290474531E-2</v>
      </c>
      <c r="M123" s="561"/>
    </row>
    <row r="124" spans="2:13" x14ac:dyDescent="0.2">
      <c r="B124" s="559" t="s">
        <v>306</v>
      </c>
      <c r="C124" s="509"/>
      <c r="D124" s="555">
        <f>D96</f>
        <v>83692776.103</v>
      </c>
      <c r="E124" s="509"/>
      <c r="F124" s="509">
        <f>F114+F119</f>
        <v>44052721.831673756</v>
      </c>
      <c r="G124" s="556"/>
      <c r="H124" s="556"/>
      <c r="I124" s="509">
        <f>I114+I119</f>
        <v>48365007.69498115</v>
      </c>
      <c r="J124" s="509"/>
      <c r="K124" s="560">
        <f>I124-F124</f>
        <v>4312285.8633073941</v>
      </c>
      <c r="L124" s="549">
        <f>K124/F124</f>
        <v>9.7889203754190635E-2</v>
      </c>
      <c r="M124" s="561"/>
    </row>
    <row r="125" spans="2:13" x14ac:dyDescent="0.2">
      <c r="B125" s="559" t="s">
        <v>6</v>
      </c>
      <c r="C125" s="509"/>
      <c r="D125" s="563">
        <f>SUM(D123:D124)</f>
        <v>298279880.32599998</v>
      </c>
      <c r="E125" s="509"/>
      <c r="F125" s="562">
        <f>SUM(F123:F124)</f>
        <v>220606160.27359521</v>
      </c>
      <c r="G125" s="556"/>
      <c r="H125" s="556"/>
      <c r="I125" s="562">
        <f>SUM(I123:I124)</f>
        <v>222621948.42149767</v>
      </c>
      <c r="J125" s="509"/>
      <c r="K125" s="562">
        <f>SUM(K123:K124)</f>
        <v>2015788.1479024366</v>
      </c>
      <c r="L125" s="549">
        <f>K125/F125</f>
        <v>9.1374970916608175E-3</v>
      </c>
      <c r="M125" s="561"/>
    </row>
    <row r="126" spans="2:13" x14ac:dyDescent="0.2">
      <c r="C126" s="509"/>
      <c r="D126" s="555"/>
      <c r="E126" s="509"/>
      <c r="F126" s="509"/>
      <c r="G126" s="556"/>
      <c r="H126" s="556"/>
      <c r="I126" s="509"/>
      <c r="J126" s="509"/>
      <c r="K126" s="509"/>
      <c r="M126" s="561"/>
    </row>
    <row r="127" spans="2:13" x14ac:dyDescent="0.2">
      <c r="B127" s="265" t="s">
        <v>290</v>
      </c>
      <c r="C127" s="509"/>
      <c r="D127" s="509"/>
      <c r="E127" s="509"/>
      <c r="F127" s="509"/>
      <c r="G127" s="556"/>
      <c r="H127" s="556"/>
      <c r="I127" s="509"/>
      <c r="J127" s="509"/>
      <c r="K127" s="509"/>
      <c r="M127" s="561"/>
    </row>
    <row r="128" spans="2:13" x14ac:dyDescent="0.2">
      <c r="C128" s="509"/>
      <c r="D128" s="509"/>
      <c r="E128" s="509"/>
      <c r="F128" s="509"/>
      <c r="G128" s="556"/>
      <c r="H128" s="556"/>
      <c r="I128" s="509"/>
      <c r="J128" s="509"/>
      <c r="K128" s="509"/>
      <c r="M128" s="561"/>
    </row>
    <row r="129" spans="3:13" x14ac:dyDescent="0.2">
      <c r="C129" s="509"/>
      <c r="D129" s="509"/>
      <c r="E129" s="509"/>
      <c r="F129" s="509"/>
      <c r="G129" s="556"/>
      <c r="H129" s="556"/>
      <c r="I129" s="509"/>
      <c r="J129" s="509"/>
      <c r="K129" s="509"/>
      <c r="M129" s="561"/>
    </row>
    <row r="130" spans="3:13" x14ac:dyDescent="0.2">
      <c r="C130" s="509"/>
      <c r="D130" s="509"/>
      <c r="E130" s="509"/>
      <c r="F130" s="509"/>
      <c r="G130" s="556"/>
      <c r="H130" s="556"/>
      <c r="I130" s="509"/>
      <c r="J130" s="509"/>
      <c r="K130" s="509"/>
      <c r="M130" s="561"/>
    </row>
    <row r="131" spans="3:13" x14ac:dyDescent="0.2">
      <c r="C131" s="509"/>
      <c r="D131" s="509"/>
      <c r="E131" s="509"/>
      <c r="F131" s="509"/>
      <c r="G131" s="556"/>
      <c r="H131" s="556"/>
      <c r="I131" s="509"/>
      <c r="J131" s="509"/>
      <c r="K131" s="509"/>
      <c r="M131" s="561"/>
    </row>
    <row r="132" spans="3:13" x14ac:dyDescent="0.2">
      <c r="C132" s="509"/>
      <c r="D132" s="509"/>
      <c r="E132" s="509"/>
      <c r="F132" s="509"/>
      <c r="G132" s="556"/>
      <c r="H132" s="556"/>
      <c r="I132" s="509"/>
      <c r="J132" s="509"/>
      <c r="K132" s="509"/>
      <c r="M132" s="561"/>
    </row>
    <row r="133" spans="3:13" x14ac:dyDescent="0.2">
      <c r="C133" s="509"/>
      <c r="D133" s="509"/>
      <c r="E133" s="509"/>
      <c r="F133" s="509"/>
      <c r="G133" s="556"/>
      <c r="H133" s="556"/>
      <c r="I133" s="509"/>
      <c r="J133" s="509"/>
      <c r="K133" s="509"/>
      <c r="M133" s="561"/>
    </row>
    <row r="134" spans="3:13" x14ac:dyDescent="0.2">
      <c r="C134" s="509"/>
      <c r="D134" s="509"/>
      <c r="E134" s="509"/>
      <c r="F134" s="509"/>
      <c r="G134" s="556"/>
      <c r="H134" s="556"/>
      <c r="I134" s="509"/>
      <c r="J134" s="509"/>
      <c r="K134" s="509"/>
      <c r="M134" s="561"/>
    </row>
    <row r="135" spans="3:13" x14ac:dyDescent="0.2">
      <c r="C135" s="509"/>
      <c r="D135" s="509"/>
      <c r="E135" s="509"/>
      <c r="F135" s="509"/>
      <c r="G135" s="556"/>
      <c r="H135" s="556"/>
      <c r="I135" s="509"/>
      <c r="J135" s="509"/>
      <c r="K135" s="509"/>
      <c r="M135" s="561"/>
    </row>
    <row r="136" spans="3:13" x14ac:dyDescent="0.2">
      <c r="C136" s="509"/>
      <c r="D136" s="509"/>
      <c r="E136" s="509"/>
      <c r="F136" s="509"/>
      <c r="G136" s="556"/>
      <c r="H136" s="556"/>
      <c r="I136" s="509"/>
      <c r="J136" s="509"/>
      <c r="K136" s="509"/>
      <c r="M136" s="561"/>
    </row>
    <row r="137" spans="3:13" x14ac:dyDescent="0.2">
      <c r="C137" s="509"/>
      <c r="D137" s="509"/>
      <c r="E137" s="509"/>
      <c r="F137" s="509"/>
      <c r="G137" s="556"/>
      <c r="H137" s="556"/>
      <c r="I137" s="509"/>
      <c r="J137" s="509"/>
      <c r="K137" s="509"/>
      <c r="M137" s="561"/>
    </row>
    <row r="138" spans="3:13" x14ac:dyDescent="0.2">
      <c r="C138" s="509"/>
      <c r="D138" s="509"/>
      <c r="E138" s="509"/>
      <c r="F138" s="509"/>
      <c r="G138" s="556"/>
      <c r="H138" s="556"/>
      <c r="I138" s="509"/>
      <c r="J138" s="509"/>
      <c r="K138" s="509"/>
      <c r="M138" s="561"/>
    </row>
    <row r="139" spans="3:13" x14ac:dyDescent="0.2">
      <c r="C139" s="509"/>
      <c r="D139" s="509"/>
      <c r="E139" s="509"/>
      <c r="F139" s="509"/>
      <c r="G139" s="556"/>
      <c r="H139" s="556"/>
      <c r="I139" s="509"/>
      <c r="J139" s="509"/>
      <c r="K139" s="509"/>
      <c r="M139" s="561"/>
    </row>
    <row r="140" spans="3:13" x14ac:dyDescent="0.2">
      <c r="C140" s="509"/>
      <c r="D140" s="509"/>
      <c r="E140" s="509"/>
      <c r="F140" s="509"/>
      <c r="G140" s="556"/>
      <c r="H140" s="556"/>
      <c r="I140" s="509"/>
      <c r="J140" s="509"/>
      <c r="K140" s="509"/>
      <c r="M140" s="561"/>
    </row>
    <row r="141" spans="3:13" x14ac:dyDescent="0.2">
      <c r="C141" s="509"/>
      <c r="D141" s="509"/>
      <c r="E141" s="509"/>
      <c r="F141" s="509"/>
      <c r="G141" s="556"/>
      <c r="H141" s="556"/>
      <c r="I141" s="509"/>
      <c r="J141" s="509"/>
      <c r="K141" s="509"/>
      <c r="M141" s="561"/>
    </row>
    <row r="142" spans="3:13" x14ac:dyDescent="0.2">
      <c r="C142" s="509"/>
      <c r="D142" s="509"/>
      <c r="E142" s="509"/>
      <c r="F142" s="509"/>
      <c r="G142" s="556"/>
      <c r="H142" s="556"/>
      <c r="I142" s="509"/>
      <c r="J142" s="509"/>
      <c r="K142" s="509"/>
      <c r="M142" s="561"/>
    </row>
    <row r="143" spans="3:13" x14ac:dyDescent="0.2">
      <c r="C143" s="509"/>
      <c r="D143" s="509"/>
      <c r="E143" s="509"/>
      <c r="F143" s="509"/>
      <c r="G143" s="556"/>
      <c r="H143" s="556"/>
      <c r="I143" s="509"/>
      <c r="J143" s="509"/>
      <c r="K143" s="509"/>
      <c r="M143" s="561"/>
    </row>
    <row r="144" spans="3:13" x14ac:dyDescent="0.2">
      <c r="C144" s="509"/>
      <c r="D144" s="509"/>
      <c r="E144" s="509"/>
      <c r="F144" s="509"/>
      <c r="G144" s="556"/>
      <c r="H144" s="556"/>
      <c r="I144" s="509"/>
      <c r="J144" s="509"/>
      <c r="K144" s="509"/>
      <c r="M144" s="561"/>
    </row>
    <row r="145" spans="3:13" x14ac:dyDescent="0.2">
      <c r="C145" s="509"/>
      <c r="D145" s="509"/>
      <c r="E145" s="509"/>
      <c r="F145" s="509"/>
      <c r="G145" s="556"/>
      <c r="H145" s="556"/>
      <c r="I145" s="509"/>
      <c r="J145" s="509"/>
      <c r="K145" s="509"/>
      <c r="M145" s="561"/>
    </row>
    <row r="146" spans="3:13" x14ac:dyDescent="0.2">
      <c r="C146" s="509"/>
      <c r="D146" s="509"/>
      <c r="E146" s="509"/>
      <c r="F146" s="509"/>
      <c r="G146" s="556"/>
      <c r="H146" s="556"/>
      <c r="I146" s="509"/>
      <c r="J146" s="509"/>
      <c r="K146" s="509"/>
      <c r="M146" s="561"/>
    </row>
    <row r="147" spans="3:13" x14ac:dyDescent="0.2">
      <c r="M147" s="561"/>
    </row>
    <row r="148" spans="3:13" x14ac:dyDescent="0.2">
      <c r="M148" s="561"/>
    </row>
  </sheetData>
  <mergeCells count="1">
    <mergeCell ref="K7:L7"/>
  </mergeCells>
  <printOptions horizontalCentered="1"/>
  <pageMargins left="0.5" right="0.5" top="1" bottom="0.5" header="0.75" footer="0.3"/>
  <pageSetup scale="76" fitToHeight="8" orientation="landscape" blackAndWhite="1" r:id="rId1"/>
  <headerFooter alignWithMargins="0">
    <oddFooter>&amp;L&amp;F 
&amp;A&amp;C&amp;P&amp;R&amp;D</oddFooter>
  </headerFooter>
  <rowBreaks count="2" manualBreakCount="2">
    <brk id="44" min="1" max="16" man="1"/>
    <brk id="85" min="1" max="16" man="1"/>
  </row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7"/>
  <sheetViews>
    <sheetView topLeftCell="A38" zoomScaleNormal="100" workbookViewId="0">
      <selection activeCell="F38" sqref="F38"/>
    </sheetView>
  </sheetViews>
  <sheetFormatPr defaultRowHeight="12.75" x14ac:dyDescent="0.2"/>
  <cols>
    <col min="1" max="1" width="2.140625" style="400" customWidth="1"/>
    <col min="2" max="2" width="27.5703125" style="400" customWidth="1"/>
    <col min="3" max="3" width="7.85546875" style="400" bestFit="1" customWidth="1"/>
    <col min="4" max="4" width="14.42578125" style="548" bestFit="1" customWidth="1"/>
    <col min="5" max="5" width="11" style="666" customWidth="1"/>
    <col min="6" max="6" width="16.5703125" style="564" customWidth="1"/>
    <col min="7" max="7" width="3" style="447" customWidth="1"/>
    <col min="8" max="8" width="17.28515625" style="667" bestFit="1" customWidth="1"/>
    <col min="9" max="9" width="17" style="564" customWidth="1"/>
    <col min="10" max="10" width="2.5703125" style="564" customWidth="1"/>
    <col min="11" max="11" width="13" style="564" customWidth="1"/>
    <col min="12" max="12" width="13.5703125" style="654" customWidth="1"/>
    <col min="13" max="13" width="2" style="415" customWidth="1"/>
    <col min="14" max="14" width="2.140625" style="569" customWidth="1"/>
    <col min="15" max="15" width="16.42578125" style="400" bestFit="1" customWidth="1"/>
    <col min="16" max="16" width="2.7109375" style="400" customWidth="1"/>
    <col min="17" max="17" width="9.28515625" style="400" bestFit="1" customWidth="1"/>
    <col min="18" max="16384" width="9.140625" style="400"/>
  </cols>
  <sheetData>
    <row r="1" spans="1:17" x14ac:dyDescent="0.2">
      <c r="B1" s="401"/>
      <c r="C1" s="401"/>
      <c r="D1" s="403"/>
      <c r="E1" s="565"/>
      <c r="F1" s="402"/>
      <c r="G1" s="566"/>
      <c r="H1" s="567"/>
      <c r="I1" s="402"/>
      <c r="J1" s="402"/>
      <c r="K1" s="402"/>
      <c r="L1" s="406"/>
      <c r="M1" s="406"/>
      <c r="N1" s="408"/>
      <c r="O1" s="401"/>
      <c r="P1" s="401"/>
      <c r="Q1" s="401"/>
    </row>
    <row r="2" spans="1:17" x14ac:dyDescent="0.2">
      <c r="B2" s="267" t="s">
        <v>0</v>
      </c>
      <c r="C2" s="267"/>
      <c r="D2" s="567"/>
      <c r="E2" s="402"/>
      <c r="F2" s="402"/>
      <c r="G2" s="567"/>
      <c r="H2" s="567"/>
      <c r="I2" s="402"/>
      <c r="J2" s="402"/>
      <c r="K2" s="402"/>
      <c r="L2" s="402"/>
      <c r="M2" s="406"/>
      <c r="N2" s="408"/>
      <c r="O2" s="401"/>
      <c r="P2" s="401"/>
      <c r="Q2" s="401"/>
    </row>
    <row r="3" spans="1:17" x14ac:dyDescent="0.2">
      <c r="B3" s="169" t="s">
        <v>441</v>
      </c>
      <c r="C3" s="267"/>
      <c r="D3" s="567"/>
      <c r="E3" s="402"/>
      <c r="F3" s="402"/>
      <c r="G3" s="567"/>
      <c r="H3" s="567"/>
      <c r="I3" s="402"/>
      <c r="J3" s="402"/>
      <c r="K3" s="402"/>
      <c r="L3" s="402"/>
      <c r="M3" s="406"/>
      <c r="N3" s="408"/>
      <c r="O3" s="401"/>
      <c r="P3" s="401"/>
      <c r="Q3" s="401"/>
    </row>
    <row r="4" spans="1:17" x14ac:dyDescent="0.2">
      <c r="B4" s="169" t="s">
        <v>417</v>
      </c>
      <c r="C4" s="267"/>
      <c r="D4" s="567"/>
      <c r="E4" s="402"/>
      <c r="F4" s="402"/>
      <c r="G4" s="567"/>
      <c r="H4" s="567"/>
      <c r="I4" s="402"/>
      <c r="J4" s="402"/>
      <c r="K4" s="402"/>
      <c r="L4" s="402"/>
      <c r="M4" s="406"/>
      <c r="N4" s="408"/>
      <c r="O4" s="401"/>
      <c r="P4" s="401"/>
      <c r="Q4" s="401"/>
    </row>
    <row r="5" spans="1:17" x14ac:dyDescent="0.2">
      <c r="B5" s="267" t="s">
        <v>264</v>
      </c>
      <c r="C5" s="267"/>
      <c r="D5" s="403"/>
      <c r="E5" s="565"/>
      <c r="F5" s="402"/>
      <c r="G5" s="566"/>
      <c r="H5" s="567"/>
      <c r="I5" s="402"/>
      <c r="J5" s="402"/>
      <c r="K5" s="402"/>
      <c r="L5" s="406"/>
      <c r="M5" s="406"/>
      <c r="N5" s="408"/>
      <c r="O5" s="409"/>
      <c r="P5" s="401"/>
      <c r="Q5" s="401"/>
    </row>
    <row r="6" spans="1:17" s="417" customFormat="1" x14ac:dyDescent="0.2">
      <c r="B6" s="568"/>
      <c r="C6" s="409"/>
      <c r="D6" s="461"/>
      <c r="E6" s="472"/>
      <c r="F6" s="530"/>
      <c r="G6" s="447"/>
      <c r="H6" s="501"/>
      <c r="I6" s="530"/>
      <c r="J6" s="530"/>
      <c r="K6" s="530"/>
      <c r="L6" s="569"/>
      <c r="M6" s="431"/>
      <c r="N6" s="431"/>
    </row>
    <row r="7" spans="1:17" x14ac:dyDescent="0.2">
      <c r="B7" s="419"/>
      <c r="C7" s="420"/>
      <c r="D7" s="570" t="s">
        <v>265</v>
      </c>
      <c r="E7" s="285" t="s">
        <v>5</v>
      </c>
      <c r="F7" s="422"/>
      <c r="G7" s="570"/>
      <c r="H7" s="571" t="s">
        <v>1</v>
      </c>
      <c r="I7" s="422"/>
      <c r="J7" s="425"/>
      <c r="K7" s="791" t="s">
        <v>266</v>
      </c>
      <c r="L7" s="792"/>
      <c r="M7" s="431"/>
      <c r="N7" s="408"/>
      <c r="O7" s="289" t="s">
        <v>267</v>
      </c>
      <c r="Q7" s="290" t="s">
        <v>268</v>
      </c>
    </row>
    <row r="8" spans="1:17" x14ac:dyDescent="0.2">
      <c r="B8" s="427" t="s">
        <v>215</v>
      </c>
      <c r="C8" s="572" t="s">
        <v>236</v>
      </c>
      <c r="D8" s="573" t="s">
        <v>269</v>
      </c>
      <c r="E8" s="574" t="s">
        <v>22</v>
      </c>
      <c r="F8" s="429" t="s">
        <v>270</v>
      </c>
      <c r="G8" s="573"/>
      <c r="H8" s="481" t="s">
        <v>22</v>
      </c>
      <c r="I8" s="429" t="s">
        <v>270</v>
      </c>
      <c r="J8" s="429"/>
      <c r="K8" s="429" t="s">
        <v>271</v>
      </c>
      <c r="L8" s="575" t="s">
        <v>272</v>
      </c>
      <c r="M8" s="431"/>
      <c r="N8" s="296"/>
      <c r="O8" s="297" t="s">
        <v>273</v>
      </c>
      <c r="Q8" s="298" t="s">
        <v>20</v>
      </c>
    </row>
    <row r="9" spans="1:17" x14ac:dyDescent="0.2">
      <c r="A9" s="417"/>
      <c r="B9" s="476"/>
      <c r="C9" s="465"/>
      <c r="D9" s="447"/>
      <c r="E9" s="472"/>
      <c r="F9" s="530"/>
      <c r="G9" s="497"/>
      <c r="H9" s="501"/>
      <c r="I9" s="462"/>
      <c r="J9" s="462"/>
      <c r="K9" s="530"/>
      <c r="L9" s="576"/>
      <c r="M9" s="431"/>
      <c r="O9" s="417"/>
    </row>
    <row r="10" spans="1:17" ht="15" x14ac:dyDescent="0.25">
      <c r="B10" s="436" t="s">
        <v>310</v>
      </c>
      <c r="C10" s="577"/>
      <c r="D10" s="440"/>
      <c r="E10" s="578"/>
      <c r="F10" s="439"/>
      <c r="G10" s="579"/>
      <c r="H10" s="580"/>
      <c r="I10" s="581"/>
      <c r="J10" s="581"/>
      <c r="K10" s="439"/>
      <c r="L10" s="582"/>
      <c r="M10" s="431"/>
      <c r="N10" s="431"/>
      <c r="O10" s="450" t="s">
        <v>311</v>
      </c>
    </row>
    <row r="11" spans="1:17" x14ac:dyDescent="0.2">
      <c r="B11" s="444"/>
      <c r="C11" s="417"/>
      <c r="D11" s="447"/>
      <c r="E11" s="472"/>
      <c r="F11" s="446"/>
      <c r="G11" s="497"/>
      <c r="H11" s="501"/>
      <c r="I11" s="487"/>
      <c r="J11" s="462"/>
      <c r="K11" s="446"/>
      <c r="L11" s="583"/>
      <c r="M11" s="431"/>
      <c r="N11" s="431"/>
      <c r="O11" s="456">
        <v>-148896.05400749875</v>
      </c>
    </row>
    <row r="12" spans="1:17" x14ac:dyDescent="0.2">
      <c r="B12" s="529" t="s">
        <v>237</v>
      </c>
      <c r="C12" s="584" t="s">
        <v>238</v>
      </c>
      <c r="D12" s="453">
        <v>329.72400330954827</v>
      </c>
      <c r="E12" s="454">
        <v>563.45000000000005</v>
      </c>
      <c r="F12" s="446">
        <f>ROUND(D12*E12,2)</f>
        <v>185782.99</v>
      </c>
      <c r="H12" s="536">
        <f>ROUND(E12*(1+$O$18),2)</f>
        <v>548.57000000000005</v>
      </c>
      <c r="I12" s="487">
        <f>ROUND(D12*H12,2)</f>
        <v>180876.7</v>
      </c>
      <c r="J12" s="462"/>
      <c r="K12" s="446">
        <f>I12-F12</f>
        <v>-4906.289999999979</v>
      </c>
      <c r="L12" s="583"/>
      <c r="M12" s="431"/>
      <c r="N12" s="585"/>
      <c r="O12" s="460" t="s">
        <v>276</v>
      </c>
      <c r="Q12" s="319">
        <f>H12/E12-1</f>
        <v>-2.6408731919424944E-2</v>
      </c>
    </row>
    <row r="13" spans="1:17" x14ac:dyDescent="0.2">
      <c r="B13" s="541" t="s">
        <v>78</v>
      </c>
      <c r="C13" s="457" t="s">
        <v>204</v>
      </c>
      <c r="D13" s="453">
        <v>110230.038</v>
      </c>
      <c r="E13" s="454">
        <v>1.1499999999999999</v>
      </c>
      <c r="F13" s="446">
        <f>ROUND(D13*E13,2)</f>
        <v>126764.54</v>
      </c>
      <c r="H13" s="454">
        <v>1.21</v>
      </c>
      <c r="I13" s="487">
        <f>ROUND(D13*H13,2)</f>
        <v>133378.35</v>
      </c>
      <c r="J13" s="462"/>
      <c r="K13" s="446">
        <f>I13-F13</f>
        <v>6613.8100000000122</v>
      </c>
      <c r="L13" s="583"/>
      <c r="M13" s="431"/>
      <c r="N13" s="585"/>
      <c r="O13" s="586">
        <f>K21+K43-O11</f>
        <v>-8.2308864813821856</v>
      </c>
      <c r="Q13" s="319">
        <f>H13/E13-1</f>
        <v>5.2173913043478404E-2</v>
      </c>
    </row>
    <row r="14" spans="1:17" x14ac:dyDescent="0.2">
      <c r="B14" s="444" t="s">
        <v>87</v>
      </c>
      <c r="C14" s="457" t="s">
        <v>240</v>
      </c>
      <c r="D14" s="447">
        <f>D21</f>
        <v>17139795.438999999</v>
      </c>
      <c r="E14" s="458">
        <v>6.8199999999999997E-3</v>
      </c>
      <c r="F14" s="446">
        <f>E14*D14</f>
        <v>116893.40489397998</v>
      </c>
      <c r="H14" s="458">
        <v>7.4700000000000001E-3</v>
      </c>
      <c r="I14" s="487">
        <f>ROUND(D14*H14,2)</f>
        <v>128034.27</v>
      </c>
      <c r="J14" s="530"/>
      <c r="K14" s="446">
        <f>I14-F14</f>
        <v>11140.865106020021</v>
      </c>
      <c r="L14" s="583"/>
      <c r="M14" s="431"/>
      <c r="N14" s="585"/>
      <c r="O14" s="468"/>
      <c r="Q14" s="319">
        <f>H14/E14-1</f>
        <v>9.5307917888563187E-2</v>
      </c>
    </row>
    <row r="15" spans="1:17" x14ac:dyDescent="0.2">
      <c r="B15" s="541" t="s">
        <v>243</v>
      </c>
      <c r="C15" s="457"/>
      <c r="D15" s="447"/>
      <c r="E15" s="494"/>
      <c r="F15" s="587">
        <v>35324.22</v>
      </c>
      <c r="H15" s="510"/>
      <c r="I15" s="511">
        <f>F15</f>
        <v>35324.22</v>
      </c>
      <c r="J15" s="530"/>
      <c r="K15" s="446">
        <f>I15-F15</f>
        <v>0</v>
      </c>
      <c r="L15" s="583"/>
      <c r="M15" s="431"/>
      <c r="N15" s="431"/>
      <c r="O15" s="468"/>
    </row>
    <row r="16" spans="1:17" x14ac:dyDescent="0.2">
      <c r="B16" s="444"/>
      <c r="C16" s="417"/>
      <c r="D16" s="447"/>
      <c r="E16" s="494"/>
      <c r="F16" s="446"/>
      <c r="H16" s="510"/>
      <c r="I16" s="487"/>
      <c r="J16" s="462"/>
      <c r="K16" s="446"/>
      <c r="L16" s="583"/>
      <c r="M16" s="431"/>
      <c r="N16" s="431"/>
      <c r="O16" s="588"/>
    </row>
    <row r="17" spans="2:17" x14ac:dyDescent="0.2">
      <c r="B17" s="541" t="s">
        <v>79</v>
      </c>
      <c r="C17" s="417"/>
      <c r="D17" s="447"/>
      <c r="E17" s="494"/>
      <c r="F17" s="446"/>
      <c r="H17" s="510"/>
      <c r="I17" s="487"/>
      <c r="J17" s="462"/>
      <c r="K17" s="446"/>
      <c r="L17" s="583"/>
      <c r="M17" s="431"/>
      <c r="N17" s="431"/>
      <c r="O17" s="588"/>
    </row>
    <row r="18" spans="2:17" x14ac:dyDescent="0.2">
      <c r="B18" s="444" t="s">
        <v>226</v>
      </c>
      <c r="C18" s="457" t="s">
        <v>240</v>
      </c>
      <c r="D18" s="453">
        <v>7604132.790000001</v>
      </c>
      <c r="E18" s="458">
        <v>0.10206</v>
      </c>
      <c r="F18" s="446">
        <f>ROUND(D18*E18,2)</f>
        <v>776077.79</v>
      </c>
      <c r="H18" s="459">
        <f>ROUND(E18*(1+$O$18),5)</f>
        <v>9.9360000000000004E-2</v>
      </c>
      <c r="I18" s="487">
        <f>ROUND(D18*H18,2)</f>
        <v>755546.63</v>
      </c>
      <c r="J18" s="462"/>
      <c r="K18" s="446">
        <f>I18-F18</f>
        <v>-20531.160000000033</v>
      </c>
      <c r="L18" s="583"/>
      <c r="M18" s="431"/>
      <c r="N18" s="585"/>
      <c r="O18" s="471">
        <v>-2.6406574664256333E-2</v>
      </c>
      <c r="P18" s="589"/>
      <c r="Q18" s="319">
        <f>H18/E18-1</f>
        <v>-2.6455026455026398E-2</v>
      </c>
    </row>
    <row r="19" spans="2:17" x14ac:dyDescent="0.2">
      <c r="B19" s="444" t="s">
        <v>227</v>
      </c>
      <c r="C19" s="457" t="s">
        <v>240</v>
      </c>
      <c r="D19" s="453">
        <v>4221473.3529999992</v>
      </c>
      <c r="E19" s="458">
        <v>5.0500000000000003E-2</v>
      </c>
      <c r="F19" s="446">
        <f>ROUND(D19*E19,2)</f>
        <v>213184.4</v>
      </c>
      <c r="H19" s="459">
        <f>ROUND(E19*(1+$O$18),5)</f>
        <v>4.9169999999999998E-2</v>
      </c>
      <c r="I19" s="487">
        <f>ROUND(D19*H19,2)</f>
        <v>207569.84</v>
      </c>
      <c r="J19" s="462"/>
      <c r="K19" s="446">
        <f>I19-F19</f>
        <v>-5614.5599999999977</v>
      </c>
      <c r="L19" s="583"/>
      <c r="M19" s="431"/>
      <c r="N19" s="585"/>
      <c r="O19" s="494"/>
      <c r="P19" s="494"/>
      <c r="Q19" s="319">
        <f>H19/E19-1</f>
        <v>-2.6336633663366471E-2</v>
      </c>
    </row>
    <row r="20" spans="2:17" x14ac:dyDescent="0.2">
      <c r="B20" s="444" t="s">
        <v>228</v>
      </c>
      <c r="C20" s="457" t="s">
        <v>240</v>
      </c>
      <c r="D20" s="453">
        <v>5314189.2960000001</v>
      </c>
      <c r="E20" s="458">
        <v>4.8320000000000002E-2</v>
      </c>
      <c r="F20" s="446">
        <f>ROUND(D20*E20,2)</f>
        <v>256781.63</v>
      </c>
      <c r="H20" s="459">
        <f>ROUND(E20*(1+$O$18),5)</f>
        <v>4.7039999999999998E-2</v>
      </c>
      <c r="I20" s="487">
        <f>ROUND(D20*H20,2)</f>
        <v>249979.46</v>
      </c>
      <c r="J20" s="462"/>
      <c r="K20" s="446">
        <f>I20-F20</f>
        <v>-6802.1700000000128</v>
      </c>
      <c r="L20" s="449"/>
      <c r="M20" s="431"/>
      <c r="N20" s="585"/>
      <c r="O20" s="494"/>
      <c r="P20" s="494"/>
      <c r="Q20" s="319">
        <f>H20/E20-1</f>
        <v>-2.6490066225165587E-2</v>
      </c>
    </row>
    <row r="21" spans="2:17" x14ac:dyDescent="0.2">
      <c r="B21" s="339" t="s">
        <v>280</v>
      </c>
      <c r="C21" s="465"/>
      <c r="D21" s="440">
        <f>SUM(D18:D20)</f>
        <v>17139795.438999999</v>
      </c>
      <c r="E21" s="530"/>
      <c r="F21" s="522">
        <f>SUM(F12:F20)</f>
        <v>1710808.9748939797</v>
      </c>
      <c r="H21" s="501"/>
      <c r="I21" s="522">
        <f>SUM(I12:I20)</f>
        <v>1690709.47</v>
      </c>
      <c r="J21" s="462"/>
      <c r="K21" s="522">
        <f>SUM(K12:K20)</f>
        <v>-20099.504893979989</v>
      </c>
      <c r="L21" s="590">
        <f>K21/F21</f>
        <v>-1.174853837508397E-2</v>
      </c>
      <c r="M21" s="431"/>
      <c r="N21" s="431"/>
      <c r="O21" s="591"/>
      <c r="P21" s="524"/>
      <c r="Q21" s="525"/>
    </row>
    <row r="22" spans="2:17" ht="12.75" customHeight="1" x14ac:dyDescent="0.2">
      <c r="B22" s="476"/>
      <c r="C22" s="465"/>
      <c r="D22" s="447"/>
      <c r="E22" s="530"/>
      <c r="F22" s="487"/>
      <c r="H22" s="501"/>
      <c r="I22" s="487"/>
      <c r="J22" s="462"/>
      <c r="K22" s="446"/>
      <c r="L22" s="583"/>
      <c r="M22" s="431"/>
      <c r="N22" s="431"/>
      <c r="O22" s="592"/>
      <c r="P22" s="552"/>
      <c r="Q22" s="553"/>
    </row>
    <row r="23" spans="2:17" ht="12.75" customHeight="1" x14ac:dyDescent="0.2">
      <c r="B23" s="307" t="s">
        <v>277</v>
      </c>
      <c r="C23" s="465"/>
      <c r="D23" s="447"/>
      <c r="E23" s="530"/>
      <c r="F23" s="487"/>
      <c r="H23" s="501"/>
      <c r="I23" s="487"/>
      <c r="J23" s="462"/>
      <c r="K23" s="446"/>
      <c r="L23" s="583"/>
      <c r="M23" s="431"/>
      <c r="N23" s="431"/>
      <c r="O23" s="592"/>
      <c r="P23" s="552"/>
      <c r="Q23" s="553"/>
    </row>
    <row r="24" spans="2:17" x14ac:dyDescent="0.2">
      <c r="B24" s="541" t="s">
        <v>299</v>
      </c>
      <c r="C24" s="457" t="s">
        <v>240</v>
      </c>
      <c r="D24" s="593">
        <f>D21</f>
        <v>17139795.438999999</v>
      </c>
      <c r="E24" s="458">
        <v>0.35809000000000002</v>
      </c>
      <c r="F24" s="487">
        <f>D24*E24</f>
        <v>6137589.3487515105</v>
      </c>
      <c r="G24" s="594"/>
      <c r="H24" s="458">
        <v>0.39240999999999998</v>
      </c>
      <c r="I24" s="487">
        <f>$D24*H24</f>
        <v>6725827.1282179896</v>
      </c>
      <c r="J24" s="462"/>
      <c r="K24" s="446">
        <f>I24-F24</f>
        <v>588237.77946647909</v>
      </c>
      <c r="L24" s="583"/>
      <c r="M24" s="431"/>
      <c r="N24" s="595"/>
    </row>
    <row r="25" spans="2:17" x14ac:dyDescent="0.2">
      <c r="B25" s="541" t="s">
        <v>78</v>
      </c>
      <c r="C25" s="457" t="s">
        <v>204</v>
      </c>
      <c r="D25" s="593">
        <f>D13</f>
        <v>110230.038</v>
      </c>
      <c r="E25" s="454">
        <v>1.05</v>
      </c>
      <c r="F25" s="487">
        <f>D25*E25</f>
        <v>115741.5399</v>
      </c>
      <c r="G25" s="594"/>
      <c r="H25" s="454">
        <v>1.05</v>
      </c>
      <c r="I25" s="487">
        <f>$D25*H25</f>
        <v>115741.5399</v>
      </c>
      <c r="J25" s="462"/>
      <c r="K25" s="446">
        <f>I25-F25</f>
        <v>0</v>
      </c>
      <c r="L25" s="449"/>
      <c r="M25" s="431"/>
      <c r="N25" s="431"/>
    </row>
    <row r="26" spans="2:17" x14ac:dyDescent="0.2">
      <c r="B26" s="529" t="s">
        <v>300</v>
      </c>
      <c r="C26" s="465"/>
      <c r="D26" s="448"/>
      <c r="E26" s="530"/>
      <c r="F26" s="522">
        <f>SUM(F24:F25)</f>
        <v>6253330.8886515107</v>
      </c>
      <c r="G26" s="448"/>
      <c r="H26" s="501"/>
      <c r="I26" s="522">
        <f>SUM(I24:I25)</f>
        <v>6841568.6681179898</v>
      </c>
      <c r="J26" s="530"/>
      <c r="K26" s="522">
        <f>SUM(K24:K25)</f>
        <v>588237.77946647909</v>
      </c>
      <c r="L26" s="590">
        <f>ROUND(K26/F26,5)</f>
        <v>9.4070000000000001E-2</v>
      </c>
      <c r="M26" s="431"/>
      <c r="N26" s="431"/>
      <c r="O26" s="592"/>
      <c r="P26" s="552"/>
      <c r="Q26" s="553"/>
    </row>
    <row r="27" spans="2:17" x14ac:dyDescent="0.2">
      <c r="B27" s="444"/>
      <c r="C27" s="417"/>
      <c r="D27" s="447"/>
      <c r="E27" s="501"/>
      <c r="F27" s="487"/>
      <c r="H27" s="501"/>
      <c r="I27" s="487"/>
      <c r="J27" s="462"/>
      <c r="K27" s="446"/>
      <c r="L27" s="449"/>
      <c r="M27" s="431"/>
      <c r="N27" s="431"/>
    </row>
    <row r="28" spans="2:17" x14ac:dyDescent="0.2">
      <c r="B28" s="444" t="s">
        <v>278</v>
      </c>
      <c r="C28" s="417"/>
      <c r="D28" s="447"/>
      <c r="E28" s="510"/>
      <c r="F28" s="522">
        <f>F21+F26</f>
        <v>7964139.8635454904</v>
      </c>
      <c r="H28" s="501"/>
      <c r="I28" s="522">
        <f>I21+I26</f>
        <v>8532278.1381179895</v>
      </c>
      <c r="J28" s="462"/>
      <c r="K28" s="522">
        <f>K21+K26</f>
        <v>568138.2745724991</v>
      </c>
      <c r="L28" s="590">
        <f>K28/F28</f>
        <v>7.1337053882372964E-2</v>
      </c>
      <c r="M28" s="431"/>
      <c r="N28" s="431"/>
    </row>
    <row r="29" spans="2:17" x14ac:dyDescent="0.2">
      <c r="B29" s="444"/>
      <c r="C29" s="417"/>
      <c r="D29" s="461"/>
      <c r="E29" s="510"/>
      <c r="F29" s="455"/>
      <c r="H29" s="501"/>
      <c r="I29" s="487"/>
      <c r="J29" s="462"/>
      <c r="K29" s="446"/>
      <c r="L29" s="449"/>
      <c r="M29" s="431"/>
      <c r="N29" s="431"/>
    </row>
    <row r="30" spans="2:17" x14ac:dyDescent="0.2">
      <c r="B30" s="478"/>
      <c r="C30" s="596"/>
      <c r="D30" s="597"/>
      <c r="E30" s="598"/>
      <c r="F30" s="485"/>
      <c r="G30" s="597"/>
      <c r="H30" s="599"/>
      <c r="I30" s="485"/>
      <c r="J30" s="600"/>
      <c r="K30" s="485"/>
      <c r="L30" s="486"/>
      <c r="M30" s="431"/>
      <c r="N30" s="431"/>
    </row>
    <row r="31" spans="2:17" x14ac:dyDescent="0.2">
      <c r="B31" s="448"/>
      <c r="C31" s="448"/>
      <c r="D31" s="447"/>
      <c r="E31" s="510"/>
      <c r="F31" s="455"/>
      <c r="H31" s="501"/>
      <c r="I31" s="601"/>
      <c r="J31" s="602"/>
      <c r="K31" s="455"/>
      <c r="L31" s="534"/>
      <c r="M31" s="431"/>
      <c r="N31" s="431"/>
    </row>
    <row r="32" spans="2:17" x14ac:dyDescent="0.2">
      <c r="B32" s="436" t="s">
        <v>312</v>
      </c>
      <c r="C32" s="577"/>
      <c r="D32" s="440"/>
      <c r="E32" s="578"/>
      <c r="F32" s="439"/>
      <c r="G32" s="579"/>
      <c r="H32" s="580"/>
      <c r="I32" s="581"/>
      <c r="J32" s="581"/>
      <c r="K32" s="439"/>
      <c r="L32" s="582"/>
      <c r="M32" s="431"/>
      <c r="N32" s="431"/>
      <c r="O32" s="603"/>
      <c r="P32" s="535"/>
      <c r="Q32" s="447"/>
    </row>
    <row r="33" spans="2:17" x14ac:dyDescent="0.2">
      <c r="B33" s="444"/>
      <c r="C33" s="417"/>
      <c r="D33" s="447"/>
      <c r="E33" s="472"/>
      <c r="F33" s="446"/>
      <c r="G33" s="497"/>
      <c r="H33" s="501"/>
      <c r="I33" s="487"/>
      <c r="J33" s="462"/>
      <c r="K33" s="446"/>
      <c r="L33" s="583"/>
      <c r="M33" s="431"/>
      <c r="N33" s="431"/>
      <c r="O33" s="448"/>
      <c r="P33" s="448"/>
      <c r="Q33" s="447"/>
    </row>
    <row r="34" spans="2:17" x14ac:dyDescent="0.2">
      <c r="B34" s="529" t="s">
        <v>237</v>
      </c>
      <c r="C34" s="584" t="s">
        <v>238</v>
      </c>
      <c r="D34" s="453">
        <v>1264.063439933019</v>
      </c>
      <c r="E34" s="454">
        <v>901.5</v>
      </c>
      <c r="F34" s="446">
        <f>ROUND(D34*E34,2)</f>
        <v>1139553.19</v>
      </c>
      <c r="H34" s="536">
        <f>ROUND(E34*(1+$O$18),2)</f>
        <v>877.69</v>
      </c>
      <c r="I34" s="487">
        <f>ROUND(D34*H34,2)</f>
        <v>1109455.8400000001</v>
      </c>
      <c r="J34" s="462"/>
      <c r="K34" s="446">
        <f>I34-F34</f>
        <v>-30097.34999999986</v>
      </c>
      <c r="L34" s="583"/>
      <c r="M34" s="431"/>
      <c r="N34" s="431"/>
      <c r="O34" s="535"/>
      <c r="P34" s="535"/>
      <c r="Q34" s="319">
        <f>H34/E34-1</f>
        <v>-2.6411536328341589E-2</v>
      </c>
    </row>
    <row r="35" spans="2:17" x14ac:dyDescent="0.2">
      <c r="B35" s="541" t="s">
        <v>78</v>
      </c>
      <c r="C35" s="457" t="s">
        <v>204</v>
      </c>
      <c r="D35" s="453">
        <v>748907.66700000013</v>
      </c>
      <c r="E35" s="454">
        <v>1.1499999999999999</v>
      </c>
      <c r="F35" s="446">
        <f>ROUND(D35*E35,2)</f>
        <v>861243.82</v>
      </c>
      <c r="H35" s="501">
        <f>$H$13</f>
        <v>1.21</v>
      </c>
      <c r="I35" s="487">
        <f>ROUND(D35*H35,2)</f>
        <v>906178.28</v>
      </c>
      <c r="J35" s="462"/>
      <c r="K35" s="446">
        <f>I35-F35</f>
        <v>44934.460000000079</v>
      </c>
      <c r="L35" s="583"/>
      <c r="M35" s="431"/>
      <c r="N35" s="431"/>
      <c r="O35" s="517"/>
      <c r="P35" s="517"/>
      <c r="Q35" s="319">
        <f>H35/E35-1</f>
        <v>5.2173913043478404E-2</v>
      </c>
    </row>
    <row r="36" spans="2:17" x14ac:dyDescent="0.2">
      <c r="B36" s="541" t="s">
        <v>243</v>
      </c>
      <c r="C36" s="457"/>
      <c r="D36" s="453"/>
      <c r="E36" s="454"/>
      <c r="F36" s="604">
        <v>26487.829999999994</v>
      </c>
      <c r="H36" s="501"/>
      <c r="I36" s="605">
        <f>F36</f>
        <v>26487.829999999994</v>
      </c>
      <c r="J36" s="462"/>
      <c r="K36" s="446">
        <f>I36-F36</f>
        <v>0</v>
      </c>
      <c r="L36" s="583"/>
      <c r="M36" s="431"/>
      <c r="N36" s="431"/>
      <c r="O36" s="517"/>
      <c r="P36" s="517"/>
      <c r="Q36" s="539"/>
    </row>
    <row r="37" spans="2:17" x14ac:dyDescent="0.2">
      <c r="B37" s="541"/>
      <c r="C37" s="457"/>
      <c r="D37" s="453"/>
      <c r="E37" s="458"/>
      <c r="F37" s="417"/>
      <c r="H37" s="510"/>
      <c r="I37" s="417"/>
      <c r="J37" s="530"/>
      <c r="K37" s="446"/>
      <c r="L37" s="583"/>
      <c r="M37" s="431"/>
      <c r="N37" s="431"/>
      <c r="O37" s="448"/>
      <c r="P37" s="517"/>
      <c r="Q37" s="447"/>
    </row>
    <row r="38" spans="2:17" x14ac:dyDescent="0.2">
      <c r="B38" s="444"/>
      <c r="C38" s="417"/>
      <c r="D38" s="453"/>
      <c r="E38" s="458"/>
      <c r="F38" s="446"/>
      <c r="H38" s="510"/>
      <c r="I38" s="487"/>
      <c r="J38" s="462"/>
      <c r="K38" s="446"/>
      <c r="L38" s="583"/>
      <c r="M38" s="431"/>
      <c r="N38" s="431"/>
      <c r="O38" s="457"/>
      <c r="P38" s="448"/>
      <c r="Q38" s="447"/>
    </row>
    <row r="39" spans="2:17" x14ac:dyDescent="0.2">
      <c r="B39" s="541" t="s">
        <v>79</v>
      </c>
      <c r="C39" s="417"/>
      <c r="D39" s="453"/>
      <c r="E39" s="458"/>
      <c r="F39" s="446"/>
      <c r="H39" s="510"/>
      <c r="I39" s="487"/>
      <c r="J39" s="462"/>
      <c r="K39" s="446"/>
      <c r="L39" s="583"/>
      <c r="M39" s="431"/>
      <c r="N39" s="431"/>
      <c r="O39" s="448"/>
      <c r="P39" s="448"/>
      <c r="Q39" s="447"/>
    </row>
    <row r="40" spans="2:17" x14ac:dyDescent="0.2">
      <c r="B40" s="444" t="s">
        <v>226</v>
      </c>
      <c r="C40" s="457" t="s">
        <v>240</v>
      </c>
      <c r="D40" s="453">
        <v>28841779.980000004</v>
      </c>
      <c r="E40" s="458">
        <v>0.10206</v>
      </c>
      <c r="F40" s="446">
        <f>ROUND(D40*E40,2)</f>
        <v>2943592.06</v>
      </c>
      <c r="H40" s="459">
        <f>H18</f>
        <v>9.9360000000000004E-2</v>
      </c>
      <c r="I40" s="487">
        <f>ROUND(D40*H40,2)</f>
        <v>2865719.26</v>
      </c>
      <c r="J40" s="462"/>
      <c r="K40" s="446">
        <f>I40-F40</f>
        <v>-77872.800000000279</v>
      </c>
      <c r="L40" s="583"/>
      <c r="M40" s="431"/>
      <c r="N40" s="431"/>
      <c r="O40" s="517"/>
      <c r="P40" s="448"/>
      <c r="Q40" s="319">
        <f>H40/E40-1</f>
        <v>-2.6455026455026398E-2</v>
      </c>
    </row>
    <row r="41" spans="2:17" x14ac:dyDescent="0.2">
      <c r="B41" s="444" t="s">
        <v>227</v>
      </c>
      <c r="C41" s="457" t="s">
        <v>240</v>
      </c>
      <c r="D41" s="453">
        <v>19041755.700000003</v>
      </c>
      <c r="E41" s="458">
        <v>5.0500000000000003E-2</v>
      </c>
      <c r="F41" s="446">
        <f>ROUND(D41*E41,2)</f>
        <v>961608.66</v>
      </c>
      <c r="H41" s="459">
        <f>H19</f>
        <v>4.9169999999999998E-2</v>
      </c>
      <c r="I41" s="487">
        <f>ROUND(D41*H41,2)</f>
        <v>936283.13</v>
      </c>
      <c r="J41" s="462"/>
      <c r="K41" s="446">
        <f>I41-F41</f>
        <v>-25325.530000000028</v>
      </c>
      <c r="L41" s="583"/>
      <c r="M41" s="431"/>
      <c r="N41" s="431"/>
      <c r="O41" s="448"/>
      <c r="P41" s="517"/>
      <c r="Q41" s="319">
        <f>H41/E41-1</f>
        <v>-2.6336633663366471E-2</v>
      </c>
    </row>
    <row r="42" spans="2:17" x14ac:dyDescent="0.2">
      <c r="B42" s="541" t="s">
        <v>230</v>
      </c>
      <c r="C42" s="457" t="s">
        <v>240</v>
      </c>
      <c r="D42" s="453">
        <v>31596529.580000002</v>
      </c>
      <c r="E42" s="458">
        <v>4.8320000000000002E-2</v>
      </c>
      <c r="F42" s="485">
        <f>ROUND(D42*E42,2)</f>
        <v>1526744.31</v>
      </c>
      <c r="H42" s="459">
        <f>H20</f>
        <v>4.7039999999999998E-2</v>
      </c>
      <c r="I42" s="487">
        <f>ROUND(D42*H42,2)</f>
        <v>1486300.75</v>
      </c>
      <c r="J42" s="462"/>
      <c r="K42" s="446">
        <f>I42-F42</f>
        <v>-40443.560000000056</v>
      </c>
      <c r="L42" s="449"/>
      <c r="M42" s="431"/>
      <c r="N42" s="431"/>
      <c r="O42" s="448"/>
      <c r="P42" s="517"/>
      <c r="Q42" s="319">
        <f>H42/E42-1</f>
        <v>-2.6490066225165587E-2</v>
      </c>
    </row>
    <row r="43" spans="2:17" x14ac:dyDescent="0.2">
      <c r="B43" s="339" t="s">
        <v>280</v>
      </c>
      <c r="C43" s="465"/>
      <c r="D43" s="440">
        <f>SUM(D40:D42)</f>
        <v>79480065.260000005</v>
      </c>
      <c r="E43" s="606"/>
      <c r="F43" s="522">
        <f>SUM(F34:F42)</f>
        <v>7459229.870000001</v>
      </c>
      <c r="H43" s="501"/>
      <c r="I43" s="522">
        <f>SUM(I34:I42)</f>
        <v>7330425.0899999999</v>
      </c>
      <c r="J43" s="462"/>
      <c r="K43" s="522">
        <f>SUM(K34:K42)</f>
        <v>-128804.78000000014</v>
      </c>
      <c r="L43" s="590">
        <f>K43/F43</f>
        <v>-1.726783893844528E-2</v>
      </c>
      <c r="M43" s="431"/>
      <c r="N43" s="431"/>
      <c r="O43" s="517"/>
      <c r="P43" s="517"/>
      <c r="Q43" s="461"/>
    </row>
    <row r="44" spans="2:17" x14ac:dyDescent="0.2">
      <c r="B44" s="476"/>
      <c r="C44" s="465"/>
      <c r="D44" s="447"/>
      <c r="E44" s="606"/>
      <c r="F44" s="487"/>
      <c r="H44" s="501"/>
      <c r="I44" s="487"/>
      <c r="J44" s="462"/>
      <c r="K44" s="446"/>
      <c r="L44" s="583"/>
      <c r="M44" s="431"/>
      <c r="N44" s="431"/>
      <c r="O44" s="452"/>
      <c r="P44" s="448"/>
      <c r="Q44" s="447"/>
    </row>
    <row r="45" spans="2:17" x14ac:dyDescent="0.2">
      <c r="B45" s="541" t="s">
        <v>294</v>
      </c>
      <c r="C45" s="457" t="s">
        <v>240</v>
      </c>
      <c r="D45" s="593">
        <f>D43</f>
        <v>79480065.260000005</v>
      </c>
      <c r="E45" s="458">
        <v>6.9999999999999999E-4</v>
      </c>
      <c r="F45" s="487">
        <f>E45*D45</f>
        <v>55636.045682000004</v>
      </c>
      <c r="G45" s="594"/>
      <c r="H45" s="494">
        <v>6.9999999999999999E-4</v>
      </c>
      <c r="I45" s="446">
        <f>H45*D45</f>
        <v>55636.045682000004</v>
      </c>
      <c r="J45" s="462"/>
      <c r="K45" s="446">
        <f>I45-F45</f>
        <v>0</v>
      </c>
      <c r="L45" s="583"/>
      <c r="M45" s="431"/>
      <c r="N45" s="431"/>
      <c r="O45" s="452"/>
      <c r="P45" s="452"/>
      <c r="Q45" s="447"/>
    </row>
    <row r="46" spans="2:17" x14ac:dyDescent="0.2">
      <c r="B46" s="529" t="s">
        <v>278</v>
      </c>
      <c r="C46" s="417"/>
      <c r="D46" s="447"/>
      <c r="E46" s="493"/>
      <c r="F46" s="522">
        <f>F45+F43</f>
        <v>7514865.915682001</v>
      </c>
      <c r="G46" s="448"/>
      <c r="H46" s="501"/>
      <c r="I46" s="522">
        <f>I45+I43</f>
        <v>7386061.1356819998</v>
      </c>
      <c r="J46" s="530"/>
      <c r="K46" s="522">
        <f>K45+K43</f>
        <v>-128804.78000000014</v>
      </c>
      <c r="L46" s="590">
        <f>ROUND(K46/F46,5)</f>
        <v>-1.7139999999999999E-2</v>
      </c>
      <c r="M46" s="431"/>
      <c r="N46" s="431"/>
      <c r="O46" s="607"/>
      <c r="P46" s="517"/>
      <c r="Q46" s="594"/>
    </row>
    <row r="47" spans="2:17" x14ac:dyDescent="0.2">
      <c r="B47" s="478"/>
      <c r="C47" s="596"/>
      <c r="D47" s="597"/>
      <c r="E47" s="598"/>
      <c r="F47" s="485"/>
      <c r="G47" s="597"/>
      <c r="H47" s="599"/>
      <c r="I47" s="608"/>
      <c r="J47" s="600"/>
      <c r="K47" s="485"/>
      <c r="L47" s="486"/>
      <c r="M47" s="431"/>
      <c r="N47" s="431"/>
      <c r="O47" s="448"/>
      <c r="P47" s="448"/>
      <c r="Q47" s="447"/>
    </row>
    <row r="48" spans="2:17" x14ac:dyDescent="0.2">
      <c r="B48" s="417"/>
      <c r="C48" s="417"/>
      <c r="D48" s="447"/>
      <c r="E48" s="472"/>
      <c r="F48" s="446"/>
      <c r="H48" s="501"/>
      <c r="I48" s="487"/>
      <c r="J48" s="462"/>
      <c r="K48" s="446"/>
      <c r="L48" s="488"/>
      <c r="M48" s="431"/>
      <c r="N48" s="431"/>
      <c r="O48" s="448"/>
      <c r="P48" s="448"/>
      <c r="Q48" s="447"/>
    </row>
    <row r="49" spans="2:17" x14ac:dyDescent="0.2">
      <c r="B49" s="489" t="s">
        <v>313</v>
      </c>
      <c r="C49" s="577"/>
      <c r="D49" s="440"/>
      <c r="E49" s="578"/>
      <c r="F49" s="439"/>
      <c r="G49" s="579"/>
      <c r="H49" s="580"/>
      <c r="I49" s="581"/>
      <c r="J49" s="581"/>
      <c r="K49" s="439"/>
      <c r="L49" s="582"/>
      <c r="M49" s="431"/>
      <c r="N49" s="431"/>
      <c r="O49" s="448"/>
      <c r="P49" s="448"/>
      <c r="Q49" s="447"/>
    </row>
    <row r="50" spans="2:17" x14ac:dyDescent="0.2">
      <c r="B50" s="444"/>
      <c r="C50" s="417"/>
      <c r="D50" s="447"/>
      <c r="E50" s="510"/>
      <c r="F50" s="455"/>
      <c r="G50" s="497"/>
      <c r="H50" s="501"/>
      <c r="I50" s="601"/>
      <c r="J50" s="602"/>
      <c r="K50" s="455"/>
      <c r="L50" s="609"/>
      <c r="M50" s="610"/>
      <c r="N50" s="431"/>
      <c r="O50" s="448"/>
      <c r="P50" s="448"/>
      <c r="Q50" s="461"/>
    </row>
    <row r="51" spans="2:17" x14ac:dyDescent="0.2">
      <c r="B51" s="529" t="s">
        <v>237</v>
      </c>
      <c r="C51" s="584" t="s">
        <v>238</v>
      </c>
      <c r="D51" s="461">
        <f>D34+D12</f>
        <v>1593.7874432425674</v>
      </c>
      <c r="E51" s="493"/>
      <c r="F51" s="455">
        <f>F12+F34</f>
        <v>1325336.18</v>
      </c>
      <c r="H51" s="501"/>
      <c r="I51" s="455">
        <f>I12+I34</f>
        <v>1290332.54</v>
      </c>
      <c r="J51" s="602"/>
      <c r="K51" s="455">
        <f>I51-F51</f>
        <v>-35003.639999999898</v>
      </c>
      <c r="L51" s="609"/>
      <c r="M51" s="610"/>
      <c r="N51" s="431"/>
      <c r="O51" s="448"/>
      <c r="P51" s="448"/>
      <c r="Q51" s="319"/>
    </row>
    <row r="52" spans="2:17" x14ac:dyDescent="0.2">
      <c r="B52" s="541" t="s">
        <v>78</v>
      </c>
      <c r="C52" s="457" t="s">
        <v>204</v>
      </c>
      <c r="D52" s="461">
        <f>D35+D13</f>
        <v>859137.70500000007</v>
      </c>
      <c r="E52" s="493"/>
      <c r="F52" s="455">
        <f>F13+F35</f>
        <v>988008.36</v>
      </c>
      <c r="H52" s="501"/>
      <c r="I52" s="455">
        <f>I13+I35</f>
        <v>1039556.63</v>
      </c>
      <c r="J52" s="602"/>
      <c r="K52" s="455">
        <f>I52-F52</f>
        <v>51548.270000000019</v>
      </c>
      <c r="L52" s="609"/>
      <c r="M52" s="610"/>
      <c r="N52" s="431"/>
      <c r="O52" s="448"/>
      <c r="P52" s="448"/>
      <c r="Q52" s="319"/>
    </row>
    <row r="53" spans="2:17" x14ac:dyDescent="0.2">
      <c r="B53" s="541" t="s">
        <v>87</v>
      </c>
      <c r="C53" s="457" t="s">
        <v>240</v>
      </c>
      <c r="D53" s="461">
        <f>D36+D14</f>
        <v>17139795.438999999</v>
      </c>
      <c r="E53" s="493"/>
      <c r="F53" s="455">
        <f>F14</f>
        <v>116893.40489397998</v>
      </c>
      <c r="H53" s="501"/>
      <c r="I53" s="455">
        <f>I14</f>
        <v>128034.27</v>
      </c>
      <c r="J53" s="602"/>
      <c r="K53" s="455">
        <f>I53-F53</f>
        <v>11140.865106020021</v>
      </c>
      <c r="L53" s="609"/>
      <c r="M53" s="610"/>
      <c r="N53" s="431"/>
      <c r="O53" s="448"/>
      <c r="P53" s="448"/>
      <c r="Q53" s="319"/>
    </row>
    <row r="54" spans="2:17" x14ac:dyDescent="0.2">
      <c r="B54" s="541" t="s">
        <v>243</v>
      </c>
      <c r="C54" s="457"/>
      <c r="D54" s="539"/>
      <c r="E54" s="493"/>
      <c r="F54" s="611">
        <f>F15+F36</f>
        <v>61812.049999999996</v>
      </c>
      <c r="H54" s="501"/>
      <c r="I54" s="611">
        <f>I15+I36</f>
        <v>61812.049999999996</v>
      </c>
      <c r="J54" s="602"/>
      <c r="K54" s="455">
        <f>I54-F54</f>
        <v>0</v>
      </c>
      <c r="L54" s="609"/>
      <c r="M54" s="610"/>
      <c r="N54" s="431"/>
      <c r="O54" s="448"/>
      <c r="P54" s="448"/>
      <c r="Q54" s="461"/>
    </row>
    <row r="55" spans="2:17" x14ac:dyDescent="0.2">
      <c r="B55" s="541"/>
      <c r="C55" s="457"/>
      <c r="D55" s="447"/>
      <c r="E55" s="494"/>
      <c r="F55" s="448"/>
      <c r="H55" s="510"/>
      <c r="I55" s="448"/>
      <c r="J55" s="501"/>
      <c r="K55" s="455"/>
      <c r="L55" s="609"/>
      <c r="M55" s="610"/>
      <c r="N55" s="431"/>
      <c r="O55" s="448"/>
      <c r="P55" s="448"/>
      <c r="Q55" s="461"/>
    </row>
    <row r="56" spans="2:17" x14ac:dyDescent="0.2">
      <c r="B56" s="541" t="s">
        <v>79</v>
      </c>
      <c r="C56" s="417"/>
      <c r="D56" s="447"/>
      <c r="E56" s="494"/>
      <c r="F56" s="455"/>
      <c r="H56" s="510"/>
      <c r="I56" s="455"/>
      <c r="J56" s="602"/>
      <c r="K56" s="455"/>
      <c r="L56" s="609"/>
      <c r="M56" s="610"/>
      <c r="N56" s="431"/>
      <c r="O56" s="448"/>
      <c r="P56" s="448"/>
      <c r="Q56" s="461"/>
    </row>
    <row r="57" spans="2:17" x14ac:dyDescent="0.2">
      <c r="B57" s="444" t="s">
        <v>226</v>
      </c>
      <c r="C57" s="457" t="s">
        <v>240</v>
      </c>
      <c r="D57" s="461">
        <f>D40+D18</f>
        <v>36445912.770000003</v>
      </c>
      <c r="E57" s="494"/>
      <c r="F57" s="455">
        <f>F18+F40</f>
        <v>3719669.85</v>
      </c>
      <c r="H57" s="494"/>
      <c r="I57" s="455">
        <f>I18+I40</f>
        <v>3621265.8899999997</v>
      </c>
      <c r="J57" s="602"/>
      <c r="K57" s="455">
        <f>I57-F57</f>
        <v>-98403.960000000428</v>
      </c>
      <c r="L57" s="609"/>
      <c r="M57" s="610"/>
      <c r="N57" s="431"/>
      <c r="O57" s="517"/>
      <c r="P57" s="448"/>
      <c r="Q57" s="461"/>
    </row>
    <row r="58" spans="2:17" x14ac:dyDescent="0.2">
      <c r="B58" s="444" t="s">
        <v>227</v>
      </c>
      <c r="C58" s="457" t="s">
        <v>240</v>
      </c>
      <c r="D58" s="461">
        <f>D41+D19</f>
        <v>23263229.053000003</v>
      </c>
      <c r="E58" s="494"/>
      <c r="F58" s="455">
        <f>F19+F41</f>
        <v>1174793.06</v>
      </c>
      <c r="H58" s="494"/>
      <c r="I58" s="455">
        <f>I19+I41</f>
        <v>1143852.97</v>
      </c>
      <c r="J58" s="602"/>
      <c r="K58" s="455">
        <f>I58-F58</f>
        <v>-30940.090000000084</v>
      </c>
      <c r="L58" s="609"/>
      <c r="M58" s="610"/>
      <c r="N58" s="431"/>
      <c r="O58" s="517"/>
      <c r="P58" s="448"/>
      <c r="Q58" s="461"/>
    </row>
    <row r="59" spans="2:17" x14ac:dyDescent="0.2">
      <c r="B59" s="444" t="s">
        <v>228</v>
      </c>
      <c r="C59" s="457" t="s">
        <v>240</v>
      </c>
      <c r="D59" s="461">
        <f>D42+D20</f>
        <v>36910718.876000002</v>
      </c>
      <c r="E59" s="494"/>
      <c r="F59" s="484">
        <f>F20+F42</f>
        <v>1783525.94</v>
      </c>
      <c r="H59" s="510"/>
      <c r="I59" s="484">
        <f>I20+I42</f>
        <v>1736280.21</v>
      </c>
      <c r="J59" s="602"/>
      <c r="K59" s="455">
        <f>I59-F59</f>
        <v>-47245.729999999981</v>
      </c>
      <c r="L59" s="514"/>
      <c r="M59" s="610"/>
      <c r="N59" s="431"/>
      <c r="O59" s="517"/>
      <c r="P59" s="448"/>
      <c r="Q59" s="461"/>
    </row>
    <row r="60" spans="2:17" x14ac:dyDescent="0.2">
      <c r="B60" s="339" t="s">
        <v>280</v>
      </c>
      <c r="C60" s="465"/>
      <c r="D60" s="440">
        <f>SUM(D57:D59)</f>
        <v>96619860.699000001</v>
      </c>
      <c r="E60" s="501"/>
      <c r="F60" s="612">
        <f>SUM(F51:F59)</f>
        <v>9170038.8448939789</v>
      </c>
      <c r="H60" s="501"/>
      <c r="I60" s="612">
        <f>SUM(I51:I59)</f>
        <v>9021134.5599999987</v>
      </c>
      <c r="J60" s="602"/>
      <c r="K60" s="612">
        <f>SUM(K51:K59)</f>
        <v>-148904.28489398037</v>
      </c>
      <c r="L60" s="590">
        <f>K60/F60</f>
        <v>-1.6238130220886972E-2</v>
      </c>
      <c r="M60" s="610"/>
      <c r="N60" s="431"/>
      <c r="O60" s="517"/>
      <c r="P60" s="448"/>
      <c r="Q60" s="461"/>
    </row>
    <row r="61" spans="2:17" x14ac:dyDescent="0.2">
      <c r="B61" s="476"/>
      <c r="C61" s="465"/>
      <c r="D61" s="447"/>
      <c r="E61" s="501"/>
      <c r="F61" s="601"/>
      <c r="H61" s="501"/>
      <c r="I61" s="601"/>
      <c r="J61" s="602"/>
      <c r="K61" s="455"/>
      <c r="L61" s="609"/>
      <c r="M61" s="610"/>
      <c r="N61" s="431"/>
      <c r="O61" s="517"/>
      <c r="P61" s="448"/>
      <c r="Q61" s="461"/>
    </row>
    <row r="62" spans="2:17" x14ac:dyDescent="0.2">
      <c r="B62" s="307" t="s">
        <v>277</v>
      </c>
      <c r="C62" s="465"/>
      <c r="D62" s="447"/>
      <c r="E62" s="501"/>
      <c r="F62" s="601"/>
      <c r="H62" s="501"/>
      <c r="I62" s="601"/>
      <c r="J62" s="602"/>
      <c r="K62" s="455"/>
      <c r="L62" s="613"/>
      <c r="M62" s="610"/>
      <c r="N62" s="431"/>
      <c r="O62" s="517"/>
      <c r="P62" s="448"/>
      <c r="Q62" s="461"/>
    </row>
    <row r="63" spans="2:17" x14ac:dyDescent="0.2">
      <c r="B63" s="541" t="s">
        <v>299</v>
      </c>
      <c r="C63" s="465"/>
      <c r="D63" s="447">
        <f>D24</f>
        <v>17139795.438999999</v>
      </c>
      <c r="E63" s="501"/>
      <c r="F63" s="601">
        <f>F24</f>
        <v>6137589.3487515105</v>
      </c>
      <c r="H63" s="501"/>
      <c r="I63" s="601">
        <f>I24</f>
        <v>6725827.1282179896</v>
      </c>
      <c r="J63" s="602"/>
      <c r="K63" s="455">
        <f>I63-F63</f>
        <v>588237.77946647909</v>
      </c>
      <c r="L63" s="609"/>
      <c r="M63" s="610"/>
      <c r="N63" s="431"/>
      <c r="O63" s="517"/>
      <c r="P63" s="448"/>
      <c r="Q63" s="461"/>
    </row>
    <row r="64" spans="2:17" x14ac:dyDescent="0.2">
      <c r="B64" s="541" t="s">
        <v>78</v>
      </c>
      <c r="C64" s="465"/>
      <c r="D64" s="447">
        <f>D25</f>
        <v>110230.038</v>
      </c>
      <c r="E64" s="501"/>
      <c r="F64" s="601">
        <f>F25</f>
        <v>115741.5399</v>
      </c>
      <c r="H64" s="501"/>
      <c r="I64" s="601">
        <f>I25</f>
        <v>115741.5399</v>
      </c>
      <c r="J64" s="602"/>
      <c r="K64" s="455">
        <f>I64-F64</f>
        <v>0</v>
      </c>
      <c r="L64" s="609"/>
      <c r="M64" s="610"/>
      <c r="N64" s="431"/>
      <c r="O64" s="517"/>
      <c r="P64" s="448"/>
      <c r="Q64" s="461"/>
    </row>
    <row r="65" spans="1:17" x14ac:dyDescent="0.2">
      <c r="B65" s="541" t="s">
        <v>294</v>
      </c>
      <c r="C65" s="457" t="s">
        <v>240</v>
      </c>
      <c r="D65" s="461">
        <f>D45</f>
        <v>79480065.260000005</v>
      </c>
      <c r="E65" s="501"/>
      <c r="F65" s="601">
        <f>F45</f>
        <v>55636.045682000004</v>
      </c>
      <c r="H65" s="501"/>
      <c r="I65" s="601">
        <f>I45</f>
        <v>55636.045682000004</v>
      </c>
      <c r="J65" s="602"/>
      <c r="K65" s="455">
        <f>I65-F65</f>
        <v>0</v>
      </c>
      <c r="L65" s="609"/>
      <c r="M65" s="610"/>
      <c r="N65" s="431"/>
      <c r="O65" s="517"/>
      <c r="P65" s="448"/>
      <c r="Q65" s="461"/>
    </row>
    <row r="66" spans="1:17" x14ac:dyDescent="0.2">
      <c r="B66" s="529" t="s">
        <v>300</v>
      </c>
      <c r="C66" s="465"/>
      <c r="D66" s="447"/>
      <c r="E66" s="501"/>
      <c r="F66" s="612">
        <f>SUM(F63:F65)</f>
        <v>6308966.9343335107</v>
      </c>
      <c r="H66" s="501"/>
      <c r="I66" s="612">
        <f>SUM(I63:I65)</f>
        <v>6897204.7137999898</v>
      </c>
      <c r="J66" s="602"/>
      <c r="K66" s="612">
        <f>SUM(K63:K65)</f>
        <v>588237.77946647909</v>
      </c>
      <c r="L66" s="590">
        <f>K66/F66</f>
        <v>9.3238367800800886E-2</v>
      </c>
      <c r="M66" s="610"/>
      <c r="N66" s="431"/>
      <c r="O66" s="517"/>
      <c r="P66" s="448"/>
      <c r="Q66" s="461"/>
    </row>
    <row r="67" spans="1:17" x14ac:dyDescent="0.2">
      <c r="B67" s="476"/>
      <c r="C67" s="465"/>
      <c r="D67" s="447"/>
      <c r="E67" s="501"/>
      <c r="F67" s="601"/>
      <c r="H67" s="501"/>
      <c r="I67" s="601"/>
      <c r="J67" s="602"/>
      <c r="K67" s="455"/>
      <c r="L67" s="609"/>
      <c r="M67" s="610"/>
      <c r="N67" s="431"/>
      <c r="O67" s="448"/>
      <c r="P67" s="448"/>
      <c r="Q67" s="447"/>
    </row>
    <row r="68" spans="1:17" x14ac:dyDescent="0.2">
      <c r="B68" s="444" t="s">
        <v>278</v>
      </c>
      <c r="C68" s="417"/>
      <c r="D68" s="447"/>
      <c r="E68" s="501"/>
      <c r="F68" s="612">
        <f>F60+F66</f>
        <v>15479005.77922749</v>
      </c>
      <c r="H68" s="501"/>
      <c r="I68" s="612">
        <f>I60+I66</f>
        <v>15918339.273799989</v>
      </c>
      <c r="J68" s="602"/>
      <c r="K68" s="612">
        <f>K60+K66</f>
        <v>439333.49457249872</v>
      </c>
      <c r="L68" s="590">
        <f>K68/F68</f>
        <v>2.8382539604841762E-2</v>
      </c>
      <c r="M68" s="610"/>
      <c r="N68" s="431"/>
    </row>
    <row r="69" spans="1:17" x14ac:dyDescent="0.2">
      <c r="B69" s="478"/>
      <c r="C69" s="596"/>
      <c r="D69" s="597"/>
      <c r="E69" s="614"/>
      <c r="F69" s="484"/>
      <c r="G69" s="597"/>
      <c r="H69" s="599"/>
      <c r="I69" s="615"/>
      <c r="J69" s="616"/>
      <c r="K69" s="484"/>
      <c r="L69" s="532"/>
      <c r="M69" s="610"/>
      <c r="N69" s="431"/>
    </row>
    <row r="70" spans="1:17" x14ac:dyDescent="0.2">
      <c r="A70" s="417"/>
      <c r="B70" s="417"/>
      <c r="C70" s="417"/>
      <c r="D70" s="447"/>
      <c r="E70" s="472"/>
      <c r="F70" s="446"/>
      <c r="H70" s="501"/>
      <c r="I70" s="487"/>
      <c r="J70" s="462"/>
      <c r="K70" s="446"/>
      <c r="L70" s="488"/>
      <c r="M70" s="431"/>
      <c r="N70" s="431"/>
      <c r="O70" s="596"/>
    </row>
    <row r="71" spans="1:17" ht="15" x14ac:dyDescent="0.25">
      <c r="B71" s="436" t="s">
        <v>314</v>
      </c>
      <c r="C71" s="577"/>
      <c r="D71" s="440"/>
      <c r="E71" s="578"/>
      <c r="F71" s="439"/>
      <c r="G71" s="440"/>
      <c r="H71" s="580"/>
      <c r="I71" s="522"/>
      <c r="J71" s="581"/>
      <c r="K71" s="439"/>
      <c r="L71" s="442"/>
      <c r="M71" s="431"/>
      <c r="N71" s="617"/>
      <c r="O71" s="618" t="s">
        <v>315</v>
      </c>
    </row>
    <row r="72" spans="1:17" x14ac:dyDescent="0.2">
      <c r="B72" s="444"/>
      <c r="C72" s="417"/>
      <c r="D72" s="447"/>
      <c r="E72" s="472"/>
      <c r="F72" s="446"/>
      <c r="G72" s="497"/>
      <c r="H72" s="501"/>
      <c r="I72" s="487"/>
      <c r="J72" s="462"/>
      <c r="K72" s="446"/>
      <c r="L72" s="583"/>
      <c r="M72" s="431"/>
      <c r="N72" s="617"/>
      <c r="O72" s="499">
        <v>-36090.447132685651</v>
      </c>
    </row>
    <row r="73" spans="1:17" x14ac:dyDescent="0.2">
      <c r="B73" s="529" t="s">
        <v>237</v>
      </c>
      <c r="C73" s="584" t="s">
        <v>238</v>
      </c>
      <c r="D73" s="453">
        <v>2858.9139747435988</v>
      </c>
      <c r="E73" s="454">
        <v>144.01</v>
      </c>
      <c r="F73" s="446">
        <f>ROUND(D73*E73,2)</f>
        <v>411712.2</v>
      </c>
      <c r="H73" s="536">
        <f>ROUND(E73*(1+$O$79),2)</f>
        <v>139.36000000000001</v>
      </c>
      <c r="I73" s="487">
        <f>ROUND(D73*H73,2)</f>
        <v>398418.25</v>
      </c>
      <c r="J73" s="462"/>
      <c r="K73" s="446">
        <f>I73-F73</f>
        <v>-13293.950000000012</v>
      </c>
      <c r="L73" s="583"/>
      <c r="M73" s="431"/>
      <c r="N73" s="585"/>
      <c r="O73" s="460" t="s">
        <v>276</v>
      </c>
      <c r="Q73" s="319">
        <f>H73/E73-1</f>
        <v>-3.2289424345531392E-2</v>
      </c>
    </row>
    <row r="74" spans="1:17" x14ac:dyDescent="0.2">
      <c r="B74" s="541" t="s">
        <v>78</v>
      </c>
      <c r="C74" s="457" t="s">
        <v>204</v>
      </c>
      <c r="D74" s="453">
        <v>84423.830999999991</v>
      </c>
      <c r="E74" s="454">
        <v>1.1499999999999999</v>
      </c>
      <c r="F74" s="446">
        <f>ROUND(D74*E74,2)</f>
        <v>97087.41</v>
      </c>
      <c r="H74" s="454">
        <v>1.22</v>
      </c>
      <c r="I74" s="487">
        <f>ROUND(D74*H74,2)</f>
        <v>102997.07</v>
      </c>
      <c r="J74" s="462"/>
      <c r="K74" s="446">
        <f>I74-F74</f>
        <v>5909.6600000000035</v>
      </c>
      <c r="L74" s="583"/>
      <c r="M74" s="431"/>
      <c r="N74" s="431"/>
      <c r="O74" s="586">
        <f>K81+K100-O72</f>
        <v>-73.622867314545147</v>
      </c>
      <c r="Q74" s="319">
        <f>H74/E74-1</f>
        <v>6.0869565217391397E-2</v>
      </c>
    </row>
    <row r="75" spans="1:17" x14ac:dyDescent="0.2">
      <c r="B75" s="444" t="s">
        <v>87</v>
      </c>
      <c r="C75" s="457" t="s">
        <v>240</v>
      </c>
      <c r="D75" s="447">
        <f>D81</f>
        <v>9926029.5299999993</v>
      </c>
      <c r="E75" s="458">
        <v>6.8100000000000001E-3</v>
      </c>
      <c r="F75" s="446">
        <f>ROUND(D75*E75,2)</f>
        <v>67596.259999999995</v>
      </c>
      <c r="H75" s="458">
        <v>9.0699999999999999E-3</v>
      </c>
      <c r="I75" s="487">
        <f>ROUND(D81*H75,2)</f>
        <v>90029.09</v>
      </c>
      <c r="J75" s="462"/>
      <c r="K75" s="446">
        <f>I75-F75</f>
        <v>22432.83</v>
      </c>
      <c r="L75" s="583"/>
      <c r="M75" s="431"/>
      <c r="N75" s="431"/>
      <c r="Q75" s="319">
        <f>H75/E75-1</f>
        <v>0.33186490455212914</v>
      </c>
    </row>
    <row r="76" spans="1:17" x14ac:dyDescent="0.2">
      <c r="B76" s="541" t="s">
        <v>243</v>
      </c>
      <c r="C76" s="417"/>
      <c r="D76" s="447"/>
      <c r="E76" s="458"/>
      <c r="F76" s="604">
        <v>32304.22</v>
      </c>
      <c r="H76" s="510"/>
      <c r="I76" s="605">
        <f>F76</f>
        <v>32304.22</v>
      </c>
      <c r="J76" s="619"/>
      <c r="K76" s="446">
        <f>I76-F76</f>
        <v>0</v>
      </c>
      <c r="L76" s="583"/>
      <c r="M76" s="431"/>
      <c r="N76" s="431"/>
      <c r="O76" s="588"/>
    </row>
    <row r="77" spans="1:17" x14ac:dyDescent="0.2">
      <c r="B77" s="444"/>
      <c r="C77" s="417"/>
      <c r="D77" s="447"/>
      <c r="E77" s="458"/>
      <c r="F77" s="446"/>
      <c r="H77" s="510"/>
      <c r="I77" s="487"/>
      <c r="J77" s="462"/>
      <c r="K77" s="446"/>
      <c r="L77" s="583"/>
      <c r="M77" s="431"/>
      <c r="N77" s="585"/>
      <c r="O77" s="289"/>
      <c r="P77" s="552"/>
      <c r="Q77" s="552"/>
    </row>
    <row r="78" spans="1:17" x14ac:dyDescent="0.2">
      <c r="B78" s="541" t="s">
        <v>79</v>
      </c>
      <c r="C78" s="417"/>
      <c r="D78" s="447"/>
      <c r="E78" s="458"/>
      <c r="F78" s="446"/>
      <c r="H78" s="510"/>
      <c r="I78" s="487"/>
      <c r="J78" s="462"/>
      <c r="K78" s="446"/>
      <c r="L78" s="583"/>
      <c r="M78" s="431"/>
      <c r="N78" s="585"/>
      <c r="O78" s="620"/>
      <c r="P78" s="289"/>
      <c r="Q78" s="552"/>
    </row>
    <row r="79" spans="1:17" x14ac:dyDescent="0.2">
      <c r="B79" s="496" t="s">
        <v>94</v>
      </c>
      <c r="C79" s="517" t="s">
        <v>240</v>
      </c>
      <c r="D79" s="453">
        <v>2175439.4739999999</v>
      </c>
      <c r="E79" s="458">
        <v>0.19916</v>
      </c>
      <c r="F79" s="446">
        <f>ROUND(D79*E79,2)</f>
        <v>433260.53</v>
      </c>
      <c r="H79" s="459">
        <f>ROUND(E79*(1+$O$79),5)</f>
        <v>0.19273999999999999</v>
      </c>
      <c r="I79" s="487">
        <f>ROUND(D79*H79,2)</f>
        <v>419294.2</v>
      </c>
      <c r="J79" s="462"/>
      <c r="K79" s="446">
        <f>I79-F79</f>
        <v>-13966.330000000016</v>
      </c>
      <c r="L79" s="583"/>
      <c r="M79" s="431"/>
      <c r="N79" s="431"/>
      <c r="O79" s="335">
        <v>-3.226024143962801E-2</v>
      </c>
      <c r="P79" s="552"/>
      <c r="Q79" s="319">
        <f>H79/E79-1</f>
        <v>-3.2235388632255502E-2</v>
      </c>
    </row>
    <row r="80" spans="1:17" ht="12.75" customHeight="1" x14ac:dyDescent="0.2">
      <c r="B80" s="496" t="s">
        <v>172</v>
      </c>
      <c r="C80" s="517" t="s">
        <v>240</v>
      </c>
      <c r="D80" s="453">
        <v>7750590.0559999999</v>
      </c>
      <c r="E80" s="458">
        <v>0.14119999999999999</v>
      </c>
      <c r="F80" s="446">
        <f>ROUND(D80*E80,2)</f>
        <v>1094383.32</v>
      </c>
      <c r="H80" s="459">
        <f>ROUND(E80*(1+$O$79),5)</f>
        <v>0.13664000000000001</v>
      </c>
      <c r="I80" s="487">
        <f>ROUND(D80*H80,2)</f>
        <v>1059040.6299999999</v>
      </c>
      <c r="J80" s="462"/>
      <c r="K80" s="446">
        <f>I80-F80</f>
        <v>-35342.690000000177</v>
      </c>
      <c r="L80" s="583"/>
      <c r="M80" s="431"/>
      <c r="N80" s="431"/>
      <c r="O80" s="620"/>
      <c r="P80" s="552"/>
      <c r="Q80" s="319">
        <f>H80/E80-1</f>
        <v>-3.2294617563739192E-2</v>
      </c>
    </row>
    <row r="81" spans="1:17" ht="12.75" customHeight="1" x14ac:dyDescent="0.2">
      <c r="B81" s="339" t="s">
        <v>280</v>
      </c>
      <c r="C81" s="457" t="s">
        <v>240</v>
      </c>
      <c r="D81" s="440">
        <f>SUM(D79:D80)</f>
        <v>9926029.5299999993</v>
      </c>
      <c r="E81" s="621"/>
      <c r="F81" s="522">
        <f>SUM(F73:F80)</f>
        <v>2136343.94</v>
      </c>
      <c r="H81" s="501"/>
      <c r="I81" s="522">
        <f>SUM(I73:I80)</f>
        <v>2102083.46</v>
      </c>
      <c r="J81" s="462"/>
      <c r="K81" s="522">
        <f>SUM(K73:K80)</f>
        <v>-34260.4800000002</v>
      </c>
      <c r="L81" s="582">
        <f>K81/F81</f>
        <v>-1.6036968279555305E-2</v>
      </c>
      <c r="M81" s="431"/>
      <c r="N81" s="431"/>
      <c r="O81" s="551"/>
      <c r="P81" s="552"/>
      <c r="Q81" s="553"/>
    </row>
    <row r="82" spans="1:17" x14ac:dyDescent="0.2">
      <c r="B82" s="476"/>
      <c r="C82" s="465"/>
      <c r="D82" s="447"/>
      <c r="E82" s="621"/>
      <c r="F82" s="487"/>
      <c r="H82" s="501"/>
      <c r="I82" s="487"/>
      <c r="J82" s="462"/>
      <c r="K82" s="446"/>
      <c r="L82" s="449"/>
      <c r="M82" s="431"/>
      <c r="N82" s="595"/>
      <c r="O82" s="592"/>
      <c r="P82" s="552"/>
      <c r="Q82" s="553"/>
    </row>
    <row r="83" spans="1:17" x14ac:dyDescent="0.2">
      <c r="B83" s="307" t="s">
        <v>277</v>
      </c>
      <c r="C83" s="465"/>
      <c r="D83" s="447"/>
      <c r="E83" s="621"/>
      <c r="F83" s="487"/>
      <c r="H83" s="501"/>
      <c r="I83" s="487"/>
      <c r="J83" s="462"/>
      <c r="K83" s="446"/>
      <c r="L83" s="449"/>
      <c r="M83" s="431"/>
      <c r="N83" s="431"/>
    </row>
    <row r="84" spans="1:17" x14ac:dyDescent="0.2">
      <c r="B84" s="541" t="s">
        <v>299</v>
      </c>
      <c r="C84" s="457" t="s">
        <v>240</v>
      </c>
      <c r="D84" s="593">
        <f>D81</f>
        <v>9926029.5299999993</v>
      </c>
      <c r="E84" s="458">
        <v>0.34773999999999999</v>
      </c>
      <c r="F84" s="487">
        <f>+D84*E84</f>
        <v>3451677.5087621999</v>
      </c>
      <c r="G84" s="594"/>
      <c r="H84" s="458">
        <v>0.39258999999999999</v>
      </c>
      <c r="I84" s="487">
        <f>+D84*H84</f>
        <v>3896859.9331826996</v>
      </c>
      <c r="J84" s="462"/>
      <c r="K84" s="446">
        <f>I84-F84</f>
        <v>445182.42442049971</v>
      </c>
      <c r="L84" s="583"/>
      <c r="M84" s="431"/>
      <c r="N84" s="431"/>
      <c r="O84" s="592"/>
      <c r="P84" s="552"/>
      <c r="Q84" s="553"/>
    </row>
    <row r="85" spans="1:17" x14ac:dyDescent="0.2">
      <c r="B85" s="541" t="s">
        <v>78</v>
      </c>
      <c r="C85" s="457" t="s">
        <v>204</v>
      </c>
      <c r="D85" s="593">
        <f>D74</f>
        <v>84423.830999999991</v>
      </c>
      <c r="E85" s="454">
        <v>1.05</v>
      </c>
      <c r="F85" s="487">
        <f>D85*E85</f>
        <v>88645.022549999994</v>
      </c>
      <c r="G85" s="594"/>
      <c r="H85" s="454">
        <v>1.05</v>
      </c>
      <c r="I85" s="487">
        <f>D85*H85</f>
        <v>88645.022549999994</v>
      </c>
      <c r="J85" s="462"/>
      <c r="K85" s="446">
        <f>I85-F85</f>
        <v>0</v>
      </c>
      <c r="L85" s="449"/>
      <c r="M85" s="431"/>
      <c r="N85" s="431"/>
    </row>
    <row r="86" spans="1:17" x14ac:dyDescent="0.2">
      <c r="B86" s="529" t="s">
        <v>300</v>
      </c>
      <c r="C86" s="465"/>
      <c r="D86" s="448"/>
      <c r="E86" s="530"/>
      <c r="F86" s="522">
        <f>SUM(F84:F85)</f>
        <v>3540322.5313121998</v>
      </c>
      <c r="G86" s="448"/>
      <c r="H86" s="501"/>
      <c r="I86" s="522">
        <f>SUM(I84:I85)</f>
        <v>3985504.9557326995</v>
      </c>
      <c r="J86" s="530"/>
      <c r="K86" s="522">
        <f>SUM(K84:K85)</f>
        <v>445182.42442049971</v>
      </c>
      <c r="L86" s="582">
        <f>ROUND(K86/F86,5)</f>
        <v>0.12575</v>
      </c>
      <c r="M86" s="431"/>
      <c r="N86" s="431"/>
    </row>
    <row r="87" spans="1:17" x14ac:dyDescent="0.2">
      <c r="B87" s="444"/>
      <c r="C87" s="417"/>
      <c r="D87" s="447"/>
      <c r="E87" s="472"/>
      <c r="F87" s="487"/>
      <c r="H87" s="501"/>
      <c r="I87" s="487"/>
      <c r="J87" s="462"/>
      <c r="K87" s="446"/>
      <c r="L87" s="449"/>
      <c r="M87" s="431"/>
      <c r="N87" s="431"/>
    </row>
    <row r="88" spans="1:17" s="417" customFormat="1" x14ac:dyDescent="0.2">
      <c r="B88" s="444" t="s">
        <v>278</v>
      </c>
      <c r="D88" s="447"/>
      <c r="E88" s="530"/>
      <c r="F88" s="522">
        <f>F86+F81</f>
        <v>5676666.4713121997</v>
      </c>
      <c r="G88" s="447"/>
      <c r="H88" s="501"/>
      <c r="I88" s="522">
        <f>I86+I81</f>
        <v>6087588.4157326994</v>
      </c>
      <c r="J88" s="462"/>
      <c r="K88" s="522">
        <f>K86+K81</f>
        <v>410921.94442049949</v>
      </c>
      <c r="L88" s="582">
        <f>K88/F88</f>
        <v>7.238789639961217E-2</v>
      </c>
      <c r="M88" s="431"/>
      <c r="N88" s="431"/>
    </row>
    <row r="89" spans="1:17" x14ac:dyDescent="0.2">
      <c r="A89" s="417"/>
      <c r="B89" s="478"/>
      <c r="C89" s="596"/>
      <c r="D89" s="542"/>
      <c r="E89" s="622"/>
      <c r="F89" s="484"/>
      <c r="G89" s="597"/>
      <c r="H89" s="599"/>
      <c r="I89" s="615"/>
      <c r="J89" s="600"/>
      <c r="K89" s="485"/>
      <c r="L89" s="623"/>
      <c r="M89" s="431"/>
      <c r="N89" s="431"/>
    </row>
    <row r="90" spans="1:17" s="417" customFormat="1" x14ac:dyDescent="0.2">
      <c r="D90" s="461"/>
      <c r="E90" s="624"/>
      <c r="F90" s="455"/>
      <c r="G90" s="447"/>
      <c r="H90" s="501"/>
      <c r="I90" s="601"/>
      <c r="J90" s="462"/>
      <c r="K90" s="446"/>
      <c r="L90" s="625"/>
      <c r="M90" s="431"/>
      <c r="N90" s="431"/>
    </row>
    <row r="91" spans="1:17" x14ac:dyDescent="0.2">
      <c r="A91" s="417"/>
      <c r="B91" s="436" t="s">
        <v>316</v>
      </c>
      <c r="C91" s="577"/>
      <c r="D91" s="440"/>
      <c r="E91" s="578"/>
      <c r="F91" s="439"/>
      <c r="G91" s="440"/>
      <c r="H91" s="580"/>
      <c r="I91" s="522"/>
      <c r="J91" s="581"/>
      <c r="K91" s="439"/>
      <c r="L91" s="442"/>
      <c r="M91" s="431"/>
      <c r="N91" s="431"/>
    </row>
    <row r="92" spans="1:17" x14ac:dyDescent="0.2">
      <c r="A92" s="417"/>
      <c r="B92" s="444"/>
      <c r="C92" s="417"/>
      <c r="D92" s="447"/>
      <c r="E92" s="472"/>
      <c r="F92" s="446"/>
      <c r="G92" s="497"/>
      <c r="H92" s="501"/>
      <c r="I92" s="487"/>
      <c r="J92" s="462"/>
      <c r="K92" s="446"/>
      <c r="L92" s="583"/>
      <c r="M92" s="431"/>
      <c r="N92" s="431"/>
    </row>
    <row r="93" spans="1:17" x14ac:dyDescent="0.2">
      <c r="A93" s="417"/>
      <c r="B93" s="529" t="s">
        <v>237</v>
      </c>
      <c r="C93" s="584" t="s">
        <v>238</v>
      </c>
      <c r="D93" s="453">
        <v>49</v>
      </c>
      <c r="E93" s="454">
        <v>458.22</v>
      </c>
      <c r="F93" s="446">
        <f>ROUND(D93*E93,2)</f>
        <v>22452.78</v>
      </c>
      <c r="H93" s="536">
        <f>ROUND(E93*(1+$O$79),2)</f>
        <v>443.44</v>
      </c>
      <c r="I93" s="487">
        <f>ROUND(D93*H93,2)</f>
        <v>21728.560000000001</v>
      </c>
      <c r="J93" s="462"/>
      <c r="K93" s="446">
        <f>I93-F93</f>
        <v>-724.21999999999753</v>
      </c>
      <c r="L93" s="583"/>
      <c r="M93" s="431"/>
      <c r="N93" s="431"/>
      <c r="Q93" s="319">
        <f>H93/E93-1</f>
        <v>-3.2255248570555728E-2</v>
      </c>
    </row>
    <row r="94" spans="1:17" x14ac:dyDescent="0.2">
      <c r="A94" s="417"/>
      <c r="B94" s="541" t="s">
        <v>78</v>
      </c>
      <c r="C94" s="457" t="s">
        <v>204</v>
      </c>
      <c r="D94" s="453">
        <v>8250</v>
      </c>
      <c r="E94" s="454">
        <v>1.1499999999999999</v>
      </c>
      <c r="F94" s="446">
        <f>ROUND(D94*E94,2)</f>
        <v>9487.5</v>
      </c>
      <c r="H94" s="536">
        <f>H74</f>
        <v>1.22</v>
      </c>
      <c r="I94" s="487">
        <f>ROUND(D94*H94,2)</f>
        <v>10065</v>
      </c>
      <c r="J94" s="462"/>
      <c r="K94" s="446">
        <f>I94-F94</f>
        <v>577.5</v>
      </c>
      <c r="L94" s="583"/>
      <c r="M94" s="431"/>
      <c r="N94" s="431"/>
      <c r="Q94" s="319">
        <f>H94/E94-1</f>
        <v>6.0869565217391397E-2</v>
      </c>
    </row>
    <row r="95" spans="1:17" x14ac:dyDescent="0.2">
      <c r="A95" s="417"/>
      <c r="B95" s="541" t="s">
        <v>243</v>
      </c>
      <c r="C95" s="417"/>
      <c r="D95" s="453"/>
      <c r="E95" s="458"/>
      <c r="F95" s="604">
        <v>0</v>
      </c>
      <c r="H95" s="510"/>
      <c r="I95" s="605">
        <f>F95</f>
        <v>0</v>
      </c>
      <c r="J95" s="619"/>
      <c r="K95" s="446">
        <f>I95-F95</f>
        <v>0</v>
      </c>
      <c r="L95" s="583"/>
      <c r="M95" s="431"/>
      <c r="N95" s="431"/>
    </row>
    <row r="96" spans="1:17" x14ac:dyDescent="0.2">
      <c r="A96" s="417"/>
      <c r="B96" s="444"/>
      <c r="C96" s="417"/>
      <c r="D96" s="453"/>
      <c r="E96" s="458"/>
      <c r="F96" s="446"/>
      <c r="H96" s="510"/>
      <c r="I96" s="487"/>
      <c r="J96" s="462"/>
      <c r="K96" s="446"/>
      <c r="L96" s="583"/>
      <c r="M96" s="431"/>
      <c r="N96" s="431"/>
    </row>
    <row r="97" spans="1:17" x14ac:dyDescent="0.2">
      <c r="A97" s="417"/>
      <c r="B97" s="541" t="s">
        <v>79</v>
      </c>
      <c r="C97" s="417"/>
      <c r="D97" s="453"/>
      <c r="E97" s="458"/>
      <c r="F97" s="446"/>
      <c r="H97" s="510"/>
      <c r="I97" s="487"/>
      <c r="J97" s="462"/>
      <c r="K97" s="446"/>
      <c r="L97" s="583"/>
      <c r="M97" s="431"/>
      <c r="N97" s="431"/>
    </row>
    <row r="98" spans="1:17" x14ac:dyDescent="0.2">
      <c r="A98" s="417"/>
      <c r="B98" s="496" t="s">
        <v>94</v>
      </c>
      <c r="C98" s="517" t="s">
        <v>240</v>
      </c>
      <c r="D98" s="453">
        <v>31000</v>
      </c>
      <c r="E98" s="458">
        <v>0.19916</v>
      </c>
      <c r="F98" s="446">
        <f>ROUND(D98*E98,2)</f>
        <v>6173.96</v>
      </c>
      <c r="H98" s="459">
        <f>H79</f>
        <v>0.19273999999999999</v>
      </c>
      <c r="I98" s="487">
        <f>ROUND(D98*H98,2)</f>
        <v>5974.94</v>
      </c>
      <c r="J98" s="462"/>
      <c r="K98" s="446">
        <f>I98-F98</f>
        <v>-199.02000000000044</v>
      </c>
      <c r="L98" s="583"/>
      <c r="M98" s="431"/>
      <c r="N98" s="431"/>
      <c r="Q98" s="319">
        <f>H98/E98-1</f>
        <v>-3.2235388632255502E-2</v>
      </c>
    </row>
    <row r="99" spans="1:17" x14ac:dyDescent="0.2">
      <c r="A99" s="417"/>
      <c r="B99" s="496" t="s">
        <v>172</v>
      </c>
      <c r="C99" s="517" t="s">
        <v>240</v>
      </c>
      <c r="D99" s="453">
        <v>341634.3</v>
      </c>
      <c r="E99" s="458">
        <v>0.14119999999999999</v>
      </c>
      <c r="F99" s="446">
        <f>ROUND(D99*E99,2)</f>
        <v>48238.76</v>
      </c>
      <c r="H99" s="459">
        <f>H80</f>
        <v>0.13664000000000001</v>
      </c>
      <c r="I99" s="487">
        <f>ROUND(D99*H99,2)</f>
        <v>46680.91</v>
      </c>
      <c r="J99" s="462"/>
      <c r="K99" s="446">
        <f>I99-F99</f>
        <v>-1557.8499999999985</v>
      </c>
      <c r="L99" s="583"/>
      <c r="M99" s="431"/>
      <c r="N99" s="431"/>
      <c r="Q99" s="319">
        <f>H99/E99-1</f>
        <v>-3.2294617563739192E-2</v>
      </c>
    </row>
    <row r="100" spans="1:17" x14ac:dyDescent="0.2">
      <c r="A100" s="417"/>
      <c r="B100" s="339" t="s">
        <v>280</v>
      </c>
      <c r="C100" s="457" t="s">
        <v>240</v>
      </c>
      <c r="D100" s="440">
        <f>SUM(D98:D99)</f>
        <v>372634.3</v>
      </c>
      <c r="E100" s="621"/>
      <c r="F100" s="522">
        <f>SUM(F93:F99)</f>
        <v>86353</v>
      </c>
      <c r="H100" s="501"/>
      <c r="I100" s="522">
        <f>SUM(I93:I99)</f>
        <v>84449.41</v>
      </c>
      <c r="J100" s="462"/>
      <c r="K100" s="522">
        <f>SUM(K93:K99)</f>
        <v>-1903.5899999999965</v>
      </c>
      <c r="L100" s="582"/>
      <c r="M100" s="431"/>
      <c r="N100" s="431"/>
    </row>
    <row r="101" spans="1:17" x14ac:dyDescent="0.2">
      <c r="A101" s="417"/>
      <c r="B101" s="476"/>
      <c r="C101" s="465"/>
      <c r="D101" s="447"/>
      <c r="E101" s="621"/>
      <c r="F101" s="487"/>
      <c r="H101" s="501"/>
      <c r="I101" s="487"/>
      <c r="J101" s="462"/>
      <c r="K101" s="446"/>
      <c r="L101" s="449"/>
      <c r="M101" s="431"/>
      <c r="N101" s="431"/>
    </row>
    <row r="102" spans="1:17" x14ac:dyDescent="0.2">
      <c r="A102" s="417"/>
      <c r="B102" s="541" t="s">
        <v>294</v>
      </c>
      <c r="C102" s="457" t="s">
        <v>240</v>
      </c>
      <c r="D102" s="593">
        <f>D100</f>
        <v>372634.3</v>
      </c>
      <c r="E102" s="458">
        <v>6.9999999999999999E-4</v>
      </c>
      <c r="F102" s="487">
        <f>E102*D102</f>
        <v>260.84400999999997</v>
      </c>
      <c r="G102" s="594"/>
      <c r="H102" s="494">
        <v>6.9999999999999999E-4</v>
      </c>
      <c r="I102" s="446">
        <f>H102*D102</f>
        <v>260.84400999999997</v>
      </c>
      <c r="J102" s="462"/>
      <c r="K102" s="446">
        <f>I102-F102</f>
        <v>0</v>
      </c>
      <c r="L102" s="583"/>
      <c r="M102" s="431"/>
      <c r="N102" s="431"/>
    </row>
    <row r="103" spans="1:17" x14ac:dyDescent="0.2">
      <c r="A103" s="417"/>
      <c r="B103" s="529" t="s">
        <v>278</v>
      </c>
      <c r="C103" s="417"/>
      <c r="D103" s="447"/>
      <c r="E103" s="493"/>
      <c r="F103" s="522">
        <f>F102+F100</f>
        <v>86613.844010000001</v>
      </c>
      <c r="G103" s="522"/>
      <c r="H103" s="501"/>
      <c r="I103" s="522">
        <f>I102+I100</f>
        <v>84710.254010000004</v>
      </c>
      <c r="J103" s="530"/>
      <c r="K103" s="522">
        <f>K102+K100</f>
        <v>-1903.5899999999965</v>
      </c>
      <c r="L103" s="442"/>
      <c r="M103" s="431"/>
      <c r="N103" s="431"/>
    </row>
    <row r="104" spans="1:17" x14ac:dyDescent="0.2">
      <c r="A104" s="417"/>
      <c r="B104" s="478"/>
      <c r="C104" s="596"/>
      <c r="D104" s="597"/>
      <c r="E104" s="598"/>
      <c r="F104" s="485"/>
      <c r="G104" s="597"/>
      <c r="H104" s="599"/>
      <c r="I104" s="608"/>
      <c r="J104" s="600"/>
      <c r="K104" s="485"/>
      <c r="L104" s="486"/>
      <c r="M104" s="431"/>
      <c r="N104" s="431"/>
    </row>
    <row r="105" spans="1:17" s="417" customFormat="1" x14ac:dyDescent="0.2">
      <c r="D105" s="461"/>
      <c r="E105" s="624"/>
      <c r="F105" s="455"/>
      <c r="G105" s="447"/>
      <c r="H105" s="501"/>
      <c r="I105" s="601"/>
      <c r="J105" s="462"/>
      <c r="K105" s="446"/>
      <c r="L105" s="625"/>
      <c r="M105" s="431"/>
      <c r="N105" s="431"/>
    </row>
    <row r="106" spans="1:17" x14ac:dyDescent="0.2">
      <c r="A106" s="417"/>
      <c r="B106" s="436" t="s">
        <v>317</v>
      </c>
      <c r="C106" s="577"/>
      <c r="D106" s="440"/>
      <c r="E106" s="578"/>
      <c r="F106" s="439"/>
      <c r="G106" s="440"/>
      <c r="H106" s="580"/>
      <c r="I106" s="522"/>
      <c r="J106" s="581"/>
      <c r="K106" s="439"/>
      <c r="L106" s="442"/>
      <c r="M106" s="431"/>
      <c r="N106" s="431"/>
    </row>
    <row r="107" spans="1:17" x14ac:dyDescent="0.2">
      <c r="A107" s="417"/>
      <c r="B107" s="444"/>
      <c r="C107" s="417"/>
      <c r="D107" s="447"/>
      <c r="E107" s="472"/>
      <c r="F107" s="446"/>
      <c r="G107" s="497"/>
      <c r="H107" s="501"/>
      <c r="I107" s="487"/>
      <c r="J107" s="462"/>
      <c r="K107" s="446"/>
      <c r="L107" s="583"/>
      <c r="M107" s="431"/>
      <c r="N107" s="431"/>
    </row>
    <row r="108" spans="1:17" x14ac:dyDescent="0.2">
      <c r="A108" s="417"/>
      <c r="B108" s="529" t="s">
        <v>237</v>
      </c>
      <c r="C108" s="584" t="s">
        <v>238</v>
      </c>
      <c r="D108" s="461">
        <f>D73+D93</f>
        <v>2907.9139747435988</v>
      </c>
      <c r="E108" s="493"/>
      <c r="F108" s="446">
        <f>F73+F93</f>
        <v>434164.98</v>
      </c>
      <c r="H108" s="493"/>
      <c r="I108" s="446">
        <f>I73+I93</f>
        <v>420146.81</v>
      </c>
      <c r="J108" s="462"/>
      <c r="K108" s="446">
        <f>I108-F108</f>
        <v>-14018.169999999984</v>
      </c>
      <c r="L108" s="583"/>
      <c r="M108" s="431"/>
      <c r="N108" s="431"/>
    </row>
    <row r="109" spans="1:17" x14ac:dyDescent="0.2">
      <c r="A109" s="417"/>
      <c r="B109" s="541" t="s">
        <v>78</v>
      </c>
      <c r="C109" s="457" t="s">
        <v>204</v>
      </c>
      <c r="D109" s="461">
        <f>D74+D94</f>
        <v>92673.830999999991</v>
      </c>
      <c r="E109" s="493"/>
      <c r="F109" s="446">
        <f>F74+F94</f>
        <v>106574.91</v>
      </c>
      <c r="H109" s="493"/>
      <c r="I109" s="446">
        <f>I74+I94</f>
        <v>113062.07</v>
      </c>
      <c r="J109" s="462"/>
      <c r="K109" s="446">
        <f>I109-F109</f>
        <v>6487.1600000000035</v>
      </c>
      <c r="L109" s="583"/>
      <c r="M109" s="431"/>
      <c r="N109" s="431"/>
    </row>
    <row r="110" spans="1:17" x14ac:dyDescent="0.2">
      <c r="A110" s="417"/>
      <c r="B110" s="444" t="s">
        <v>87</v>
      </c>
      <c r="C110" s="457" t="s">
        <v>240</v>
      </c>
      <c r="D110" s="461">
        <f>D75</f>
        <v>9926029.5299999993</v>
      </c>
      <c r="E110" s="494"/>
      <c r="F110" s="446">
        <f>F75</f>
        <v>67596.259999999995</v>
      </c>
      <c r="H110" s="494"/>
      <c r="I110" s="446">
        <f>I75</f>
        <v>90029.09</v>
      </c>
      <c r="J110" s="462"/>
      <c r="K110" s="446">
        <f>I110-F110</f>
        <v>22432.83</v>
      </c>
      <c r="L110" s="583"/>
      <c r="M110" s="431"/>
      <c r="N110" s="431"/>
    </row>
    <row r="111" spans="1:17" x14ac:dyDescent="0.2">
      <c r="A111" s="417"/>
      <c r="B111" s="541" t="s">
        <v>243</v>
      </c>
      <c r="C111" s="417"/>
      <c r="D111" s="447"/>
      <c r="E111" s="494"/>
      <c r="F111" s="605">
        <f>F76+F95</f>
        <v>32304.22</v>
      </c>
      <c r="H111" s="510"/>
      <c r="I111" s="605">
        <f>I76+I95</f>
        <v>32304.22</v>
      </c>
      <c r="J111" s="619"/>
      <c r="K111" s="446">
        <f>I111-F111</f>
        <v>0</v>
      </c>
      <c r="L111" s="583"/>
      <c r="M111" s="431"/>
      <c r="N111" s="431"/>
    </row>
    <row r="112" spans="1:17" x14ac:dyDescent="0.2">
      <c r="A112" s="417"/>
      <c r="B112" s="444"/>
      <c r="C112" s="417"/>
      <c r="D112" s="447"/>
      <c r="E112" s="494"/>
      <c r="F112" s="446"/>
      <c r="H112" s="510"/>
      <c r="I112" s="446"/>
      <c r="J112" s="462"/>
      <c r="K112" s="446"/>
      <c r="L112" s="583"/>
      <c r="M112" s="431"/>
      <c r="N112" s="431"/>
    </row>
    <row r="113" spans="1:15" x14ac:dyDescent="0.2">
      <c r="A113" s="417"/>
      <c r="B113" s="541" t="s">
        <v>79</v>
      </c>
      <c r="C113" s="417"/>
      <c r="D113" s="447"/>
      <c r="E113" s="494"/>
      <c r="F113" s="446"/>
      <c r="H113" s="510"/>
      <c r="I113" s="446"/>
      <c r="J113" s="462"/>
      <c r="K113" s="446"/>
      <c r="L113" s="583"/>
      <c r="M113" s="431"/>
      <c r="N113" s="431"/>
    </row>
    <row r="114" spans="1:15" x14ac:dyDescent="0.2">
      <c r="A114" s="417"/>
      <c r="B114" s="496" t="s">
        <v>94</v>
      </c>
      <c r="C114" s="517" t="s">
        <v>240</v>
      </c>
      <c r="D114" s="461">
        <f>D79+D98</f>
        <v>2206439.4739999999</v>
      </c>
      <c r="E114" s="494"/>
      <c r="F114" s="446">
        <f>F79+F98</f>
        <v>439434.49000000005</v>
      </c>
      <c r="H114" s="459"/>
      <c r="I114" s="446">
        <f>I79+I98</f>
        <v>425269.14</v>
      </c>
      <c r="J114" s="462"/>
      <c r="K114" s="446">
        <f>I114-F114</f>
        <v>-14165.350000000035</v>
      </c>
      <c r="L114" s="583"/>
      <c r="M114" s="431"/>
      <c r="N114" s="431"/>
    </row>
    <row r="115" spans="1:15" x14ac:dyDescent="0.2">
      <c r="A115" s="417"/>
      <c r="B115" s="496" t="s">
        <v>172</v>
      </c>
      <c r="C115" s="517" t="s">
        <v>240</v>
      </c>
      <c r="D115" s="461">
        <f>D80+D99</f>
        <v>8092224.3559999997</v>
      </c>
      <c r="E115" s="494"/>
      <c r="F115" s="446">
        <f>F80+F99</f>
        <v>1142622.08</v>
      </c>
      <c r="H115" s="459"/>
      <c r="I115" s="446">
        <f>I80+I99</f>
        <v>1105721.5399999998</v>
      </c>
      <c r="J115" s="462"/>
      <c r="K115" s="446">
        <f>I115-F115</f>
        <v>-36900.54000000027</v>
      </c>
      <c r="L115" s="583"/>
      <c r="M115" s="431"/>
      <c r="N115" s="431"/>
    </row>
    <row r="116" spans="1:15" x14ac:dyDescent="0.2">
      <c r="A116" s="417"/>
      <c r="B116" s="339" t="s">
        <v>280</v>
      </c>
      <c r="C116" s="457" t="s">
        <v>240</v>
      </c>
      <c r="D116" s="440">
        <f>SUM(D114:D115)</f>
        <v>10298663.83</v>
      </c>
      <c r="E116" s="472"/>
      <c r="F116" s="522">
        <f>SUM(F108:F115)</f>
        <v>2222696.9400000004</v>
      </c>
      <c r="H116" s="501"/>
      <c r="I116" s="522">
        <f>SUM(I108:I115)</f>
        <v>2186532.87</v>
      </c>
      <c r="J116" s="462"/>
      <c r="K116" s="522">
        <f>SUM(K108:K115)</f>
        <v>-36164.070000000283</v>
      </c>
      <c r="L116" s="582">
        <f>K116/F116</f>
        <v>-1.6270355777787807E-2</v>
      </c>
      <c r="M116" s="431"/>
      <c r="N116" s="431"/>
    </row>
    <row r="117" spans="1:15" x14ac:dyDescent="0.2">
      <c r="A117" s="417"/>
      <c r="B117" s="476"/>
      <c r="C117" s="465"/>
      <c r="D117" s="447"/>
      <c r="E117" s="472"/>
      <c r="F117" s="487"/>
      <c r="H117" s="501"/>
      <c r="I117" s="487"/>
      <c r="J117" s="462"/>
      <c r="K117" s="446"/>
      <c r="L117" s="449"/>
      <c r="M117" s="431"/>
      <c r="N117" s="431"/>
    </row>
    <row r="118" spans="1:15" x14ac:dyDescent="0.2">
      <c r="A118" s="417"/>
      <c r="B118" s="307" t="s">
        <v>277</v>
      </c>
      <c r="C118" s="465"/>
      <c r="D118" s="447"/>
      <c r="E118" s="472"/>
      <c r="F118" s="487"/>
      <c r="H118" s="501"/>
      <c r="I118" s="487"/>
      <c r="J118" s="462"/>
      <c r="K118" s="446"/>
      <c r="L118" s="449"/>
      <c r="M118" s="431"/>
      <c r="N118" s="431"/>
    </row>
    <row r="119" spans="1:15" x14ac:dyDescent="0.2">
      <c r="A119" s="417"/>
      <c r="B119" s="541" t="s">
        <v>299</v>
      </c>
      <c r="C119" s="457" t="s">
        <v>240</v>
      </c>
      <c r="D119" s="593">
        <f>D116</f>
        <v>10298663.83</v>
      </c>
      <c r="E119" s="494"/>
      <c r="F119" s="487">
        <f>F84</f>
        <v>3451677.5087621999</v>
      </c>
      <c r="G119" s="594"/>
      <c r="H119" s="494"/>
      <c r="I119" s="487">
        <f>I84</f>
        <v>3896859.9331826996</v>
      </c>
      <c r="J119" s="462"/>
      <c r="K119" s="446">
        <f>I119-F119</f>
        <v>445182.42442049971</v>
      </c>
      <c r="L119" s="583"/>
      <c r="M119" s="431"/>
      <c r="N119" s="431"/>
    </row>
    <row r="120" spans="1:15" x14ac:dyDescent="0.2">
      <c r="A120" s="417"/>
      <c r="B120" s="541" t="s">
        <v>78</v>
      </c>
      <c r="C120" s="457" t="s">
        <v>204</v>
      </c>
      <c r="D120" s="593">
        <f>D109</f>
        <v>92673.830999999991</v>
      </c>
      <c r="E120" s="493"/>
      <c r="F120" s="487">
        <f>F85</f>
        <v>88645.022549999994</v>
      </c>
      <c r="G120" s="594"/>
      <c r="H120" s="493"/>
      <c r="I120" s="487">
        <f>I85</f>
        <v>88645.022549999994</v>
      </c>
      <c r="J120" s="462"/>
      <c r="K120" s="446">
        <f>I120-F120</f>
        <v>0</v>
      </c>
      <c r="L120" s="449"/>
      <c r="M120" s="431"/>
      <c r="N120" s="431"/>
    </row>
    <row r="121" spans="1:15" x14ac:dyDescent="0.2">
      <c r="A121" s="417"/>
      <c r="B121" s="541" t="s">
        <v>294</v>
      </c>
      <c r="C121" s="457" t="s">
        <v>240</v>
      </c>
      <c r="D121" s="593">
        <f>D119</f>
        <v>10298663.83</v>
      </c>
      <c r="E121" s="493"/>
      <c r="F121" s="487">
        <f>F102</f>
        <v>260.84400999999997</v>
      </c>
      <c r="G121" s="594"/>
      <c r="H121" s="493"/>
      <c r="I121" s="487">
        <f>I102</f>
        <v>260.84400999999997</v>
      </c>
      <c r="J121" s="462"/>
      <c r="K121" s="446">
        <f>I121-F121</f>
        <v>0</v>
      </c>
      <c r="L121" s="449"/>
      <c r="M121" s="431"/>
      <c r="N121" s="431"/>
    </row>
    <row r="122" spans="1:15" x14ac:dyDescent="0.2">
      <c r="A122" s="417"/>
      <c r="B122" s="529" t="s">
        <v>300</v>
      </c>
      <c r="C122" s="465"/>
      <c r="D122" s="448"/>
      <c r="E122" s="530"/>
      <c r="F122" s="522">
        <f>SUM(F119:F121)</f>
        <v>3540583.3753221999</v>
      </c>
      <c r="G122" s="448"/>
      <c r="H122" s="501"/>
      <c r="I122" s="522">
        <f>SUM(I119:I121)</f>
        <v>3985765.7997426996</v>
      </c>
      <c r="J122" s="530"/>
      <c r="K122" s="522">
        <f>SUM(K119:K121)</f>
        <v>445182.42442049971</v>
      </c>
      <c r="L122" s="582">
        <f>ROUND(K122/F122,5)</f>
        <v>0.12573999999999999</v>
      </c>
      <c r="M122" s="431"/>
      <c r="N122" s="431"/>
    </row>
    <row r="123" spans="1:15" x14ac:dyDescent="0.2">
      <c r="A123" s="417"/>
      <c r="B123" s="476"/>
      <c r="C123" s="465"/>
      <c r="D123" s="448"/>
      <c r="E123" s="530"/>
      <c r="F123" s="487"/>
      <c r="G123" s="448"/>
      <c r="H123" s="501"/>
      <c r="I123" s="487"/>
      <c r="J123" s="530"/>
      <c r="K123" s="487"/>
      <c r="L123" s="583"/>
      <c r="M123" s="431"/>
      <c r="N123" s="431"/>
    </row>
    <row r="124" spans="1:15" x14ac:dyDescent="0.2">
      <c r="A124" s="417"/>
      <c r="B124" s="529" t="s">
        <v>278</v>
      </c>
      <c r="C124" s="465"/>
      <c r="D124" s="448"/>
      <c r="E124" s="530"/>
      <c r="F124" s="522">
        <f>F116+F122</f>
        <v>5763280.3153221998</v>
      </c>
      <c r="G124" s="448"/>
      <c r="H124" s="501"/>
      <c r="I124" s="522">
        <f>I116+I122</f>
        <v>6172298.6697426997</v>
      </c>
      <c r="J124" s="530"/>
      <c r="K124" s="522">
        <f>K116+K122</f>
        <v>409018.35442049941</v>
      </c>
      <c r="L124" s="582">
        <f>ROUND(K124/F124,5)</f>
        <v>7.0970000000000005E-2</v>
      </c>
      <c r="M124" s="431"/>
      <c r="N124" s="431"/>
    </row>
    <row r="125" spans="1:15" x14ac:dyDescent="0.2">
      <c r="A125" s="417"/>
      <c r="B125" s="478"/>
      <c r="C125" s="596"/>
      <c r="D125" s="597"/>
      <c r="E125" s="598"/>
      <c r="F125" s="485"/>
      <c r="G125" s="597"/>
      <c r="H125" s="599"/>
      <c r="I125" s="608"/>
      <c r="J125" s="600"/>
      <c r="K125" s="485"/>
      <c r="L125" s="623"/>
      <c r="M125" s="431"/>
      <c r="N125" s="431"/>
    </row>
    <row r="126" spans="1:15" s="417" customFormat="1" x14ac:dyDescent="0.2">
      <c r="B126" s="448"/>
      <c r="C126" s="448"/>
      <c r="D126" s="461"/>
      <c r="E126" s="624"/>
      <c r="F126" s="455"/>
      <c r="G126" s="447"/>
      <c r="H126" s="501"/>
      <c r="I126" s="601"/>
      <c r="J126" s="602"/>
      <c r="K126" s="455"/>
      <c r="L126" s="626"/>
      <c r="M126" s="431"/>
      <c r="N126" s="431"/>
    </row>
    <row r="127" spans="1:15" s="417" customFormat="1" x14ac:dyDescent="0.2">
      <c r="B127" s="448"/>
      <c r="C127" s="448"/>
      <c r="D127" s="447"/>
      <c r="E127" s="510"/>
      <c r="F127" s="455"/>
      <c r="G127" s="447"/>
      <c r="H127" s="501"/>
      <c r="I127" s="601"/>
      <c r="J127" s="602"/>
      <c r="K127" s="455"/>
      <c r="L127" s="626"/>
      <c r="M127" s="431"/>
      <c r="N127" s="431"/>
    </row>
    <row r="128" spans="1:15" x14ac:dyDescent="0.2">
      <c r="B128" s="436" t="s">
        <v>318</v>
      </c>
      <c r="C128" s="577"/>
      <c r="D128" s="440"/>
      <c r="E128" s="578"/>
      <c r="F128" s="439"/>
      <c r="G128" s="440"/>
      <c r="H128" s="580"/>
      <c r="I128" s="522"/>
      <c r="J128" s="581"/>
      <c r="K128" s="439"/>
      <c r="L128" s="582"/>
      <c r="M128" s="431"/>
      <c r="N128" s="617"/>
      <c r="O128" s="627" t="s">
        <v>319</v>
      </c>
    </row>
    <row r="129" spans="2:17" x14ac:dyDescent="0.2">
      <c r="B129" s="444"/>
      <c r="C129" s="417"/>
      <c r="D129" s="447"/>
      <c r="E129" s="472"/>
      <c r="F129" s="446"/>
      <c r="H129" s="501"/>
      <c r="I129" s="487"/>
      <c r="J129" s="462"/>
      <c r="K129" s="446"/>
      <c r="L129" s="583"/>
      <c r="M129" s="431"/>
      <c r="N129" s="617"/>
      <c r="O129" s="628">
        <v>-77892.813406896064</v>
      </c>
    </row>
    <row r="130" spans="2:17" x14ac:dyDescent="0.2">
      <c r="B130" s="529" t="s">
        <v>237</v>
      </c>
      <c r="C130" s="584" t="s">
        <v>238</v>
      </c>
      <c r="D130" s="453">
        <v>59.787364924481885</v>
      </c>
      <c r="E130" s="454">
        <v>579.19000000000005</v>
      </c>
      <c r="F130" s="446">
        <f>ROUND(D130*E130,2)</f>
        <v>34628.239999999998</v>
      </c>
      <c r="H130" s="536">
        <f>ROUND(E130*(1+$O$140),2)</f>
        <v>557.39</v>
      </c>
      <c r="I130" s="487">
        <f>ROUND(D130*H130,2)</f>
        <v>33324.879999999997</v>
      </c>
      <c r="J130" s="462"/>
      <c r="K130" s="446">
        <f>I130-F130</f>
        <v>-1303.3600000000006</v>
      </c>
      <c r="L130" s="463"/>
      <c r="M130" s="431"/>
      <c r="N130" s="617"/>
      <c r="O130" s="629" t="s">
        <v>276</v>
      </c>
      <c r="Q130" s="319">
        <f>H130/E130-1</f>
        <v>-3.7638771387627612E-2</v>
      </c>
    </row>
    <row r="131" spans="2:17" x14ac:dyDescent="0.2">
      <c r="B131" s="541" t="s">
        <v>78</v>
      </c>
      <c r="C131" s="457" t="s">
        <v>204</v>
      </c>
      <c r="D131" s="453">
        <v>0</v>
      </c>
      <c r="E131" s="454">
        <v>1.1499999999999999</v>
      </c>
      <c r="F131" s="446">
        <f>ROUND(D131*E131,2)</f>
        <v>0</v>
      </c>
      <c r="H131" s="454">
        <v>1.38</v>
      </c>
      <c r="I131" s="487">
        <f>ROUND(D131*H131,2)</f>
        <v>0</v>
      </c>
      <c r="J131" s="462"/>
      <c r="K131" s="446">
        <f>I131-F131</f>
        <v>0</v>
      </c>
      <c r="L131" s="463"/>
      <c r="M131" s="431"/>
      <c r="N131" s="630"/>
      <c r="O131" s="631">
        <f>+K142+K165-O129</f>
        <v>158.90340689585719</v>
      </c>
      <c r="Q131" s="319">
        <f>H131/E131-1</f>
        <v>0.19999999999999996</v>
      </c>
    </row>
    <row r="132" spans="2:17" x14ac:dyDescent="0.2">
      <c r="B132" s="444" t="s">
        <v>87</v>
      </c>
      <c r="C132" s="457"/>
      <c r="D132" s="461">
        <f>D142</f>
        <v>23311381.287999999</v>
      </c>
      <c r="E132" s="458">
        <v>5.3899999999999998E-3</v>
      </c>
      <c r="F132" s="446">
        <f>ROUND(D132*E132,2)</f>
        <v>125648.35</v>
      </c>
      <c r="H132" s="458">
        <v>5.94E-3</v>
      </c>
      <c r="I132" s="446">
        <f>ROUND(D132*H132,2)</f>
        <v>138469.6</v>
      </c>
      <c r="J132" s="462"/>
      <c r="K132" s="446">
        <f>I132-F132</f>
        <v>12821.25</v>
      </c>
      <c r="L132" s="463"/>
      <c r="M132" s="431"/>
      <c r="N132" s="431"/>
      <c r="O132" s="505"/>
      <c r="Q132" s="319">
        <f>H132/E132-1</f>
        <v>0.10204081632653073</v>
      </c>
    </row>
    <row r="133" spans="2:17" x14ac:dyDescent="0.2">
      <c r="B133" s="492" t="s">
        <v>243</v>
      </c>
      <c r="C133" s="448"/>
      <c r="D133" s="447"/>
      <c r="E133" s="454"/>
      <c r="F133" s="587">
        <v>83383.63</v>
      </c>
      <c r="H133" s="459" t="s">
        <v>320</v>
      </c>
      <c r="I133" s="605">
        <f>F133</f>
        <v>83383.63</v>
      </c>
      <c r="J133" s="462"/>
      <c r="K133" s="446">
        <f>I133-F133</f>
        <v>0</v>
      </c>
      <c r="L133" s="463"/>
      <c r="M133" s="431"/>
      <c r="N133" s="431"/>
      <c r="O133" s="632"/>
    </row>
    <row r="134" spans="2:17" x14ac:dyDescent="0.2">
      <c r="B134" s="444"/>
      <c r="C134" s="417"/>
      <c r="D134" s="447"/>
      <c r="E134" s="606"/>
      <c r="F134" s="446"/>
      <c r="H134" s="459"/>
      <c r="I134" s="487"/>
      <c r="J134" s="462"/>
      <c r="K134" s="505"/>
      <c r="L134" s="463"/>
      <c r="M134" s="431"/>
      <c r="N134" s="585"/>
      <c r="O134" s="633"/>
    </row>
    <row r="135" spans="2:17" x14ac:dyDescent="0.2">
      <c r="B135" s="541" t="s">
        <v>79</v>
      </c>
      <c r="C135" s="417"/>
      <c r="D135" s="447"/>
      <c r="E135" s="606"/>
      <c r="F135" s="446"/>
      <c r="H135" s="510"/>
      <c r="I135" s="487"/>
      <c r="J135" s="462"/>
      <c r="K135" s="505"/>
      <c r="L135" s="463"/>
      <c r="M135" s="431"/>
      <c r="N135" s="431"/>
      <c r="O135" s="634"/>
      <c r="P135" s="552"/>
      <c r="Q135" s="552"/>
    </row>
    <row r="136" spans="2:17" x14ac:dyDescent="0.2">
      <c r="B136" s="444" t="s">
        <v>226</v>
      </c>
      <c r="C136" s="457" t="s">
        <v>240</v>
      </c>
      <c r="D136" s="453">
        <v>1467943.9100000001</v>
      </c>
      <c r="E136" s="458">
        <v>0.14454</v>
      </c>
      <c r="F136" s="446">
        <f t="shared" ref="F136:F141" si="0">ROUND(D136*E136,2)</f>
        <v>212176.61</v>
      </c>
      <c r="H136" s="459">
        <f t="shared" ref="H136:H141" si="1">ROUND(E136*(1+$O$140),5)</f>
        <v>0.1391</v>
      </c>
      <c r="I136" s="487">
        <f t="shared" ref="I136:I141" si="2">ROUND(D136*H136,2)</f>
        <v>204191</v>
      </c>
      <c r="J136" s="462"/>
      <c r="K136" s="446">
        <f t="shared" ref="K136:K141" si="3">I136-F136</f>
        <v>-7985.609999999986</v>
      </c>
      <c r="L136" s="463"/>
      <c r="M136" s="431"/>
      <c r="N136" s="431"/>
      <c r="O136" s="635"/>
      <c r="P136" s="636"/>
      <c r="Q136" s="319">
        <f>H136/E136-1</f>
        <v>-3.7636640376366381E-2</v>
      </c>
    </row>
    <row r="137" spans="2:17" x14ac:dyDescent="0.2">
      <c r="B137" s="444" t="s">
        <v>227</v>
      </c>
      <c r="C137" s="457" t="s">
        <v>240</v>
      </c>
      <c r="D137" s="453">
        <v>1444685</v>
      </c>
      <c r="E137" s="458">
        <v>8.7349999999999997E-2</v>
      </c>
      <c r="F137" s="446">
        <f t="shared" si="0"/>
        <v>126193.23</v>
      </c>
      <c r="H137" s="459">
        <f t="shared" si="1"/>
        <v>8.4059999999999996E-2</v>
      </c>
      <c r="I137" s="487">
        <f t="shared" si="2"/>
        <v>121440.22</v>
      </c>
      <c r="J137" s="462"/>
      <c r="K137" s="446">
        <f t="shared" si="3"/>
        <v>-4753.0099999999948</v>
      </c>
      <c r="L137" s="463"/>
      <c r="M137" s="431"/>
      <c r="N137" s="431"/>
      <c r="O137" s="533"/>
      <c r="P137" s="417"/>
      <c r="Q137" s="319">
        <f>H137/E137-1</f>
        <v>-3.7664567830566709E-2</v>
      </c>
    </row>
    <row r="138" spans="2:17" x14ac:dyDescent="0.2">
      <c r="B138" s="444" t="s">
        <v>230</v>
      </c>
      <c r="C138" s="457" t="s">
        <v>240</v>
      </c>
      <c r="D138" s="453">
        <v>2610928.531</v>
      </c>
      <c r="E138" s="458">
        <v>5.5579999999999997E-2</v>
      </c>
      <c r="F138" s="446">
        <f t="shared" si="0"/>
        <v>145115.41</v>
      </c>
      <c r="H138" s="459">
        <f t="shared" si="1"/>
        <v>5.3490000000000003E-2</v>
      </c>
      <c r="I138" s="487">
        <f t="shared" si="2"/>
        <v>139658.57</v>
      </c>
      <c r="J138" s="462"/>
      <c r="K138" s="446">
        <f t="shared" si="3"/>
        <v>-5456.8399999999965</v>
      </c>
      <c r="L138" s="583"/>
      <c r="M138" s="431"/>
      <c r="N138" s="431"/>
      <c r="O138" s="584"/>
      <c r="P138" s="584"/>
      <c r="Q138" s="319">
        <f>H138/E138-1</f>
        <v>-3.7603454480028664E-2</v>
      </c>
    </row>
    <row r="139" spans="2:17" x14ac:dyDescent="0.2">
      <c r="B139" s="444" t="s">
        <v>100</v>
      </c>
      <c r="C139" s="457" t="s">
        <v>240</v>
      </c>
      <c r="D139" s="453">
        <v>3148639.4549999996</v>
      </c>
      <c r="E139" s="458">
        <v>3.5639999999999998E-2</v>
      </c>
      <c r="F139" s="446">
        <f t="shared" si="0"/>
        <v>112217.51</v>
      </c>
      <c r="H139" s="459">
        <f t="shared" si="1"/>
        <v>3.4299999999999997E-2</v>
      </c>
      <c r="I139" s="487">
        <f t="shared" si="2"/>
        <v>107998.33</v>
      </c>
      <c r="J139" s="462"/>
      <c r="K139" s="446">
        <f t="shared" si="3"/>
        <v>-4219.179999999993</v>
      </c>
      <c r="L139" s="583"/>
      <c r="M139" s="431"/>
      <c r="N139" s="431"/>
      <c r="O139" s="457"/>
      <c r="P139" s="457"/>
      <c r="Q139" s="319">
        <f>H139/E139-1</f>
        <v>-3.7598204264870927E-2</v>
      </c>
    </row>
    <row r="140" spans="2:17" x14ac:dyDescent="0.2">
      <c r="B140" s="444" t="s">
        <v>101</v>
      </c>
      <c r="C140" s="457" t="s">
        <v>240</v>
      </c>
      <c r="D140" s="453">
        <v>3956750.5819999999</v>
      </c>
      <c r="E140" s="458">
        <v>2.564E-2</v>
      </c>
      <c r="F140" s="446">
        <f t="shared" si="0"/>
        <v>101451.08</v>
      </c>
      <c r="H140" s="459">
        <f>ROUND(E140*(1+$O$140),5)</f>
        <v>2.4680000000000001E-2</v>
      </c>
      <c r="I140" s="487">
        <f t="shared" si="2"/>
        <v>97652.6</v>
      </c>
      <c r="J140" s="462"/>
      <c r="K140" s="446">
        <f t="shared" si="3"/>
        <v>-3798.4799999999959</v>
      </c>
      <c r="L140" s="583"/>
      <c r="M140" s="431"/>
      <c r="N140" s="431"/>
      <c r="O140" s="471">
        <v>-3.7635543330283718E-2</v>
      </c>
      <c r="P140" s="417"/>
      <c r="Q140" s="319">
        <f>H140/E140-1</f>
        <v>-3.7441497659906342E-2</v>
      </c>
    </row>
    <row r="141" spans="2:17" x14ac:dyDescent="0.2">
      <c r="B141" s="444" t="s">
        <v>174</v>
      </c>
      <c r="C141" s="457" t="s">
        <v>240</v>
      </c>
      <c r="D141" s="453">
        <v>10682433.809999999</v>
      </c>
      <c r="E141" s="458">
        <v>1.9769999999999999E-2</v>
      </c>
      <c r="F141" s="446">
        <f t="shared" si="0"/>
        <v>211191.72</v>
      </c>
      <c r="H141" s="459">
        <f t="shared" si="1"/>
        <v>1.9029999999999998E-2</v>
      </c>
      <c r="I141" s="487">
        <f t="shared" si="2"/>
        <v>203286.72</v>
      </c>
      <c r="J141" s="462"/>
      <c r="K141" s="446">
        <f t="shared" si="3"/>
        <v>-7905</v>
      </c>
      <c r="L141" s="583"/>
      <c r="M141" s="431"/>
      <c r="N141" s="431"/>
      <c r="O141" s="457"/>
      <c r="P141" s="465"/>
      <c r="Q141" s="394"/>
    </row>
    <row r="142" spans="2:17" x14ac:dyDescent="0.2">
      <c r="B142" s="339" t="s">
        <v>280</v>
      </c>
      <c r="C142" s="457" t="s">
        <v>240</v>
      </c>
      <c r="D142" s="637">
        <f>SUM(D136:D141)</f>
        <v>23311381.287999999</v>
      </c>
      <c r="E142" s="621"/>
      <c r="F142" s="522">
        <f>SUM(F130:F141)</f>
        <v>1152005.78</v>
      </c>
      <c r="H142" s="501"/>
      <c r="I142" s="522">
        <f>SUM(I130:I141)</f>
        <v>1129405.5499999998</v>
      </c>
      <c r="J142" s="462"/>
      <c r="K142" s="522">
        <f>I142-F142</f>
        <v>-22600.230000000214</v>
      </c>
      <c r="L142" s="582">
        <f>K142/F142</f>
        <v>-1.9618156776956636E-2</v>
      </c>
      <c r="M142" s="431"/>
      <c r="N142" s="431"/>
      <c r="O142" s="457"/>
      <c r="P142" s="638"/>
      <c r="Q142" s="394"/>
    </row>
    <row r="143" spans="2:17" x14ac:dyDescent="0.2">
      <c r="B143" s="476"/>
      <c r="C143" s="465"/>
      <c r="D143" s="447"/>
      <c r="E143" s="621"/>
      <c r="F143" s="446"/>
      <c r="H143" s="501"/>
      <c r="I143" s="487"/>
      <c r="J143" s="462"/>
      <c r="K143" s="446"/>
      <c r="L143" s="449"/>
      <c r="M143" s="431"/>
      <c r="N143" s="595"/>
      <c r="O143" s="639"/>
      <c r="P143" s="457"/>
      <c r="Q143" s="447"/>
    </row>
    <row r="144" spans="2:17" x14ac:dyDescent="0.2">
      <c r="B144" s="307" t="s">
        <v>277</v>
      </c>
      <c r="C144" s="465"/>
      <c r="D144" s="447"/>
      <c r="E144" s="621"/>
      <c r="F144" s="446"/>
      <c r="H144" s="501"/>
      <c r="I144" s="487"/>
      <c r="J144" s="462"/>
      <c r="K144" s="446"/>
      <c r="L144" s="449"/>
      <c r="M144" s="431"/>
      <c r="N144" s="431"/>
      <c r="O144" s="465"/>
      <c r="P144" s="465"/>
      <c r="Q144" s="448"/>
    </row>
    <row r="145" spans="1:17" x14ac:dyDescent="0.2">
      <c r="B145" s="541" t="s">
        <v>299</v>
      </c>
      <c r="C145" s="457" t="s">
        <v>240</v>
      </c>
      <c r="D145" s="593">
        <f>D142</f>
        <v>23311381.287999999</v>
      </c>
      <c r="E145" s="458">
        <v>0.34531000000000001</v>
      </c>
      <c r="F145" s="487">
        <f>+E145*D145</f>
        <v>8049653.0725592794</v>
      </c>
      <c r="G145" s="594"/>
      <c r="H145" s="458">
        <v>0.39035999999999998</v>
      </c>
      <c r="I145" s="487">
        <f>+H145*D145</f>
        <v>9099830.7995836791</v>
      </c>
      <c r="J145" s="462"/>
      <c r="K145" s="446">
        <f>I145-F145</f>
        <v>1050177.7270243997</v>
      </c>
      <c r="L145" s="583"/>
      <c r="M145" s="431"/>
      <c r="N145" s="431"/>
      <c r="O145" s="417"/>
      <c r="P145" s="417"/>
      <c r="Q145" s="448"/>
    </row>
    <row r="146" spans="1:17" x14ac:dyDescent="0.2">
      <c r="B146" s="541" t="s">
        <v>78</v>
      </c>
      <c r="C146" s="457" t="s">
        <v>204</v>
      </c>
      <c r="D146" s="593">
        <f>D131</f>
        <v>0</v>
      </c>
      <c r="E146" s="454">
        <v>1.05</v>
      </c>
      <c r="F146" s="487">
        <f>D146*E146</f>
        <v>0</v>
      </c>
      <c r="G146" s="594"/>
      <c r="H146" s="454">
        <v>1.05</v>
      </c>
      <c r="I146" s="487">
        <f>D146*H146</f>
        <v>0</v>
      </c>
      <c r="J146" s="462"/>
      <c r="K146" s="446">
        <f>I146-F146</f>
        <v>0</v>
      </c>
      <c r="L146" s="449"/>
      <c r="M146" s="431"/>
      <c r="N146" s="431"/>
      <c r="O146" s="465"/>
      <c r="P146" s="465"/>
      <c r="Q146" s="448"/>
    </row>
    <row r="147" spans="1:17" x14ac:dyDescent="0.2">
      <c r="B147" s="529" t="s">
        <v>300</v>
      </c>
      <c r="C147" s="465"/>
      <c r="D147" s="448"/>
      <c r="E147" s="530"/>
      <c r="F147" s="522">
        <f>SUM(F145:F146)</f>
        <v>8049653.0725592794</v>
      </c>
      <c r="G147" s="448"/>
      <c r="H147" s="501"/>
      <c r="I147" s="522">
        <f>SUM(I145:I146)</f>
        <v>9099830.7995836791</v>
      </c>
      <c r="J147" s="522"/>
      <c r="K147" s="522">
        <f>I147-F147</f>
        <v>1050177.7270243997</v>
      </c>
      <c r="L147" s="582">
        <f>ROUND(K147/F147,5)</f>
        <v>0.13045999999999999</v>
      </c>
      <c r="M147" s="431"/>
      <c r="N147" s="431"/>
      <c r="O147" s="417"/>
      <c r="P147" s="417"/>
      <c r="Q147" s="448"/>
    </row>
    <row r="148" spans="1:17" x14ac:dyDescent="0.2">
      <c r="B148" s="444"/>
      <c r="C148" s="417"/>
      <c r="D148" s="447"/>
      <c r="E148" s="530"/>
      <c r="F148" s="487"/>
      <c r="H148" s="501"/>
      <c r="I148" s="487"/>
      <c r="J148" s="487"/>
      <c r="K148" s="446"/>
      <c r="L148" s="449"/>
      <c r="M148" s="431"/>
      <c r="N148" s="431"/>
      <c r="O148" s="584"/>
      <c r="P148" s="457"/>
      <c r="Q148" s="447"/>
    </row>
    <row r="149" spans="1:17" x14ac:dyDescent="0.2">
      <c r="B149" s="444" t="s">
        <v>278</v>
      </c>
      <c r="C149" s="417"/>
      <c r="D149" s="447"/>
      <c r="E149" s="530"/>
      <c r="F149" s="522">
        <f>F142+F147</f>
        <v>9201658.8525592797</v>
      </c>
      <c r="H149" s="501"/>
      <c r="I149" s="522">
        <f>I142+I147</f>
        <v>10229236.349583678</v>
      </c>
      <c r="J149" s="462"/>
      <c r="K149" s="522">
        <f>K142+K147</f>
        <v>1027577.4970243995</v>
      </c>
      <c r="L149" s="582">
        <f>K149/F149</f>
        <v>0.11167307042018808</v>
      </c>
      <c r="M149" s="431"/>
      <c r="N149" s="431"/>
      <c r="O149" s="457"/>
      <c r="P149" s="457"/>
      <c r="Q149" s="447"/>
    </row>
    <row r="150" spans="1:17" x14ac:dyDescent="0.2">
      <c r="A150" s="417"/>
      <c r="B150" s="478"/>
      <c r="C150" s="596"/>
      <c r="D150" s="597"/>
      <c r="E150" s="614"/>
      <c r="F150" s="484"/>
      <c r="G150" s="597"/>
      <c r="H150" s="599"/>
      <c r="I150" s="608"/>
      <c r="J150" s="600"/>
      <c r="K150" s="485"/>
      <c r="L150" s="623"/>
      <c r="M150" s="431"/>
      <c r="N150" s="431"/>
      <c r="O150" s="584"/>
      <c r="P150" s="457"/>
      <c r="Q150" s="447"/>
    </row>
    <row r="151" spans="1:17" x14ac:dyDescent="0.2">
      <c r="A151" s="417"/>
      <c r="B151" s="417"/>
      <c r="C151" s="417"/>
      <c r="D151" s="447"/>
      <c r="E151" s="510"/>
      <c r="F151" s="455"/>
      <c r="H151" s="501"/>
      <c r="I151" s="487"/>
      <c r="J151" s="462"/>
      <c r="K151" s="446"/>
      <c r="L151" s="625"/>
      <c r="M151" s="431"/>
      <c r="N151" s="431"/>
      <c r="O151" s="457"/>
      <c r="P151" s="457"/>
      <c r="Q151" s="447"/>
    </row>
    <row r="152" spans="1:17" x14ac:dyDescent="0.2">
      <c r="A152" s="417"/>
      <c r="B152" s="436" t="s">
        <v>321</v>
      </c>
      <c r="C152" s="577"/>
      <c r="D152" s="440"/>
      <c r="E152" s="578"/>
      <c r="F152" s="439"/>
      <c r="G152" s="440"/>
      <c r="H152" s="580"/>
      <c r="I152" s="522"/>
      <c r="J152" s="581"/>
      <c r="K152" s="439"/>
      <c r="L152" s="582"/>
      <c r="M152" s="431"/>
      <c r="N152" s="431"/>
      <c r="O152" s="417"/>
      <c r="P152" s="417"/>
      <c r="Q152" s="447"/>
    </row>
    <row r="153" spans="1:17" x14ac:dyDescent="0.2">
      <c r="A153" s="417"/>
      <c r="B153" s="444"/>
      <c r="C153" s="417"/>
      <c r="D153" s="447"/>
      <c r="E153" s="472"/>
      <c r="F153" s="446"/>
      <c r="H153" s="501"/>
      <c r="I153" s="487"/>
      <c r="J153" s="462"/>
      <c r="K153" s="446"/>
      <c r="L153" s="583"/>
      <c r="M153" s="431"/>
      <c r="N153" s="431"/>
      <c r="O153" s="417"/>
      <c r="P153" s="417"/>
      <c r="Q153" s="447"/>
    </row>
    <row r="154" spans="1:17" x14ac:dyDescent="0.2">
      <c r="A154" s="417"/>
      <c r="B154" s="529" t="s">
        <v>237</v>
      </c>
      <c r="C154" s="584" t="s">
        <v>238</v>
      </c>
      <c r="D154" s="453">
        <v>129.03333266999661</v>
      </c>
      <c r="E154" s="454">
        <v>926.71</v>
      </c>
      <c r="F154" s="446">
        <f>ROUND(D154*E154,2)</f>
        <v>119576.48</v>
      </c>
      <c r="H154" s="536">
        <f>ROUND(E154*(1+$O$140),2)</f>
        <v>891.83</v>
      </c>
      <c r="I154" s="487">
        <f>ROUND(D154*H154,2)</f>
        <v>115075.8</v>
      </c>
      <c r="J154" s="462"/>
      <c r="K154" s="446">
        <f>I154-F154</f>
        <v>-4500.679999999993</v>
      </c>
      <c r="L154" s="463"/>
      <c r="M154" s="431"/>
      <c r="N154" s="431"/>
      <c r="O154" s="417"/>
      <c r="P154" s="417"/>
      <c r="Q154" s="319">
        <f>H154/E154-1</f>
        <v>-3.763852769474807E-2</v>
      </c>
    </row>
    <row r="155" spans="1:17" x14ac:dyDescent="0.2">
      <c r="A155" s="417"/>
      <c r="B155" s="541" t="s">
        <v>78</v>
      </c>
      <c r="C155" s="457" t="s">
        <v>204</v>
      </c>
      <c r="D155" s="453">
        <v>295626.66599999997</v>
      </c>
      <c r="E155" s="454">
        <v>1.1499999999999999</v>
      </c>
      <c r="F155" s="446">
        <f>ROUND(D155*E155,2)</f>
        <v>339970.67</v>
      </c>
      <c r="H155" s="536">
        <f>H131</f>
        <v>1.38</v>
      </c>
      <c r="I155" s="487">
        <f>ROUND(D155*H155,2)</f>
        <v>407964.8</v>
      </c>
      <c r="J155" s="462"/>
      <c r="K155" s="446">
        <f>I155-F155</f>
        <v>67994.13</v>
      </c>
      <c r="L155" s="463"/>
      <c r="M155" s="431"/>
      <c r="N155" s="431"/>
      <c r="Q155" s="319">
        <f>H155/E155-1</f>
        <v>0.19999999999999996</v>
      </c>
    </row>
    <row r="156" spans="1:17" x14ac:dyDescent="0.2">
      <c r="A156" s="417"/>
      <c r="B156" s="541" t="s">
        <v>243</v>
      </c>
      <c r="C156" s="457"/>
      <c r="D156" s="453"/>
      <c r="E156" s="454"/>
      <c r="F156" s="587">
        <v>24437.89</v>
      </c>
      <c r="H156" s="501"/>
      <c r="I156" s="605">
        <f>F156</f>
        <v>24437.89</v>
      </c>
      <c r="J156" s="462"/>
      <c r="K156" s="505"/>
      <c r="L156" s="463"/>
      <c r="M156" s="431"/>
      <c r="N156" s="431"/>
    </row>
    <row r="157" spans="1:17" x14ac:dyDescent="0.2">
      <c r="A157" s="417"/>
      <c r="B157" s="496"/>
      <c r="C157" s="457"/>
      <c r="D157" s="453"/>
      <c r="E157" s="458"/>
      <c r="F157" s="446"/>
      <c r="H157" s="494"/>
      <c r="I157" s="487"/>
      <c r="J157" s="462"/>
      <c r="K157" s="505"/>
      <c r="L157" s="463"/>
      <c r="M157" s="431"/>
      <c r="N157" s="431"/>
    </row>
    <row r="158" spans="1:17" x14ac:dyDescent="0.2">
      <c r="A158" s="417"/>
      <c r="B158" s="541" t="s">
        <v>79</v>
      </c>
      <c r="C158" s="417"/>
      <c r="D158" s="453"/>
      <c r="E158" s="606"/>
      <c r="F158" s="446"/>
      <c r="H158" s="510"/>
      <c r="I158" s="487"/>
      <c r="J158" s="462"/>
      <c r="K158" s="505"/>
      <c r="L158" s="463"/>
      <c r="M158" s="431"/>
      <c r="N158" s="431"/>
    </row>
    <row r="159" spans="1:17" x14ac:dyDescent="0.2">
      <c r="A159" s="417"/>
      <c r="B159" s="444" t="s">
        <v>226</v>
      </c>
      <c r="C159" s="457" t="s">
        <v>240</v>
      </c>
      <c r="D159" s="453">
        <v>3241892.74</v>
      </c>
      <c r="E159" s="458">
        <v>0.14454</v>
      </c>
      <c r="F159" s="455">
        <f t="shared" ref="F159:F164" si="4">ROUND(D159*E159,2)</f>
        <v>468583.18</v>
      </c>
      <c r="H159" s="459">
        <f t="shared" ref="H159:H164" si="5">H136</f>
        <v>0.1391</v>
      </c>
      <c r="I159" s="487">
        <f t="shared" ref="I159:I164" si="6">ROUND(D159*H159,2)</f>
        <v>450947.28</v>
      </c>
      <c r="J159" s="462"/>
      <c r="K159" s="446">
        <f t="shared" ref="K159:K164" si="7">I159-F159</f>
        <v>-17635.899999999965</v>
      </c>
      <c r="L159" s="640"/>
      <c r="M159" s="431"/>
      <c r="N159" s="431"/>
      <c r="Q159" s="319">
        <f t="shared" ref="Q159:Q164" si="8">H159/E159-1</f>
        <v>-3.7636640376366381E-2</v>
      </c>
    </row>
    <row r="160" spans="1:17" x14ac:dyDescent="0.2">
      <c r="A160" s="417"/>
      <c r="B160" s="444" t="s">
        <v>227</v>
      </c>
      <c r="C160" s="457" t="s">
        <v>240</v>
      </c>
      <c r="D160" s="453">
        <v>3200834</v>
      </c>
      <c r="E160" s="458">
        <v>8.7349999999999997E-2</v>
      </c>
      <c r="F160" s="455">
        <f t="shared" si="4"/>
        <v>279592.84999999998</v>
      </c>
      <c r="H160" s="459">
        <f t="shared" si="5"/>
        <v>8.4059999999999996E-2</v>
      </c>
      <c r="I160" s="487">
        <f t="shared" si="6"/>
        <v>269062.11</v>
      </c>
      <c r="J160" s="462"/>
      <c r="K160" s="446">
        <f t="shared" si="7"/>
        <v>-10530.739999999991</v>
      </c>
      <c r="L160" s="640"/>
      <c r="M160" s="431"/>
      <c r="N160" s="431"/>
      <c r="Q160" s="319">
        <f t="shared" si="8"/>
        <v>-3.7664567830566709E-2</v>
      </c>
    </row>
    <row r="161" spans="1:17" x14ac:dyDescent="0.2">
      <c r="A161" s="417"/>
      <c r="B161" s="444" t="s">
        <v>230</v>
      </c>
      <c r="C161" s="457" t="s">
        <v>240</v>
      </c>
      <c r="D161" s="453">
        <v>6355015.8100000005</v>
      </c>
      <c r="E161" s="458">
        <v>5.5579999999999997E-2</v>
      </c>
      <c r="F161" s="455">
        <f t="shared" si="4"/>
        <v>353211.78</v>
      </c>
      <c r="H161" s="459">
        <f t="shared" si="5"/>
        <v>5.3490000000000003E-2</v>
      </c>
      <c r="I161" s="487">
        <f t="shared" si="6"/>
        <v>339929.8</v>
      </c>
      <c r="J161" s="462"/>
      <c r="K161" s="446">
        <f t="shared" si="7"/>
        <v>-13281.98000000004</v>
      </c>
      <c r="L161" s="640"/>
      <c r="M161" s="431"/>
      <c r="N161" s="431"/>
      <c r="Q161" s="319">
        <f t="shared" si="8"/>
        <v>-3.7603454480028664E-2</v>
      </c>
    </row>
    <row r="162" spans="1:17" x14ac:dyDescent="0.2">
      <c r="A162" s="417"/>
      <c r="B162" s="444" t="s">
        <v>100</v>
      </c>
      <c r="C162" s="457" t="s">
        <v>240</v>
      </c>
      <c r="D162" s="453">
        <v>12008960.810000001</v>
      </c>
      <c r="E162" s="458">
        <v>3.5639999999999998E-2</v>
      </c>
      <c r="F162" s="455">
        <f t="shared" si="4"/>
        <v>427999.36</v>
      </c>
      <c r="H162" s="459">
        <f t="shared" si="5"/>
        <v>3.4299999999999997E-2</v>
      </c>
      <c r="I162" s="487">
        <f t="shared" si="6"/>
        <v>411907.36</v>
      </c>
      <c r="J162" s="462"/>
      <c r="K162" s="446">
        <f t="shared" si="7"/>
        <v>-16092</v>
      </c>
      <c r="L162" s="640"/>
      <c r="M162" s="431"/>
      <c r="N162" s="431"/>
      <c r="Q162" s="319">
        <f t="shared" si="8"/>
        <v>-3.7598204264870927E-2</v>
      </c>
    </row>
    <row r="163" spans="1:17" x14ac:dyDescent="0.2">
      <c r="A163" s="417"/>
      <c r="B163" s="444" t="s">
        <v>101</v>
      </c>
      <c r="C163" s="457" t="s">
        <v>240</v>
      </c>
      <c r="D163" s="453">
        <v>27176210.120000001</v>
      </c>
      <c r="E163" s="458">
        <v>2.564E-2</v>
      </c>
      <c r="F163" s="455">
        <f t="shared" si="4"/>
        <v>696798.03</v>
      </c>
      <c r="H163" s="459">
        <f t="shared" si="5"/>
        <v>2.4680000000000001E-2</v>
      </c>
      <c r="I163" s="487">
        <f t="shared" si="6"/>
        <v>670708.87</v>
      </c>
      <c r="J163" s="462"/>
      <c r="K163" s="446">
        <f t="shared" si="7"/>
        <v>-26089.160000000033</v>
      </c>
      <c r="L163" s="640"/>
      <c r="M163" s="431"/>
      <c r="N163" s="431"/>
      <c r="Q163" s="319">
        <f t="shared" si="8"/>
        <v>-3.7441497659906342E-2</v>
      </c>
    </row>
    <row r="164" spans="1:17" x14ac:dyDescent="0.2">
      <c r="A164" s="417"/>
      <c r="B164" s="444" t="s">
        <v>174</v>
      </c>
      <c r="C164" s="457" t="s">
        <v>240</v>
      </c>
      <c r="D164" s="453">
        <v>47293725.469999999</v>
      </c>
      <c r="E164" s="458">
        <v>1.9769999999999999E-2</v>
      </c>
      <c r="F164" s="455">
        <f t="shared" si="4"/>
        <v>934996.95</v>
      </c>
      <c r="H164" s="459">
        <f t="shared" si="5"/>
        <v>1.9029999999999998E-2</v>
      </c>
      <c r="I164" s="487">
        <f t="shared" si="6"/>
        <v>899999.6</v>
      </c>
      <c r="J164" s="462"/>
      <c r="K164" s="446">
        <f t="shared" si="7"/>
        <v>-34997.349999999977</v>
      </c>
      <c r="L164" s="640"/>
      <c r="M164" s="431"/>
      <c r="N164" s="431"/>
      <c r="Q164" s="319">
        <f t="shared" si="8"/>
        <v>-3.7430450177035945E-2</v>
      </c>
    </row>
    <row r="165" spans="1:17" x14ac:dyDescent="0.2">
      <c r="A165" s="417"/>
      <c r="B165" s="339" t="s">
        <v>280</v>
      </c>
      <c r="C165" s="457"/>
      <c r="D165" s="637">
        <f>SUM(D159:D164)</f>
        <v>99276638.950000003</v>
      </c>
      <c r="E165" s="458"/>
      <c r="F165" s="612">
        <f>SUM(F154:F164)</f>
        <v>3645167.1900000004</v>
      </c>
      <c r="H165" s="510"/>
      <c r="I165" s="612">
        <f>SUM(I154:I164)</f>
        <v>3590033.5100000002</v>
      </c>
      <c r="J165" s="462"/>
      <c r="K165" s="612">
        <f>SUM(K154:K164)</f>
        <v>-55133.679999999993</v>
      </c>
      <c r="L165" s="582">
        <f>K165/F165</f>
        <v>-1.5125144369578281E-2</v>
      </c>
      <c r="M165" s="431"/>
      <c r="N165" s="431"/>
    </row>
    <row r="166" spans="1:17" x14ac:dyDescent="0.2">
      <c r="A166" s="417"/>
      <c r="B166" s="541"/>
      <c r="C166" s="465"/>
      <c r="D166" s="447"/>
      <c r="E166" s="458"/>
      <c r="F166" s="446"/>
      <c r="H166" s="501"/>
      <c r="I166" s="487"/>
      <c r="J166" s="462"/>
      <c r="K166" s="446"/>
      <c r="L166" s="449"/>
      <c r="M166" s="431"/>
      <c r="N166" s="431"/>
    </row>
    <row r="167" spans="1:17" x14ac:dyDescent="0.2">
      <c r="A167" s="417"/>
      <c r="B167" s="529" t="s">
        <v>294</v>
      </c>
      <c r="C167" s="457" t="s">
        <v>240</v>
      </c>
      <c r="D167" s="593">
        <f>D165</f>
        <v>99276638.950000003</v>
      </c>
      <c r="E167" s="458">
        <v>6.9999999999999999E-4</v>
      </c>
      <c r="F167" s="487">
        <f>+E167*D167</f>
        <v>69493.647265000007</v>
      </c>
      <c r="G167" s="594"/>
      <c r="H167" s="494">
        <v>6.9999999999999999E-4</v>
      </c>
      <c r="I167" s="487">
        <f>+H167*D167</f>
        <v>69493.647265000007</v>
      </c>
      <c r="J167" s="462"/>
      <c r="K167" s="446">
        <f>I167-F167</f>
        <v>0</v>
      </c>
      <c r="L167" s="583"/>
      <c r="M167" s="431"/>
      <c r="N167" s="431"/>
    </row>
    <row r="168" spans="1:17" x14ac:dyDescent="0.2">
      <c r="A168" s="417"/>
      <c r="B168" s="444" t="s">
        <v>278</v>
      </c>
      <c r="C168" s="417"/>
      <c r="D168" s="447"/>
      <c r="E168" s="530"/>
      <c r="F168" s="522">
        <f>F167+F165</f>
        <v>3714660.8372650002</v>
      </c>
      <c r="H168" s="501"/>
      <c r="I168" s="522">
        <f>I167+I165</f>
        <v>3659527.157265</v>
      </c>
      <c r="J168" s="462"/>
      <c r="K168" s="522">
        <f>K167+K165</f>
        <v>-55133.679999999993</v>
      </c>
      <c r="L168" s="582">
        <f>K168/F168</f>
        <v>-1.4842184095760776E-2</v>
      </c>
      <c r="M168" s="431"/>
      <c r="N168" s="431"/>
      <c r="O168" s="547"/>
    </row>
    <row r="169" spans="1:17" s="417" customFormat="1" x14ac:dyDescent="0.2">
      <c r="B169" s="478"/>
      <c r="C169" s="596"/>
      <c r="D169" s="597"/>
      <c r="E169" s="614"/>
      <c r="F169" s="484"/>
      <c r="G169" s="597"/>
      <c r="H169" s="599"/>
      <c r="I169" s="608"/>
      <c r="J169" s="600"/>
      <c r="K169" s="485"/>
      <c r="L169" s="623"/>
      <c r="M169" s="431"/>
      <c r="N169" s="431"/>
    </row>
    <row r="170" spans="1:17" s="417" customFormat="1" x14ac:dyDescent="0.2">
      <c r="D170" s="447"/>
      <c r="E170" s="510"/>
      <c r="F170" s="455"/>
      <c r="G170" s="447"/>
      <c r="H170" s="501"/>
      <c r="I170" s="487"/>
      <c r="J170" s="462"/>
      <c r="K170" s="446"/>
      <c r="L170" s="625"/>
      <c r="M170" s="431"/>
      <c r="N170" s="431"/>
    </row>
    <row r="171" spans="1:17" x14ac:dyDescent="0.2">
      <c r="A171" s="417"/>
      <c r="B171" s="489" t="s">
        <v>322</v>
      </c>
      <c r="C171" s="641"/>
      <c r="D171" s="440"/>
      <c r="E171" s="642"/>
      <c r="F171" s="467"/>
      <c r="G171" s="440"/>
      <c r="H171" s="580"/>
      <c r="I171" s="612"/>
      <c r="J171" s="643"/>
      <c r="K171" s="467"/>
      <c r="L171" s="590"/>
      <c r="M171" s="431"/>
      <c r="N171" s="431"/>
    </row>
    <row r="172" spans="1:17" x14ac:dyDescent="0.2">
      <c r="A172" s="417"/>
      <c r="B172" s="496"/>
      <c r="C172" s="448"/>
      <c r="D172" s="447"/>
      <c r="E172" s="510"/>
      <c r="F172" s="455"/>
      <c r="H172" s="501"/>
      <c r="I172" s="601"/>
      <c r="J172" s="602"/>
      <c r="K172" s="455"/>
      <c r="L172" s="609"/>
      <c r="M172" s="431"/>
      <c r="N172" s="431"/>
    </row>
    <row r="173" spans="1:17" x14ac:dyDescent="0.2">
      <c r="A173" s="417"/>
      <c r="B173" s="490" t="s">
        <v>237</v>
      </c>
      <c r="C173" s="535" t="s">
        <v>238</v>
      </c>
      <c r="D173" s="461">
        <f>D154+D130</f>
        <v>188.8206975944785</v>
      </c>
      <c r="E173" s="493"/>
      <c r="F173" s="455">
        <f>F154+F130</f>
        <v>154204.72</v>
      </c>
      <c r="H173" s="493"/>
      <c r="I173" s="455">
        <f>I154+I130</f>
        <v>148400.68</v>
      </c>
      <c r="J173" s="602"/>
      <c r="K173" s="601">
        <f>I173-F173</f>
        <v>-5804.0400000000081</v>
      </c>
      <c r="L173" s="644"/>
      <c r="M173" s="431"/>
      <c r="N173" s="431"/>
    </row>
    <row r="174" spans="1:17" x14ac:dyDescent="0.2">
      <c r="A174" s="417"/>
      <c r="B174" s="492" t="s">
        <v>78</v>
      </c>
      <c r="C174" s="517" t="s">
        <v>204</v>
      </c>
      <c r="D174" s="461">
        <f>D155+D131</f>
        <v>295626.66599999997</v>
      </c>
      <c r="E174" s="493"/>
      <c r="F174" s="455">
        <f>F155+F131</f>
        <v>339970.67</v>
      </c>
      <c r="H174" s="493"/>
      <c r="I174" s="455">
        <f>I155+I131</f>
        <v>407964.8</v>
      </c>
      <c r="J174" s="602"/>
      <c r="K174" s="601">
        <f>I174-F174</f>
        <v>67994.13</v>
      </c>
      <c r="L174" s="644"/>
      <c r="M174" s="431"/>
      <c r="N174" s="431"/>
    </row>
    <row r="175" spans="1:17" x14ac:dyDescent="0.2">
      <c r="A175" s="417"/>
      <c r="B175" s="496" t="s">
        <v>87</v>
      </c>
      <c r="C175" s="517"/>
      <c r="D175" s="539"/>
      <c r="E175" s="493"/>
      <c r="F175" s="455">
        <f>F132</f>
        <v>125648.35</v>
      </c>
      <c r="H175" s="493"/>
      <c r="I175" s="455">
        <f>I132</f>
        <v>138469.6</v>
      </c>
      <c r="J175" s="602"/>
      <c r="K175" s="601">
        <f>I175-F175</f>
        <v>12821.25</v>
      </c>
      <c r="L175" s="644"/>
      <c r="M175" s="431"/>
      <c r="N175" s="431"/>
    </row>
    <row r="176" spans="1:17" x14ac:dyDescent="0.2">
      <c r="A176" s="417"/>
      <c r="B176" s="492" t="s">
        <v>243</v>
      </c>
      <c r="C176" s="517"/>
      <c r="D176" s="539"/>
      <c r="E176" s="493"/>
      <c r="F176" s="611">
        <f>F156+F133</f>
        <v>107821.52</v>
      </c>
      <c r="H176" s="501"/>
      <c r="I176" s="611">
        <f>I156+I133</f>
        <v>107821.52</v>
      </c>
      <c r="J176" s="602"/>
      <c r="K176" s="601">
        <f>I176-F176</f>
        <v>0</v>
      </c>
      <c r="L176" s="644"/>
      <c r="M176" s="431"/>
      <c r="N176" s="431"/>
    </row>
    <row r="177" spans="1:16" x14ac:dyDescent="0.2">
      <c r="A177" s="417"/>
      <c r="B177" s="492"/>
      <c r="C177" s="448"/>
      <c r="D177" s="447"/>
      <c r="E177" s="501"/>
      <c r="F177" s="645"/>
      <c r="H177" s="459"/>
      <c r="I177" s="645"/>
      <c r="J177" s="602"/>
      <c r="K177" s="601"/>
      <c r="L177" s="644"/>
      <c r="M177" s="431"/>
      <c r="N177" s="431"/>
    </row>
    <row r="178" spans="1:16" ht="12" customHeight="1" x14ac:dyDescent="0.2">
      <c r="A178" s="417"/>
      <c r="B178" s="492" t="s">
        <v>79</v>
      </c>
      <c r="C178" s="448"/>
      <c r="D178" s="447"/>
      <c r="E178" s="501"/>
      <c r="F178" s="455"/>
      <c r="H178" s="510"/>
      <c r="I178" s="455"/>
      <c r="J178" s="602"/>
      <c r="K178" s="601"/>
      <c r="L178" s="644"/>
      <c r="M178" s="431"/>
      <c r="N178" s="431"/>
    </row>
    <row r="179" spans="1:16" x14ac:dyDescent="0.2">
      <c r="A179" s="417"/>
      <c r="B179" s="496" t="s">
        <v>226</v>
      </c>
      <c r="C179" s="517" t="s">
        <v>240</v>
      </c>
      <c r="D179" s="461">
        <f t="shared" ref="D179:D184" si="9">D159+D136</f>
        <v>4709836.6500000004</v>
      </c>
      <c r="E179" s="494"/>
      <c r="F179" s="455">
        <f t="shared" ref="F179:F184" si="10">F159+F136</f>
        <v>680759.79</v>
      </c>
      <c r="H179" s="494"/>
      <c r="I179" s="455">
        <f t="shared" ref="I179:I184" si="11">I159+I136</f>
        <v>655138.28</v>
      </c>
      <c r="J179" s="602"/>
      <c r="K179" s="601">
        <f t="shared" ref="K179:K184" si="12">I179-F179</f>
        <v>-25621.510000000009</v>
      </c>
      <c r="L179" s="644"/>
      <c r="M179" s="431"/>
      <c r="N179" s="431"/>
    </row>
    <row r="180" spans="1:16" x14ac:dyDescent="0.2">
      <c r="A180" s="417"/>
      <c r="B180" s="496" t="s">
        <v>227</v>
      </c>
      <c r="C180" s="517" t="s">
        <v>240</v>
      </c>
      <c r="D180" s="461">
        <f t="shared" si="9"/>
        <v>4645519</v>
      </c>
      <c r="E180" s="494"/>
      <c r="F180" s="455">
        <f t="shared" si="10"/>
        <v>405786.07999999996</v>
      </c>
      <c r="H180" s="494"/>
      <c r="I180" s="455">
        <f t="shared" si="11"/>
        <v>390502.32999999996</v>
      </c>
      <c r="J180" s="602"/>
      <c r="K180" s="601">
        <f t="shared" si="12"/>
        <v>-15283.75</v>
      </c>
      <c r="L180" s="644"/>
      <c r="M180" s="431"/>
      <c r="N180" s="431"/>
    </row>
    <row r="181" spans="1:16" x14ac:dyDescent="0.2">
      <c r="A181" s="417"/>
      <c r="B181" s="496" t="s">
        <v>230</v>
      </c>
      <c r="C181" s="517" t="s">
        <v>240</v>
      </c>
      <c r="D181" s="461">
        <f t="shared" si="9"/>
        <v>8965944.341</v>
      </c>
      <c r="E181" s="494"/>
      <c r="F181" s="455">
        <f t="shared" si="10"/>
        <v>498327.19000000006</v>
      </c>
      <c r="H181" s="494"/>
      <c r="I181" s="455">
        <f t="shared" si="11"/>
        <v>479588.37</v>
      </c>
      <c r="J181" s="602"/>
      <c r="K181" s="601">
        <f t="shared" si="12"/>
        <v>-18738.820000000065</v>
      </c>
      <c r="L181" s="609"/>
      <c r="M181" s="431"/>
      <c r="N181" s="431"/>
    </row>
    <row r="182" spans="1:16" x14ac:dyDescent="0.2">
      <c r="A182" s="417"/>
      <c r="B182" s="496" t="s">
        <v>100</v>
      </c>
      <c r="C182" s="517" t="s">
        <v>240</v>
      </c>
      <c r="D182" s="461">
        <f t="shared" si="9"/>
        <v>15157600.265000001</v>
      </c>
      <c r="E182" s="494"/>
      <c r="F182" s="455">
        <f t="shared" si="10"/>
        <v>540216.87</v>
      </c>
      <c r="H182" s="494"/>
      <c r="I182" s="455">
        <f t="shared" si="11"/>
        <v>519905.69</v>
      </c>
      <c r="J182" s="602"/>
      <c r="K182" s="601">
        <f t="shared" si="12"/>
        <v>-20311.179999999993</v>
      </c>
      <c r="L182" s="609"/>
      <c r="M182" s="431"/>
      <c r="N182" s="431"/>
    </row>
    <row r="183" spans="1:16" x14ac:dyDescent="0.2">
      <c r="A183" s="417"/>
      <c r="B183" s="496" t="s">
        <v>101</v>
      </c>
      <c r="C183" s="517" t="s">
        <v>240</v>
      </c>
      <c r="D183" s="461">
        <f t="shared" si="9"/>
        <v>31132960.702</v>
      </c>
      <c r="E183" s="494"/>
      <c r="F183" s="455">
        <f t="shared" si="10"/>
        <v>798249.11</v>
      </c>
      <c r="H183" s="494"/>
      <c r="I183" s="455">
        <f t="shared" si="11"/>
        <v>768361.47</v>
      </c>
      <c r="J183" s="602"/>
      <c r="K183" s="601">
        <f t="shared" si="12"/>
        <v>-29887.640000000014</v>
      </c>
      <c r="L183" s="609"/>
      <c r="M183" s="431"/>
      <c r="N183" s="431"/>
    </row>
    <row r="184" spans="1:16" x14ac:dyDescent="0.2">
      <c r="A184" s="417"/>
      <c r="B184" s="496" t="s">
        <v>174</v>
      </c>
      <c r="C184" s="517" t="s">
        <v>240</v>
      </c>
      <c r="D184" s="461">
        <f t="shared" si="9"/>
        <v>57976159.280000001</v>
      </c>
      <c r="E184" s="494"/>
      <c r="F184" s="455">
        <f t="shared" si="10"/>
        <v>1146188.67</v>
      </c>
      <c r="H184" s="494"/>
      <c r="I184" s="455">
        <f t="shared" si="11"/>
        <v>1103286.32</v>
      </c>
      <c r="J184" s="602"/>
      <c r="K184" s="601">
        <f t="shared" si="12"/>
        <v>-42902.34999999986</v>
      </c>
      <c r="L184" s="609"/>
      <c r="M184" s="431"/>
      <c r="N184" s="431"/>
    </row>
    <row r="185" spans="1:16" x14ac:dyDescent="0.2">
      <c r="A185" s="417"/>
      <c r="B185" s="339" t="s">
        <v>280</v>
      </c>
      <c r="C185" s="517" t="s">
        <v>240</v>
      </c>
      <c r="D185" s="637">
        <f>SUM(D179:D184)</f>
        <v>122588020.23800001</v>
      </c>
      <c r="E185" s="510"/>
      <c r="F185" s="467">
        <f>SUM(F173:F184)</f>
        <v>4797172.97</v>
      </c>
      <c r="H185" s="501"/>
      <c r="I185" s="467">
        <f>SUM(I173:I184)</f>
        <v>4719439.0600000005</v>
      </c>
      <c r="J185" s="602"/>
      <c r="K185" s="467">
        <f>SUM(K173:K184)</f>
        <v>-77733.909999999945</v>
      </c>
      <c r="L185" s="590">
        <f>K185/F185</f>
        <v>-1.6204108229184812E-2</v>
      </c>
      <c r="M185" s="431"/>
      <c r="N185" s="431"/>
      <c r="P185" s="638"/>
    </row>
    <row r="186" spans="1:16" x14ac:dyDescent="0.2">
      <c r="A186" s="417"/>
      <c r="B186" s="451"/>
      <c r="C186" s="452"/>
      <c r="D186" s="447"/>
      <c r="E186" s="510"/>
      <c r="F186" s="455"/>
      <c r="H186" s="501"/>
      <c r="I186" s="601"/>
      <c r="J186" s="602"/>
      <c r="K186" s="455"/>
      <c r="L186" s="514"/>
      <c r="M186" s="431"/>
      <c r="N186" s="431"/>
    </row>
    <row r="187" spans="1:16" x14ac:dyDescent="0.2">
      <c r="A187" s="417"/>
      <c r="B187" s="356" t="s">
        <v>277</v>
      </c>
      <c r="C187" s="452"/>
      <c r="D187" s="447"/>
      <c r="E187" s="510"/>
      <c r="F187" s="455"/>
      <c r="H187" s="501"/>
      <c r="I187" s="601"/>
      <c r="J187" s="602"/>
      <c r="K187" s="455"/>
      <c r="L187" s="514"/>
      <c r="M187" s="431"/>
      <c r="N187" s="431"/>
    </row>
    <row r="188" spans="1:16" x14ac:dyDescent="0.2">
      <c r="A188" s="417"/>
      <c r="B188" s="492" t="s">
        <v>299</v>
      </c>
      <c r="C188" s="452"/>
      <c r="D188" s="447"/>
      <c r="E188" s="510"/>
      <c r="F188" s="455">
        <f>F145</f>
        <v>8049653.0725592794</v>
      </c>
      <c r="H188" s="501"/>
      <c r="I188" s="455">
        <f>I145</f>
        <v>9099830.7995836791</v>
      </c>
      <c r="J188" s="602"/>
      <c r="K188" s="601">
        <f>I188-F188</f>
        <v>1050177.7270243997</v>
      </c>
      <c r="L188" s="514"/>
      <c r="M188" s="431"/>
      <c r="N188" s="431"/>
    </row>
    <row r="189" spans="1:16" x14ac:dyDescent="0.2">
      <c r="A189" s="417"/>
      <c r="B189" s="492" t="s">
        <v>78</v>
      </c>
      <c r="C189" s="452"/>
      <c r="D189" s="447"/>
      <c r="E189" s="510"/>
      <c r="F189" s="455">
        <f>F146</f>
        <v>0</v>
      </c>
      <c r="H189" s="501"/>
      <c r="I189" s="455">
        <f>I146</f>
        <v>0</v>
      </c>
      <c r="J189" s="602"/>
      <c r="K189" s="601">
        <f>I189-F189</f>
        <v>0</v>
      </c>
      <c r="L189" s="514"/>
      <c r="M189" s="431"/>
      <c r="N189" s="431"/>
    </row>
    <row r="190" spans="1:16" x14ac:dyDescent="0.2">
      <c r="A190" s="417"/>
      <c r="B190" s="492" t="s">
        <v>294</v>
      </c>
      <c r="C190" s="517" t="s">
        <v>240</v>
      </c>
      <c r="D190" s="461">
        <f>D167</f>
        <v>99276638.950000003</v>
      </c>
      <c r="E190" s="494"/>
      <c r="F190" s="601">
        <f>F167</f>
        <v>69493.647265000007</v>
      </c>
      <c r="G190" s="594"/>
      <c r="H190" s="494"/>
      <c r="I190" s="601">
        <f>I167</f>
        <v>69493.647265000007</v>
      </c>
      <c r="J190" s="602"/>
      <c r="K190" s="601">
        <f>I190-F190</f>
        <v>0</v>
      </c>
      <c r="L190" s="609"/>
      <c r="M190" s="431"/>
      <c r="N190" s="431"/>
    </row>
    <row r="191" spans="1:16" x14ac:dyDescent="0.2">
      <c r="A191" s="417"/>
      <c r="B191" s="529" t="s">
        <v>300</v>
      </c>
      <c r="C191" s="517"/>
      <c r="D191" s="594"/>
      <c r="E191" s="494"/>
      <c r="F191" s="612">
        <f>SUM(F188:F190)</f>
        <v>8119146.7198242797</v>
      </c>
      <c r="G191" s="594"/>
      <c r="H191" s="494"/>
      <c r="I191" s="612">
        <f>SUM(I188:I190)</f>
        <v>9169324.4468486793</v>
      </c>
      <c r="J191" s="612"/>
      <c r="K191" s="612">
        <f>SUM(K188:K190)</f>
        <v>1050177.7270243997</v>
      </c>
      <c r="L191" s="590">
        <f>K191/F191</f>
        <v>0.12934582453845941</v>
      </c>
      <c r="M191" s="431"/>
      <c r="N191" s="431"/>
    </row>
    <row r="192" spans="1:16" x14ac:dyDescent="0.2">
      <c r="A192" s="417"/>
      <c r="B192" s="451"/>
      <c r="C192" s="517"/>
      <c r="D192" s="594"/>
      <c r="E192" s="494"/>
      <c r="F192" s="601"/>
      <c r="G192" s="594"/>
      <c r="H192" s="494"/>
      <c r="I192" s="601"/>
      <c r="J192" s="602"/>
      <c r="K192" s="455"/>
      <c r="L192" s="609"/>
      <c r="M192" s="431"/>
      <c r="N192" s="431"/>
    </row>
    <row r="193" spans="1:15" x14ac:dyDescent="0.2">
      <c r="A193" s="417"/>
      <c r="B193" s="490" t="s">
        <v>278</v>
      </c>
      <c r="C193" s="452"/>
      <c r="D193" s="455"/>
      <c r="E193" s="501"/>
      <c r="F193" s="467">
        <f>F185+F191</f>
        <v>12916319.689824279</v>
      </c>
      <c r="G193" s="448"/>
      <c r="H193" s="501"/>
      <c r="I193" s="467">
        <f>I185+I191</f>
        <v>13888763.50684868</v>
      </c>
      <c r="J193" s="501"/>
      <c r="K193" s="467">
        <f>K185+K191</f>
        <v>972443.81702439976</v>
      </c>
      <c r="L193" s="646">
        <f>ROUND(K193/F193,5)</f>
        <v>7.5289999999999996E-2</v>
      </c>
      <c r="M193" s="431"/>
      <c r="N193" s="431"/>
    </row>
    <row r="194" spans="1:15" x14ac:dyDescent="0.2">
      <c r="A194" s="417"/>
      <c r="B194" s="478"/>
      <c r="C194" s="596"/>
      <c r="D194" s="597"/>
      <c r="E194" s="647"/>
      <c r="F194" s="608"/>
      <c r="G194" s="597"/>
      <c r="H194" s="599"/>
      <c r="I194" s="615"/>
      <c r="J194" s="600"/>
      <c r="K194" s="485"/>
      <c r="L194" s="486"/>
      <c r="M194" s="431"/>
      <c r="N194" s="431"/>
    </row>
    <row r="195" spans="1:15" x14ac:dyDescent="0.2">
      <c r="A195" s="417"/>
      <c r="B195" s="417"/>
      <c r="C195" s="417"/>
      <c r="D195" s="447"/>
      <c r="E195" s="510"/>
      <c r="F195" s="455"/>
      <c r="H195" s="501"/>
      <c r="I195" s="487"/>
      <c r="J195" s="462"/>
      <c r="K195" s="446"/>
      <c r="L195" s="625"/>
      <c r="M195" s="431"/>
      <c r="N195" s="431"/>
    </row>
    <row r="196" spans="1:15" x14ac:dyDescent="0.2">
      <c r="B196" s="550" t="s">
        <v>323</v>
      </c>
      <c r="C196" s="417"/>
      <c r="D196" s="447"/>
      <c r="E196" s="472"/>
      <c r="F196" s="530"/>
      <c r="H196" s="510"/>
      <c r="I196" s="530"/>
      <c r="J196" s="530"/>
      <c r="K196" s="530"/>
      <c r="L196" s="416"/>
      <c r="M196" s="431"/>
      <c r="N196" s="431"/>
      <c r="O196" s="468"/>
    </row>
    <row r="197" spans="1:15" x14ac:dyDescent="0.2">
      <c r="C197" s="417"/>
      <c r="D197" s="392" t="s">
        <v>240</v>
      </c>
      <c r="E197" s="472"/>
      <c r="F197" s="554" t="s">
        <v>5</v>
      </c>
      <c r="G197" s="548"/>
      <c r="H197" s="507"/>
      <c r="I197" s="554" t="s">
        <v>1</v>
      </c>
      <c r="J197" s="547"/>
      <c r="K197" s="554" t="s">
        <v>24</v>
      </c>
      <c r="L197" s="416"/>
      <c r="M197" s="431"/>
      <c r="N197" s="431"/>
      <c r="O197" s="468"/>
    </row>
    <row r="198" spans="1:15" x14ac:dyDescent="0.2">
      <c r="B198" s="270" t="s">
        <v>304</v>
      </c>
      <c r="C198" s="417"/>
      <c r="D198" s="461"/>
      <c r="E198" s="472"/>
      <c r="F198" s="648"/>
      <c r="G198" s="649"/>
      <c r="H198" s="649"/>
      <c r="I198" s="648"/>
      <c r="J198" s="648"/>
      <c r="K198" s="648"/>
      <c r="L198" s="416"/>
      <c r="M198" s="431"/>
      <c r="N198" s="431"/>
      <c r="O198" s="468"/>
    </row>
    <row r="199" spans="1:15" x14ac:dyDescent="0.2">
      <c r="B199" s="559" t="s">
        <v>324</v>
      </c>
      <c r="C199" s="417"/>
      <c r="D199" s="445"/>
      <c r="E199" s="472"/>
      <c r="F199" s="648">
        <f>F26+F45</f>
        <v>6308966.9343335107</v>
      </c>
      <c r="G199" s="649"/>
      <c r="H199" s="649"/>
      <c r="I199" s="648">
        <f>I26+I45</f>
        <v>6897204.7137999898</v>
      </c>
      <c r="J199" s="648"/>
      <c r="K199" s="648">
        <f>I199-F199</f>
        <v>588237.77946647909</v>
      </c>
      <c r="L199" s="416"/>
      <c r="M199" s="431"/>
      <c r="N199" s="431"/>
      <c r="O199" s="468"/>
    </row>
    <row r="200" spans="1:15" x14ac:dyDescent="0.2">
      <c r="B200" s="559" t="s">
        <v>325</v>
      </c>
      <c r="C200" s="417"/>
      <c r="D200" s="445"/>
      <c r="E200" s="472"/>
      <c r="F200" s="648">
        <f>F86+F102</f>
        <v>3540583.3753221999</v>
      </c>
      <c r="G200" s="649"/>
      <c r="H200" s="649"/>
      <c r="I200" s="648">
        <f>I86+I102</f>
        <v>3985765.7997426996</v>
      </c>
      <c r="J200" s="648"/>
      <c r="K200" s="648">
        <f>I200-F200</f>
        <v>445182.42442049971</v>
      </c>
      <c r="L200" s="416"/>
      <c r="M200" s="431"/>
      <c r="N200" s="431"/>
      <c r="O200" s="468"/>
    </row>
    <row r="201" spans="1:15" x14ac:dyDescent="0.2">
      <c r="B201" s="559" t="s">
        <v>326</v>
      </c>
      <c r="C201" s="417"/>
      <c r="D201" s="445"/>
      <c r="E201" s="472"/>
      <c r="F201" s="648">
        <f>F147+F167</f>
        <v>8119146.7198242797</v>
      </c>
      <c r="G201" s="649"/>
      <c r="H201" s="649"/>
      <c r="I201" s="648">
        <f>I147+I167</f>
        <v>9169324.4468486793</v>
      </c>
      <c r="J201" s="648"/>
      <c r="K201" s="648">
        <f>I201-F201</f>
        <v>1050177.7270243997</v>
      </c>
      <c r="L201" s="416"/>
      <c r="M201" s="431"/>
      <c r="N201" s="431"/>
      <c r="O201" s="468"/>
    </row>
    <row r="202" spans="1:15" x14ac:dyDescent="0.2">
      <c r="B202" s="559" t="s">
        <v>6</v>
      </c>
      <c r="C202" s="417"/>
      <c r="D202" s="445"/>
      <c r="E202" s="472"/>
      <c r="F202" s="650">
        <f>SUM(F199:F201)</f>
        <v>17968697.029479992</v>
      </c>
      <c r="G202" s="649"/>
      <c r="H202" s="649"/>
      <c r="I202" s="650">
        <f>SUM(I199:I201)</f>
        <v>20052294.960391369</v>
      </c>
      <c r="J202" s="648"/>
      <c r="K202" s="650">
        <f>SUM(K199:K201)</f>
        <v>2083597.9309113785</v>
      </c>
      <c r="L202" s="416"/>
      <c r="M202" s="431"/>
      <c r="N202" s="431"/>
      <c r="O202" s="468"/>
    </row>
    <row r="203" spans="1:15" x14ac:dyDescent="0.2">
      <c r="C203" s="417"/>
      <c r="D203" s="445"/>
      <c r="E203" s="472"/>
      <c r="F203" s="648"/>
      <c r="G203" s="649"/>
      <c r="H203" s="649"/>
      <c r="I203" s="648"/>
      <c r="J203" s="648"/>
      <c r="K203" s="648"/>
      <c r="L203" s="416"/>
      <c r="M203" s="431"/>
      <c r="N203" s="431"/>
      <c r="O203" s="468"/>
    </row>
    <row r="204" spans="1:15" x14ac:dyDescent="0.2">
      <c r="B204" s="270" t="s">
        <v>307</v>
      </c>
      <c r="C204" s="417"/>
      <c r="D204" s="445"/>
      <c r="E204" s="472"/>
      <c r="F204" s="648"/>
      <c r="G204" s="649"/>
      <c r="H204" s="649"/>
      <c r="I204" s="648"/>
      <c r="J204" s="648"/>
      <c r="K204" s="648"/>
      <c r="L204" s="416"/>
      <c r="M204" s="431"/>
      <c r="N204" s="431"/>
      <c r="O204" s="468"/>
    </row>
    <row r="205" spans="1:15" x14ac:dyDescent="0.2">
      <c r="B205" s="559" t="s">
        <v>324</v>
      </c>
      <c r="C205" s="417"/>
      <c r="D205" s="445"/>
      <c r="E205" s="472"/>
      <c r="F205" s="648">
        <f>F21+F43</f>
        <v>9170038.8448939808</v>
      </c>
      <c r="G205" s="649"/>
      <c r="H205" s="649"/>
      <c r="I205" s="648">
        <f>I21+I43</f>
        <v>9021134.5600000005</v>
      </c>
      <c r="J205" s="648"/>
      <c r="K205" s="648">
        <f>I205-F205</f>
        <v>-148904.28489398025</v>
      </c>
      <c r="L205" s="416"/>
      <c r="M205" s="431"/>
      <c r="N205" s="431"/>
      <c r="O205" s="468"/>
    </row>
    <row r="206" spans="1:15" x14ac:dyDescent="0.2">
      <c r="B206" s="559" t="s">
        <v>325</v>
      </c>
      <c r="C206" s="417"/>
      <c r="D206" s="445"/>
      <c r="E206" s="472"/>
      <c r="F206" s="648">
        <f>F81+F100</f>
        <v>2222696.94</v>
      </c>
      <c r="G206" s="649"/>
      <c r="H206" s="649"/>
      <c r="I206" s="648">
        <f>I81+I100</f>
        <v>2186532.87</v>
      </c>
      <c r="J206" s="648"/>
      <c r="K206" s="648">
        <f>I206-F206</f>
        <v>-36164.069999999832</v>
      </c>
      <c r="L206" s="416"/>
      <c r="M206" s="431"/>
      <c r="N206" s="431"/>
      <c r="O206" s="468"/>
    </row>
    <row r="207" spans="1:15" x14ac:dyDescent="0.2">
      <c r="B207" s="559" t="s">
        <v>326</v>
      </c>
      <c r="C207" s="417"/>
      <c r="D207" s="445"/>
      <c r="E207" s="472"/>
      <c r="F207" s="648">
        <f>F142+F165</f>
        <v>4797172.9700000007</v>
      </c>
      <c r="G207" s="649"/>
      <c r="H207" s="649"/>
      <c r="I207" s="648">
        <f>I142+I165</f>
        <v>4719439.0600000005</v>
      </c>
      <c r="J207" s="648"/>
      <c r="K207" s="648">
        <f>I207-F207</f>
        <v>-77733.910000000149</v>
      </c>
      <c r="L207" s="416"/>
      <c r="M207" s="431"/>
      <c r="N207" s="431"/>
      <c r="O207" s="468"/>
    </row>
    <row r="208" spans="1:15" x14ac:dyDescent="0.2">
      <c r="B208" s="559" t="s">
        <v>6</v>
      </c>
      <c r="C208" s="417"/>
      <c r="D208" s="445"/>
      <c r="E208" s="472"/>
      <c r="F208" s="650">
        <f>SUM(F205:F207)</f>
        <v>16189908.754893981</v>
      </c>
      <c r="G208" s="649"/>
      <c r="H208" s="649"/>
      <c r="I208" s="650">
        <f>SUM(I205:I207)</f>
        <v>15927106.49</v>
      </c>
      <c r="J208" s="648"/>
      <c r="K208" s="650">
        <f>SUM(K205:K207)</f>
        <v>-262802.26489398023</v>
      </c>
      <c r="L208" s="416"/>
      <c r="M208" s="431"/>
      <c r="N208" s="431"/>
      <c r="O208" s="468"/>
    </row>
    <row r="209" spans="2:15" x14ac:dyDescent="0.2">
      <c r="C209" s="417"/>
      <c r="D209" s="445"/>
      <c r="E209" s="472"/>
      <c r="F209" s="648"/>
      <c r="G209" s="649"/>
      <c r="H209" s="649"/>
      <c r="I209" s="648"/>
      <c r="J209" s="648"/>
      <c r="K209" s="648"/>
      <c r="L209" s="416"/>
      <c r="M209" s="431"/>
      <c r="N209" s="431"/>
      <c r="O209" s="468"/>
    </row>
    <row r="210" spans="2:15" x14ac:dyDescent="0.2">
      <c r="B210" s="550" t="s">
        <v>309</v>
      </c>
      <c r="C210" s="417"/>
      <c r="D210" s="445"/>
      <c r="E210" s="472"/>
      <c r="F210" s="648"/>
      <c r="G210" s="649"/>
      <c r="H210" s="649"/>
      <c r="I210" s="648"/>
      <c r="J210" s="648"/>
      <c r="K210" s="648"/>
      <c r="L210" s="416"/>
      <c r="M210" s="431"/>
      <c r="N210" s="431"/>
      <c r="O210" s="468"/>
    </row>
    <row r="211" spans="2:15" x14ac:dyDescent="0.2">
      <c r="B211" s="559" t="s">
        <v>324</v>
      </c>
      <c r="C211" s="417"/>
      <c r="D211" s="445">
        <f>D60</f>
        <v>96619860.699000001</v>
      </c>
      <c r="E211" s="472"/>
      <c r="F211" s="648">
        <f>F199+F205</f>
        <v>15479005.779227491</v>
      </c>
      <c r="G211" s="649"/>
      <c r="H211" s="649"/>
      <c r="I211" s="648">
        <f>I199+I205</f>
        <v>15918339.273799989</v>
      </c>
      <c r="J211" s="648"/>
      <c r="K211" s="648">
        <f>I211-F211</f>
        <v>439333.4945724979</v>
      </c>
      <c r="L211" s="416"/>
      <c r="M211" s="431"/>
      <c r="N211" s="431"/>
      <c r="O211" s="468"/>
    </row>
    <row r="212" spans="2:15" x14ac:dyDescent="0.2">
      <c r="B212" s="559" t="s">
        <v>325</v>
      </c>
      <c r="C212" s="417"/>
      <c r="D212" s="445">
        <f>D116</f>
        <v>10298663.83</v>
      </c>
      <c r="E212" s="472"/>
      <c r="F212" s="648">
        <f>F200+F206</f>
        <v>5763280.3153221998</v>
      </c>
      <c r="G212" s="649"/>
      <c r="H212" s="649"/>
      <c r="I212" s="648">
        <f>I200+I206</f>
        <v>6172298.6697426997</v>
      </c>
      <c r="J212" s="648"/>
      <c r="K212" s="648">
        <f>I212-F212</f>
        <v>409018.35442049988</v>
      </c>
      <c r="L212" s="416"/>
      <c r="M212" s="431"/>
      <c r="N212" s="431"/>
      <c r="O212" s="468"/>
    </row>
    <row r="213" spans="2:15" x14ac:dyDescent="0.2">
      <c r="B213" s="559" t="s">
        <v>326</v>
      </c>
      <c r="C213" s="417"/>
      <c r="D213" s="445">
        <f>D185</f>
        <v>122588020.23800001</v>
      </c>
      <c r="E213" s="472"/>
      <c r="F213" s="648">
        <f>F201+F207</f>
        <v>12916319.689824279</v>
      </c>
      <c r="G213" s="649"/>
      <c r="H213" s="649"/>
      <c r="I213" s="648">
        <f>I201+I207</f>
        <v>13888763.50684868</v>
      </c>
      <c r="J213" s="648"/>
      <c r="K213" s="648">
        <f>I213-F213</f>
        <v>972443.81702440046</v>
      </c>
      <c r="L213" s="416"/>
      <c r="M213" s="431"/>
      <c r="N213" s="431"/>
      <c r="O213" s="468"/>
    </row>
    <row r="214" spans="2:15" x14ac:dyDescent="0.2">
      <c r="B214" s="559" t="s">
        <v>6</v>
      </c>
      <c r="C214" s="417"/>
      <c r="D214" s="563">
        <f>SUM(D211:D213)</f>
        <v>229506544.76700002</v>
      </c>
      <c r="E214" s="472"/>
      <c r="F214" s="650">
        <f>SUM(F211:F213)</f>
        <v>34158605.784373969</v>
      </c>
      <c r="G214" s="649"/>
      <c r="H214" s="649"/>
      <c r="I214" s="650">
        <f>SUM(I211:I213)</f>
        <v>35979401.450391367</v>
      </c>
      <c r="J214" s="648"/>
      <c r="K214" s="650">
        <f>SUM(K211:K213)</f>
        <v>1820795.6660173982</v>
      </c>
      <c r="L214" s="416"/>
      <c r="M214" s="431"/>
      <c r="N214" s="431"/>
      <c r="O214" s="468"/>
    </row>
    <row r="215" spans="2:15" x14ac:dyDescent="0.2">
      <c r="B215" s="417"/>
      <c r="C215" s="417"/>
      <c r="D215" s="447"/>
      <c r="E215" s="472"/>
      <c r="F215" s="648"/>
      <c r="G215" s="649"/>
      <c r="H215" s="649"/>
      <c r="I215" s="648"/>
      <c r="J215" s="648"/>
      <c r="K215" s="648"/>
      <c r="L215" s="416"/>
      <c r="M215" s="431"/>
      <c r="N215" s="431"/>
      <c r="O215" s="547"/>
    </row>
    <row r="216" spans="2:15" x14ac:dyDescent="0.2">
      <c r="B216" s="550" t="s">
        <v>327</v>
      </c>
      <c r="E216" s="555"/>
      <c r="F216" s="651"/>
      <c r="G216" s="652"/>
      <c r="H216" s="653"/>
      <c r="I216" s="651"/>
      <c r="J216" s="651"/>
      <c r="K216" s="651"/>
      <c r="O216" s="547"/>
    </row>
    <row r="217" spans="2:15" x14ac:dyDescent="0.2">
      <c r="B217" s="655" t="s">
        <v>6</v>
      </c>
      <c r="D217" s="656">
        <f>'Rate Design Res'!D13+'Rate Design Res'!D25+'Rate Design Res'!D39+'Rate Design C&amp;I'!D36+'Rate Design C&amp;I'!D96+'Rate Design Int &amp; Trans'!D60+'Rate Design Int &amp; Trans'!D116+'Rate Design Int &amp; Trans'!D185</f>
        <v>1105327515.5699999</v>
      </c>
      <c r="E217" s="447"/>
      <c r="F217" s="657">
        <f>'Rate Design Res'!F18+'Rate Design Res'!F30+'Rate Design Res'!F43+'Rate Design C&amp;I'!F41+'Rate Design C&amp;I'!F106+'Rate Design Int &amp; Trans'!F68+'Rate Design Int &amp; Trans'!F124+'Rate Design Int &amp; Trans'!F193</f>
        <v>800067297.0762763</v>
      </c>
      <c r="G217" s="649"/>
      <c r="H217" s="653"/>
      <c r="I217" s="657">
        <f>'Rate Design Res'!I18+'Rate Design Res'!I30+'Rate Design Res'!I43+'Rate Design C&amp;I'!I41+'Rate Design C&amp;I'!I106+'Rate Design Int &amp; Trans'!I68+'Rate Design Int &amp; Trans'!I124+'Rate Design Int &amp; Trans'!I193</f>
        <v>794361606.44605815</v>
      </c>
      <c r="J217" s="651"/>
      <c r="K217" s="658">
        <f>I217-F217</f>
        <v>-5705690.6302181482</v>
      </c>
      <c r="L217" s="659">
        <f>K217/F217</f>
        <v>-7.1315133752732091E-3</v>
      </c>
      <c r="O217" s="547"/>
    </row>
    <row r="218" spans="2:15" x14ac:dyDescent="0.2">
      <c r="B218" s="655" t="s">
        <v>328</v>
      </c>
      <c r="D218" s="660">
        <v>37223237.460000001</v>
      </c>
      <c r="E218" s="447"/>
      <c r="F218" s="661">
        <v>1426817.449611546</v>
      </c>
      <c r="G218" s="649"/>
      <c r="H218" s="653"/>
      <c r="I218" s="661">
        <v>1465941.3557558353</v>
      </c>
      <c r="J218" s="651"/>
      <c r="K218" s="658">
        <f>I218-F218</f>
        <v>39123.9061442893</v>
      </c>
      <c r="L218" s="659">
        <f>K218/F218</f>
        <v>2.742040066508919E-2</v>
      </c>
      <c r="O218" s="547"/>
    </row>
    <row r="219" spans="2:15" x14ac:dyDescent="0.2">
      <c r="B219" s="655" t="s">
        <v>329</v>
      </c>
      <c r="E219" s="447"/>
      <c r="F219" s="661">
        <v>6041548.46</v>
      </c>
      <c r="G219" s="649"/>
      <c r="H219" s="653"/>
      <c r="I219" s="661">
        <v>5943249.8600000003</v>
      </c>
      <c r="J219" s="651"/>
      <c r="K219" s="658">
        <f>I219-F219</f>
        <v>-98298.599999999627</v>
      </c>
      <c r="L219" s="659">
        <f>K219/F219</f>
        <v>-1.627043143836665E-2</v>
      </c>
      <c r="O219" s="547"/>
    </row>
    <row r="220" spans="2:15" x14ac:dyDescent="0.2">
      <c r="B220" s="655" t="s">
        <v>330</v>
      </c>
      <c r="D220" s="440">
        <f>SUM(D217:D219)</f>
        <v>1142550753.03</v>
      </c>
      <c r="E220" s="447"/>
      <c r="F220" s="662">
        <f>SUM(F217:F219)</f>
        <v>807535662.98588789</v>
      </c>
      <c r="G220" s="649"/>
      <c r="H220" s="653"/>
      <c r="I220" s="662">
        <f>SUM(I217:I219)</f>
        <v>801770797.66181397</v>
      </c>
      <c r="J220" s="651"/>
      <c r="K220" s="662">
        <f>SUM(K217:K219)</f>
        <v>-5764865.3240738586</v>
      </c>
      <c r="L220" s="659">
        <f>K220/F220</f>
        <v>-7.1388368196125141E-3</v>
      </c>
      <c r="O220" s="547"/>
    </row>
    <row r="221" spans="2:15" x14ac:dyDescent="0.2">
      <c r="B221" s="663"/>
      <c r="C221" s="507"/>
      <c r="D221" s="660"/>
      <c r="E221" s="447"/>
      <c r="F221" s="664"/>
      <c r="G221" s="649"/>
      <c r="H221" s="653"/>
      <c r="I221" s="664"/>
      <c r="J221" s="651"/>
      <c r="K221" s="664"/>
      <c r="L221" s="659"/>
    </row>
    <row r="222" spans="2:15" x14ac:dyDescent="0.2">
      <c r="B222" s="655"/>
      <c r="E222" s="447"/>
      <c r="F222" s="648"/>
      <c r="G222" s="649"/>
      <c r="H222" s="653"/>
      <c r="I222" s="648"/>
      <c r="J222" s="651"/>
      <c r="K222" s="648"/>
    </row>
    <row r="223" spans="2:15" x14ac:dyDescent="0.2">
      <c r="B223" s="559"/>
      <c r="D223" s="665"/>
      <c r="F223" s="648"/>
      <c r="G223" s="649"/>
      <c r="H223" s="653"/>
      <c r="I223" s="648"/>
      <c r="J223" s="651"/>
      <c r="K223" s="648"/>
    </row>
    <row r="224" spans="2:15" x14ac:dyDescent="0.2">
      <c r="D224" s="665"/>
      <c r="F224" s="651"/>
      <c r="G224" s="649"/>
      <c r="H224" s="653"/>
      <c r="I224" s="651"/>
      <c r="J224" s="651"/>
      <c r="K224" s="651"/>
    </row>
    <row r="225" spans="2:4" x14ac:dyDescent="0.2">
      <c r="B225" s="265" t="s">
        <v>290</v>
      </c>
      <c r="D225" s="665"/>
    </row>
    <row r="227" spans="2:4" x14ac:dyDescent="0.2">
      <c r="D227" s="666"/>
    </row>
  </sheetData>
  <mergeCells count="1">
    <mergeCell ref="K7:L7"/>
  </mergeCells>
  <printOptions horizontalCentered="1"/>
  <pageMargins left="0.5" right="0.5" top="1" bottom="0.75" header="0.75" footer="0.5"/>
  <pageSetup scale="72" fitToHeight="2" orientation="landscape" blackAndWhite="1" r:id="rId1"/>
  <headerFooter alignWithMargins="0">
    <oddFooter>&amp;L&amp;F 
&amp;A&amp;C&amp;P&amp;R&amp;D</oddFooter>
  </headerFooter>
  <rowBreaks count="5" manualBreakCount="5">
    <brk id="47" max="16383" man="1"/>
    <brk id="89" min="1" max="16" man="1"/>
    <brk id="126" min="1" max="16" man="1"/>
    <brk id="169" max="16383" man="1"/>
    <brk id="214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workbookViewId="0">
      <selection activeCell="F38" sqref="F38"/>
    </sheetView>
  </sheetViews>
  <sheetFormatPr defaultRowHeight="12.75" x14ac:dyDescent="0.2"/>
  <cols>
    <col min="1" max="1" width="4.42578125" style="507" customWidth="1"/>
    <col min="2" max="2" width="4.42578125" style="507" bestFit="1" customWidth="1"/>
    <col min="3" max="3" width="11" style="507" customWidth="1"/>
    <col min="4" max="4" width="8.7109375" style="507" bestFit="1" customWidth="1"/>
    <col min="5" max="5" width="42.42578125" style="507" bestFit="1" customWidth="1"/>
    <col min="6" max="6" width="8.7109375" style="507" bestFit="1" customWidth="1"/>
    <col min="7" max="7" width="7.7109375" style="507" bestFit="1" customWidth="1"/>
    <col min="8" max="8" width="13.28515625" style="507" bestFit="1" customWidth="1"/>
    <col min="9" max="9" width="9.7109375" style="507" bestFit="1" customWidth="1"/>
    <col min="10" max="10" width="14.42578125" style="507" bestFit="1" customWidth="1"/>
    <col min="11" max="11" width="13.5703125" style="507" customWidth="1"/>
    <col min="12" max="12" width="14.7109375" style="507" customWidth="1"/>
    <col min="13" max="13" width="14" style="507" customWidth="1"/>
    <col min="14" max="14" width="10.28515625" style="448" bestFit="1" customWidth="1"/>
    <col min="15" max="15" width="8.85546875" style="448" bestFit="1" customWidth="1"/>
    <col min="16" max="16" width="14.7109375" style="507" customWidth="1"/>
    <col min="17" max="17" width="15.28515625" style="507" customWidth="1"/>
    <col min="18" max="19" width="14" style="507" customWidth="1"/>
    <col min="20" max="20" width="9.140625" style="507"/>
    <col min="21" max="21" width="14" style="507" customWidth="1"/>
    <col min="22" max="16384" width="9.140625" style="507"/>
  </cols>
  <sheetData>
    <row r="1" spans="1:21" x14ac:dyDescent="0.2">
      <c r="P1" s="448"/>
    </row>
    <row r="2" spans="1:21" x14ac:dyDescent="0.2">
      <c r="B2" s="257" t="s">
        <v>0</v>
      </c>
      <c r="C2" s="404"/>
      <c r="D2" s="404"/>
      <c r="E2" s="404"/>
      <c r="F2" s="404"/>
      <c r="G2" s="404"/>
      <c r="H2" s="404"/>
      <c r="I2" s="404"/>
      <c r="J2" s="404"/>
      <c r="K2" s="404"/>
      <c r="L2" s="404"/>
      <c r="P2" s="448"/>
    </row>
    <row r="3" spans="1:21" x14ac:dyDescent="0.2">
      <c r="B3" s="169" t="s">
        <v>441</v>
      </c>
      <c r="C3" s="404"/>
      <c r="D3" s="404"/>
      <c r="E3" s="404"/>
      <c r="F3" s="404"/>
      <c r="G3" s="404"/>
      <c r="H3" s="404"/>
      <c r="I3" s="404"/>
      <c r="J3" s="404"/>
      <c r="K3" s="404"/>
      <c r="L3" s="404"/>
      <c r="P3" s="448"/>
    </row>
    <row r="4" spans="1:21" x14ac:dyDescent="0.2">
      <c r="B4" s="169" t="s">
        <v>417</v>
      </c>
      <c r="C4" s="404"/>
      <c r="D4" s="404"/>
      <c r="E4" s="404"/>
      <c r="F4" s="404"/>
      <c r="G4" s="404"/>
      <c r="H4" s="404"/>
      <c r="I4" s="404"/>
      <c r="J4" s="404"/>
      <c r="K4" s="404"/>
      <c r="L4" s="404"/>
      <c r="P4" s="448"/>
    </row>
    <row r="5" spans="1:21" x14ac:dyDescent="0.2">
      <c r="B5" s="267" t="s">
        <v>264</v>
      </c>
      <c r="C5" s="404"/>
      <c r="D5" s="404"/>
      <c r="E5" s="404"/>
      <c r="F5" s="404"/>
      <c r="G5" s="404"/>
      <c r="H5" s="404"/>
      <c r="I5" s="404"/>
      <c r="J5" s="404"/>
      <c r="K5" s="404"/>
      <c r="L5" s="404"/>
      <c r="P5" s="448"/>
    </row>
    <row r="6" spans="1:21" s="413" customFormat="1" x14ac:dyDescent="0.2">
      <c r="A6" s="668"/>
      <c r="B6" s="669" t="s">
        <v>331</v>
      </c>
      <c r="C6" s="669"/>
      <c r="D6" s="669"/>
      <c r="E6" s="669"/>
      <c r="F6" s="669"/>
      <c r="G6" s="669"/>
      <c r="H6" s="669"/>
      <c r="I6" s="669"/>
      <c r="J6" s="669"/>
      <c r="K6" s="257"/>
      <c r="L6" s="404"/>
      <c r="M6" s="524"/>
      <c r="N6" s="423"/>
      <c r="O6" s="423"/>
      <c r="P6" s="423"/>
      <c r="Q6" s="524"/>
      <c r="R6" s="524"/>
      <c r="S6" s="524"/>
      <c r="T6" s="524"/>
      <c r="U6" s="524"/>
    </row>
    <row r="7" spans="1:21" s="413" customFormat="1" x14ac:dyDescent="0.2">
      <c r="A7" s="668"/>
      <c r="B7" s="423"/>
      <c r="C7" s="423"/>
      <c r="D7" s="423"/>
      <c r="E7" s="423"/>
      <c r="F7" s="670"/>
      <c r="G7" s="423"/>
      <c r="H7" s="423"/>
      <c r="I7" s="670"/>
      <c r="J7" s="423"/>
      <c r="K7" s="671"/>
      <c r="M7" s="524"/>
      <c r="N7" s="423"/>
      <c r="O7" s="668"/>
      <c r="P7" s="423"/>
      <c r="Q7" s="524"/>
      <c r="R7" s="524"/>
      <c r="S7" s="524"/>
      <c r="T7" s="524"/>
      <c r="U7" s="524"/>
    </row>
    <row r="8" spans="1:21" s="413" customFormat="1" x14ac:dyDescent="0.2">
      <c r="A8" s="668"/>
      <c r="B8" s="423"/>
      <c r="C8" s="423"/>
      <c r="D8" s="423"/>
      <c r="E8" s="423"/>
      <c r="F8" s="670"/>
      <c r="G8" s="423"/>
      <c r="H8" s="423"/>
      <c r="I8" s="423"/>
      <c r="J8" s="423"/>
      <c r="K8" s="671"/>
      <c r="M8" s="524"/>
      <c r="N8" s="423"/>
      <c r="O8" s="423"/>
      <c r="P8" s="423"/>
      <c r="Q8" s="524"/>
      <c r="R8" s="524"/>
      <c r="S8" s="524"/>
      <c r="T8" s="524"/>
      <c r="U8" s="524"/>
    </row>
    <row r="9" spans="1:21" s="413" customFormat="1" x14ac:dyDescent="0.2">
      <c r="B9" s="423"/>
      <c r="C9" s="423"/>
      <c r="D9" s="423"/>
      <c r="E9" s="423"/>
      <c r="F9" s="670"/>
      <c r="G9" s="423"/>
      <c r="H9" s="670" t="s">
        <v>2</v>
      </c>
      <c r="I9" s="423"/>
      <c r="J9" s="670" t="s">
        <v>2</v>
      </c>
      <c r="K9" s="671"/>
      <c r="M9" s="524"/>
      <c r="N9" s="670"/>
      <c r="O9" s="670"/>
      <c r="P9" s="423"/>
      <c r="Q9" s="524"/>
      <c r="R9" s="524"/>
      <c r="S9" s="524"/>
      <c r="T9" s="524"/>
      <c r="U9" s="524"/>
    </row>
    <row r="10" spans="1:21" s="413" customFormat="1" x14ac:dyDescent="0.2">
      <c r="B10" s="423"/>
      <c r="C10" s="423"/>
      <c r="D10" s="670" t="s">
        <v>17</v>
      </c>
      <c r="E10" s="423"/>
      <c r="F10" s="670" t="s">
        <v>332</v>
      </c>
      <c r="G10" s="670" t="s">
        <v>5</v>
      </c>
      <c r="H10" s="670" t="s">
        <v>333</v>
      </c>
      <c r="I10" s="670" t="s">
        <v>1</v>
      </c>
      <c r="J10" s="670" t="s">
        <v>333</v>
      </c>
      <c r="K10" s="671" t="s">
        <v>1</v>
      </c>
      <c r="M10" s="524"/>
      <c r="N10" s="670"/>
      <c r="O10" s="670"/>
      <c r="P10" s="423"/>
      <c r="Q10" s="524"/>
      <c r="R10" s="524"/>
      <c r="S10" s="524"/>
      <c r="T10" s="524"/>
      <c r="U10" s="524"/>
    </row>
    <row r="11" spans="1:21" s="413" customFormat="1" x14ac:dyDescent="0.2">
      <c r="B11" s="428" t="s">
        <v>334</v>
      </c>
      <c r="C11" s="428" t="s">
        <v>21</v>
      </c>
      <c r="D11" s="672" t="s">
        <v>21</v>
      </c>
      <c r="E11" s="672" t="s">
        <v>215</v>
      </c>
      <c r="F11" s="672" t="s">
        <v>53</v>
      </c>
      <c r="G11" s="672" t="s">
        <v>22</v>
      </c>
      <c r="H11" s="672" t="s">
        <v>335</v>
      </c>
      <c r="I11" s="672" t="s">
        <v>22</v>
      </c>
      <c r="J11" s="672" t="s">
        <v>336</v>
      </c>
      <c r="K11" s="672" t="s">
        <v>273</v>
      </c>
      <c r="M11" s="524"/>
      <c r="N11" s="670"/>
      <c r="O11" s="670"/>
      <c r="P11" s="423"/>
      <c r="Q11" s="524"/>
      <c r="R11" s="524"/>
      <c r="S11" s="524"/>
      <c r="T11" s="524"/>
      <c r="U11" s="524"/>
    </row>
    <row r="12" spans="1:21" x14ac:dyDescent="0.2">
      <c r="B12" s="524"/>
      <c r="C12" s="673" t="s">
        <v>25</v>
      </c>
      <c r="D12" s="673" t="s">
        <v>26</v>
      </c>
      <c r="E12" s="673" t="s">
        <v>27</v>
      </c>
      <c r="F12" s="673" t="s">
        <v>28</v>
      </c>
      <c r="G12" s="673" t="s">
        <v>337</v>
      </c>
      <c r="H12" s="673" t="s">
        <v>338</v>
      </c>
      <c r="I12" s="673" t="s">
        <v>339</v>
      </c>
      <c r="J12" s="673" t="s">
        <v>111</v>
      </c>
      <c r="K12" s="673" t="s">
        <v>258</v>
      </c>
      <c r="N12" s="673"/>
      <c r="P12" s="448"/>
    </row>
    <row r="13" spans="1:21" x14ac:dyDescent="0.2">
      <c r="B13" s="524"/>
      <c r="P13" s="448"/>
    </row>
    <row r="14" spans="1:21" ht="12.75" customHeight="1" x14ac:dyDescent="0.2">
      <c r="B14" s="674">
        <v>1</v>
      </c>
      <c r="C14" s="524" t="s">
        <v>340</v>
      </c>
      <c r="D14" s="507" t="s">
        <v>122</v>
      </c>
      <c r="E14" s="507" t="s">
        <v>121</v>
      </c>
      <c r="F14" s="675">
        <v>13837</v>
      </c>
      <c r="G14" s="676">
        <v>7.49</v>
      </c>
      <c r="H14" s="677">
        <f>F14*G14</f>
        <v>103639.13</v>
      </c>
      <c r="I14" s="678">
        <f>ROUND(G14*(1+$L$33),2)</f>
        <v>7.37</v>
      </c>
      <c r="J14" s="677">
        <f>F14*I14</f>
        <v>101978.69</v>
      </c>
      <c r="K14" s="679">
        <f>J14-H14</f>
        <v>-1660.4400000000023</v>
      </c>
      <c r="L14" s="680"/>
      <c r="M14" s="680"/>
      <c r="N14" s="681"/>
      <c r="O14" s="678"/>
      <c r="P14" s="682"/>
      <c r="Q14" s="680"/>
      <c r="R14" s="680"/>
      <c r="S14" s="680"/>
      <c r="U14" s="680"/>
    </row>
    <row r="15" spans="1:21" x14ac:dyDescent="0.2">
      <c r="B15" s="674">
        <f>B14+1</f>
        <v>2</v>
      </c>
      <c r="C15" s="524" t="s">
        <v>340</v>
      </c>
      <c r="D15" s="507" t="s">
        <v>124</v>
      </c>
      <c r="E15" s="507" t="s">
        <v>123</v>
      </c>
      <c r="F15" s="675">
        <v>215861</v>
      </c>
      <c r="G15" s="676">
        <v>12.29</v>
      </c>
      <c r="H15" s="683">
        <f>F15*G15</f>
        <v>2652931.69</v>
      </c>
      <c r="I15" s="678">
        <f t="shared" ref="I15:I30" si="0">ROUND(G15*(1+$L$33),2)</f>
        <v>12.09</v>
      </c>
      <c r="J15" s="683">
        <f>F15*I15</f>
        <v>2609759.4899999998</v>
      </c>
      <c r="K15" s="683">
        <f t="shared" ref="K15:K26" si="1">J15-H15</f>
        <v>-43172.200000000186</v>
      </c>
      <c r="L15" s="680"/>
      <c r="M15" s="680"/>
      <c r="N15" s="681"/>
      <c r="O15" s="678"/>
      <c r="P15" s="682"/>
      <c r="Q15" s="680"/>
      <c r="R15" s="680"/>
      <c r="S15" s="680"/>
      <c r="T15" s="680"/>
      <c r="U15" s="680"/>
    </row>
    <row r="16" spans="1:21" x14ac:dyDescent="0.2">
      <c r="B16" s="674">
        <f t="shared" ref="B16:B31" si="2">B15+1</f>
        <v>3</v>
      </c>
      <c r="C16" s="524" t="s">
        <v>340</v>
      </c>
      <c r="D16" s="507" t="s">
        <v>126</v>
      </c>
      <c r="E16" s="507" t="s">
        <v>125</v>
      </c>
      <c r="F16" s="675">
        <v>40579</v>
      </c>
      <c r="G16" s="676">
        <v>17.43</v>
      </c>
      <c r="H16" s="683">
        <f t="shared" ref="H16:H30" si="3">F16*G16</f>
        <v>707291.97</v>
      </c>
      <c r="I16" s="678">
        <f t="shared" si="0"/>
        <v>17.149999999999999</v>
      </c>
      <c r="J16" s="683">
        <f t="shared" ref="J16:J30" si="4">F16*I16</f>
        <v>695929.85</v>
      </c>
      <c r="K16" s="683">
        <f t="shared" si="1"/>
        <v>-11362.119999999995</v>
      </c>
      <c r="L16" s="680"/>
      <c r="M16" s="680"/>
      <c r="N16" s="681"/>
      <c r="O16" s="678"/>
      <c r="P16" s="682"/>
      <c r="Q16" s="680"/>
      <c r="R16" s="680"/>
      <c r="S16" s="680"/>
      <c r="T16" s="680"/>
      <c r="U16" s="680"/>
    </row>
    <row r="17" spans="2:21" x14ac:dyDescent="0.2">
      <c r="B17" s="674">
        <f t="shared" si="2"/>
        <v>4</v>
      </c>
      <c r="C17" s="524" t="s">
        <v>340</v>
      </c>
      <c r="D17" s="507" t="s">
        <v>128</v>
      </c>
      <c r="E17" s="507" t="s">
        <v>127</v>
      </c>
      <c r="F17" s="675">
        <v>9443</v>
      </c>
      <c r="G17" s="676">
        <v>17.059999999999999</v>
      </c>
      <c r="H17" s="683">
        <f t="shared" si="3"/>
        <v>161097.57999999999</v>
      </c>
      <c r="I17" s="678">
        <f t="shared" si="0"/>
        <v>16.78</v>
      </c>
      <c r="J17" s="683">
        <f>F17*I17</f>
        <v>158453.54</v>
      </c>
      <c r="K17" s="683">
        <f>J17-H17</f>
        <v>-2644.039999999979</v>
      </c>
      <c r="L17" s="680"/>
      <c r="M17" s="680"/>
      <c r="N17" s="681"/>
      <c r="O17" s="678"/>
      <c r="P17" s="682"/>
      <c r="Q17" s="680"/>
      <c r="R17" s="680"/>
      <c r="S17" s="680"/>
      <c r="T17" s="680"/>
      <c r="U17" s="680"/>
    </row>
    <row r="18" spans="2:21" x14ac:dyDescent="0.2">
      <c r="B18" s="674">
        <f t="shared" si="2"/>
        <v>5</v>
      </c>
      <c r="C18" s="524" t="s">
        <v>340</v>
      </c>
      <c r="D18" s="507" t="s">
        <v>130</v>
      </c>
      <c r="E18" s="507" t="s">
        <v>129</v>
      </c>
      <c r="F18" s="675">
        <v>44756</v>
      </c>
      <c r="G18" s="676">
        <v>5.93</v>
      </c>
      <c r="H18" s="683">
        <f t="shared" si="3"/>
        <v>265403.08</v>
      </c>
      <c r="I18" s="678">
        <f t="shared" si="0"/>
        <v>5.83</v>
      </c>
      <c r="J18" s="683">
        <f t="shared" si="4"/>
        <v>260927.48</v>
      </c>
      <c r="K18" s="683">
        <f t="shared" si="1"/>
        <v>-4475.6000000000058</v>
      </c>
      <c r="L18" s="680"/>
      <c r="M18" s="680"/>
      <c r="N18" s="681"/>
      <c r="O18" s="678"/>
      <c r="P18" s="682"/>
      <c r="Q18" s="680"/>
      <c r="R18" s="680"/>
      <c r="S18" s="680"/>
      <c r="T18" s="680"/>
      <c r="U18" s="680"/>
    </row>
    <row r="19" spans="2:21" x14ac:dyDescent="0.2">
      <c r="B19" s="674">
        <f t="shared" si="2"/>
        <v>6</v>
      </c>
      <c r="C19" s="524" t="s">
        <v>340</v>
      </c>
      <c r="D19" s="507" t="s">
        <v>132</v>
      </c>
      <c r="E19" s="507" t="s">
        <v>131</v>
      </c>
      <c r="F19" s="675">
        <v>2577</v>
      </c>
      <c r="G19" s="676">
        <v>10.74</v>
      </c>
      <c r="H19" s="683">
        <f t="shared" si="3"/>
        <v>27676.98</v>
      </c>
      <c r="I19" s="678">
        <f t="shared" si="0"/>
        <v>10.57</v>
      </c>
      <c r="J19" s="683">
        <f t="shared" si="4"/>
        <v>27238.89</v>
      </c>
      <c r="K19" s="683">
        <f t="shared" si="1"/>
        <v>-438.09000000000015</v>
      </c>
      <c r="L19" s="680"/>
      <c r="M19" s="680"/>
      <c r="N19" s="681"/>
      <c r="O19" s="678"/>
      <c r="P19" s="682"/>
      <c r="Q19" s="680"/>
      <c r="R19" s="680"/>
      <c r="S19" s="680"/>
      <c r="T19" s="680"/>
      <c r="U19" s="680"/>
    </row>
    <row r="20" spans="2:21" x14ac:dyDescent="0.2">
      <c r="B20" s="674">
        <f t="shared" si="2"/>
        <v>7</v>
      </c>
      <c r="C20" s="524" t="s">
        <v>341</v>
      </c>
      <c r="D20" s="507" t="s">
        <v>136</v>
      </c>
      <c r="E20" s="507" t="s">
        <v>135</v>
      </c>
      <c r="F20" s="675">
        <v>1528</v>
      </c>
      <c r="G20" s="676">
        <v>15.14</v>
      </c>
      <c r="H20" s="683">
        <f t="shared" si="3"/>
        <v>23133.920000000002</v>
      </c>
      <c r="I20" s="678">
        <f t="shared" si="0"/>
        <v>14.9</v>
      </c>
      <c r="J20" s="683">
        <f t="shared" si="4"/>
        <v>22767.200000000001</v>
      </c>
      <c r="K20" s="683">
        <f t="shared" si="1"/>
        <v>-366.72000000000116</v>
      </c>
      <c r="L20" s="680"/>
      <c r="M20" s="680"/>
      <c r="N20" s="681"/>
      <c r="O20" s="589"/>
      <c r="P20" s="682"/>
      <c r="Q20" s="680"/>
      <c r="R20" s="680"/>
      <c r="S20" s="680"/>
      <c r="T20" s="680"/>
      <c r="U20" s="680"/>
    </row>
    <row r="21" spans="2:21" x14ac:dyDescent="0.2">
      <c r="B21" s="674">
        <f t="shared" si="2"/>
        <v>8</v>
      </c>
      <c r="C21" s="524" t="s">
        <v>341</v>
      </c>
      <c r="D21" s="507" t="s">
        <v>138</v>
      </c>
      <c r="E21" s="507" t="s">
        <v>137</v>
      </c>
      <c r="F21" s="675">
        <v>1127</v>
      </c>
      <c r="G21" s="676">
        <v>19.920000000000002</v>
      </c>
      <c r="H21" s="683">
        <f t="shared" si="3"/>
        <v>22449.84</v>
      </c>
      <c r="I21" s="678">
        <f t="shared" si="0"/>
        <v>19.600000000000001</v>
      </c>
      <c r="J21" s="683">
        <f t="shared" si="4"/>
        <v>22089.200000000001</v>
      </c>
      <c r="K21" s="683">
        <f t="shared" si="1"/>
        <v>-360.63999999999942</v>
      </c>
      <c r="L21" s="680"/>
      <c r="M21" s="680"/>
      <c r="N21" s="681"/>
      <c r="O21" s="684"/>
      <c r="P21" s="682"/>
      <c r="Q21" s="680"/>
      <c r="R21" s="680"/>
      <c r="S21" s="680"/>
      <c r="T21" s="680"/>
      <c r="U21" s="680"/>
    </row>
    <row r="22" spans="2:21" x14ac:dyDescent="0.2">
      <c r="B22" s="674">
        <f t="shared" si="2"/>
        <v>9</v>
      </c>
      <c r="C22" s="524" t="s">
        <v>341</v>
      </c>
      <c r="D22" s="507" t="s">
        <v>140</v>
      </c>
      <c r="E22" s="507" t="s">
        <v>139</v>
      </c>
      <c r="F22" s="675">
        <v>3097</v>
      </c>
      <c r="G22" s="676">
        <v>19.920000000000002</v>
      </c>
      <c r="H22" s="683">
        <f t="shared" si="3"/>
        <v>61692.240000000005</v>
      </c>
      <c r="I22" s="678">
        <f t="shared" si="0"/>
        <v>19.600000000000001</v>
      </c>
      <c r="J22" s="683">
        <f t="shared" si="4"/>
        <v>60701.200000000004</v>
      </c>
      <c r="K22" s="683">
        <f t="shared" si="1"/>
        <v>-991.04000000000087</v>
      </c>
      <c r="L22" s="680"/>
      <c r="M22" s="680"/>
      <c r="N22" s="681"/>
      <c r="O22" s="684"/>
      <c r="P22" s="682"/>
      <c r="Q22" s="680"/>
      <c r="R22" s="680"/>
      <c r="S22" s="680"/>
      <c r="T22" s="680"/>
      <c r="U22" s="680"/>
    </row>
    <row r="23" spans="2:21" x14ac:dyDescent="0.2">
      <c r="B23" s="674">
        <f t="shared" si="2"/>
        <v>10</v>
      </c>
      <c r="C23" s="524" t="s">
        <v>341</v>
      </c>
      <c r="D23" s="507" t="s">
        <v>142</v>
      </c>
      <c r="E23" s="507" t="s">
        <v>141</v>
      </c>
      <c r="F23" s="675">
        <v>169</v>
      </c>
      <c r="G23" s="676">
        <v>31.46</v>
      </c>
      <c r="H23" s="683">
        <f t="shared" si="3"/>
        <v>5316.74</v>
      </c>
      <c r="I23" s="678">
        <f t="shared" si="0"/>
        <v>30.95</v>
      </c>
      <c r="J23" s="683">
        <f t="shared" si="4"/>
        <v>5230.55</v>
      </c>
      <c r="K23" s="683">
        <f t="shared" si="1"/>
        <v>-86.1899999999996</v>
      </c>
      <c r="L23" s="680"/>
      <c r="M23" s="680"/>
      <c r="N23" s="681"/>
      <c r="O23" s="684"/>
      <c r="P23" s="682"/>
      <c r="Q23" s="680"/>
      <c r="R23" s="680"/>
      <c r="S23" s="680"/>
      <c r="T23" s="680"/>
      <c r="U23" s="680"/>
    </row>
    <row r="24" spans="2:21" x14ac:dyDescent="0.2">
      <c r="B24" s="674">
        <f t="shared" si="2"/>
        <v>11</v>
      </c>
      <c r="C24" s="524" t="s">
        <v>341</v>
      </c>
      <c r="D24" s="507" t="s">
        <v>144</v>
      </c>
      <c r="E24" s="507" t="s">
        <v>143</v>
      </c>
      <c r="F24" s="675">
        <v>7262</v>
      </c>
      <c r="G24" s="676">
        <v>41.18</v>
      </c>
      <c r="H24" s="683">
        <f t="shared" si="3"/>
        <v>299049.15999999997</v>
      </c>
      <c r="I24" s="678">
        <f t="shared" si="0"/>
        <v>40.51</v>
      </c>
      <c r="J24" s="683">
        <f t="shared" si="4"/>
        <v>294183.62</v>
      </c>
      <c r="K24" s="683">
        <f t="shared" si="1"/>
        <v>-4865.539999999979</v>
      </c>
      <c r="L24" s="680"/>
      <c r="M24" s="680"/>
      <c r="N24" s="681"/>
      <c r="O24" s="684"/>
      <c r="P24" s="682"/>
      <c r="Q24" s="680"/>
      <c r="R24" s="680"/>
      <c r="S24" s="680"/>
      <c r="T24" s="680"/>
      <c r="U24" s="680"/>
    </row>
    <row r="25" spans="2:21" x14ac:dyDescent="0.2">
      <c r="B25" s="674">
        <f t="shared" si="2"/>
        <v>12</v>
      </c>
      <c r="C25" s="524" t="s">
        <v>341</v>
      </c>
      <c r="D25" s="507" t="s">
        <v>146</v>
      </c>
      <c r="E25" s="507" t="s">
        <v>145</v>
      </c>
      <c r="F25" s="675">
        <v>4883</v>
      </c>
      <c r="G25" s="676">
        <v>55.14</v>
      </c>
      <c r="H25" s="683">
        <f t="shared" si="3"/>
        <v>269248.62</v>
      </c>
      <c r="I25" s="678">
        <f t="shared" si="0"/>
        <v>54.25</v>
      </c>
      <c r="J25" s="683">
        <f t="shared" si="4"/>
        <v>264902.75</v>
      </c>
      <c r="K25" s="683">
        <f t="shared" si="1"/>
        <v>-4345.8699999999953</v>
      </c>
      <c r="L25" s="680"/>
      <c r="M25" s="680"/>
      <c r="N25" s="681"/>
      <c r="O25" s="684"/>
      <c r="P25" s="682"/>
      <c r="Q25" s="680"/>
      <c r="R25" s="680"/>
      <c r="S25" s="680"/>
      <c r="T25" s="680"/>
      <c r="U25" s="680"/>
    </row>
    <row r="26" spans="2:21" x14ac:dyDescent="0.2">
      <c r="B26" s="674">
        <f t="shared" si="2"/>
        <v>13</v>
      </c>
      <c r="C26" s="524" t="s">
        <v>341</v>
      </c>
      <c r="D26" s="507" t="s">
        <v>148</v>
      </c>
      <c r="E26" s="507" t="s">
        <v>147</v>
      </c>
      <c r="F26" s="675">
        <v>13877</v>
      </c>
      <c r="G26" s="676">
        <v>64.13</v>
      </c>
      <c r="H26" s="683">
        <f t="shared" si="3"/>
        <v>889932.00999999989</v>
      </c>
      <c r="I26" s="678">
        <f t="shared" si="0"/>
        <v>63.09</v>
      </c>
      <c r="J26" s="683">
        <f t="shared" si="4"/>
        <v>875499.93</v>
      </c>
      <c r="K26" s="683">
        <f t="shared" si="1"/>
        <v>-14432.079999999842</v>
      </c>
      <c r="L26" s="680"/>
      <c r="M26" s="680"/>
      <c r="N26" s="681"/>
      <c r="O26" s="684"/>
      <c r="P26" s="682"/>
      <c r="Q26" s="680"/>
      <c r="R26" s="680"/>
      <c r="S26" s="680"/>
      <c r="T26" s="680"/>
      <c r="U26" s="680"/>
    </row>
    <row r="27" spans="2:21" x14ac:dyDescent="0.2">
      <c r="B27" s="674">
        <f t="shared" si="2"/>
        <v>14</v>
      </c>
      <c r="C27" s="524" t="s">
        <v>342</v>
      </c>
      <c r="D27" s="507" t="s">
        <v>152</v>
      </c>
      <c r="E27" s="507" t="s">
        <v>151</v>
      </c>
      <c r="F27" s="675">
        <v>13829</v>
      </c>
      <c r="G27" s="676">
        <v>10.33</v>
      </c>
      <c r="H27" s="683">
        <f t="shared" si="3"/>
        <v>142853.57</v>
      </c>
      <c r="I27" s="678">
        <f t="shared" si="0"/>
        <v>10.16</v>
      </c>
      <c r="J27" s="683">
        <f t="shared" si="4"/>
        <v>140502.64000000001</v>
      </c>
      <c r="K27" s="683">
        <f>J27-H27</f>
        <v>-2350.929999999993</v>
      </c>
      <c r="L27" s="685" t="s">
        <v>343</v>
      </c>
      <c r="M27" s="680"/>
      <c r="N27" s="681"/>
      <c r="O27" s="678"/>
      <c r="P27" s="682"/>
      <c r="Q27" s="680"/>
      <c r="R27" s="680"/>
      <c r="S27" s="680"/>
      <c r="T27" s="680"/>
      <c r="U27" s="680"/>
    </row>
    <row r="28" spans="2:21" x14ac:dyDescent="0.2">
      <c r="B28" s="674">
        <f t="shared" si="2"/>
        <v>15</v>
      </c>
      <c r="C28" s="524" t="s">
        <v>342</v>
      </c>
      <c r="D28" s="507" t="s">
        <v>154</v>
      </c>
      <c r="E28" s="507" t="s">
        <v>153</v>
      </c>
      <c r="F28" s="675">
        <v>909</v>
      </c>
      <c r="G28" s="676">
        <v>28.17</v>
      </c>
      <c r="H28" s="683">
        <f t="shared" si="3"/>
        <v>25606.530000000002</v>
      </c>
      <c r="I28" s="678">
        <f t="shared" si="0"/>
        <v>27.71</v>
      </c>
      <c r="J28" s="683">
        <f t="shared" si="4"/>
        <v>25188.39</v>
      </c>
      <c r="K28" s="683">
        <f>J28-H28</f>
        <v>-418.14000000000306</v>
      </c>
      <c r="L28" s="686">
        <v>-98098.02769858684</v>
      </c>
      <c r="M28" s="680"/>
      <c r="N28" s="681"/>
      <c r="O28" s="678"/>
      <c r="P28" s="682"/>
      <c r="Q28" s="680"/>
      <c r="R28" s="680"/>
      <c r="S28" s="680"/>
      <c r="T28" s="680"/>
      <c r="U28" s="680"/>
    </row>
    <row r="29" spans="2:21" x14ac:dyDescent="0.2">
      <c r="B29" s="674">
        <f t="shared" si="2"/>
        <v>16</v>
      </c>
      <c r="C29" s="524" t="s">
        <v>342</v>
      </c>
      <c r="D29" s="507" t="s">
        <v>156</v>
      </c>
      <c r="E29" s="507" t="s">
        <v>155</v>
      </c>
      <c r="F29" s="675">
        <v>588</v>
      </c>
      <c r="G29" s="676">
        <v>38.200000000000003</v>
      </c>
      <c r="H29" s="683">
        <f t="shared" si="3"/>
        <v>22461.600000000002</v>
      </c>
      <c r="I29" s="678">
        <f t="shared" si="0"/>
        <v>37.58</v>
      </c>
      <c r="J29" s="683">
        <f t="shared" si="4"/>
        <v>22097.039999999997</v>
      </c>
      <c r="K29" s="683">
        <f>J29-H29</f>
        <v>-364.56000000000495</v>
      </c>
      <c r="L29" s="687" t="s">
        <v>276</v>
      </c>
      <c r="M29" s="680"/>
      <c r="N29" s="681"/>
      <c r="O29" s="678"/>
      <c r="P29" s="682"/>
      <c r="Q29" s="680"/>
      <c r="R29" s="680"/>
      <c r="S29" s="680"/>
      <c r="T29" s="680"/>
      <c r="U29" s="680"/>
    </row>
    <row r="30" spans="2:21" x14ac:dyDescent="0.2">
      <c r="B30" s="674">
        <f t="shared" si="2"/>
        <v>17</v>
      </c>
      <c r="C30" s="524" t="s">
        <v>342</v>
      </c>
      <c r="D30" s="507" t="s">
        <v>158</v>
      </c>
      <c r="E30" s="507" t="s">
        <v>157</v>
      </c>
      <c r="F30" s="675">
        <v>22940</v>
      </c>
      <c r="G30" s="676">
        <v>15.77</v>
      </c>
      <c r="H30" s="683">
        <f t="shared" si="3"/>
        <v>361763.8</v>
      </c>
      <c r="I30" s="678">
        <f t="shared" si="0"/>
        <v>15.51</v>
      </c>
      <c r="J30" s="683">
        <f t="shared" si="4"/>
        <v>355799.4</v>
      </c>
      <c r="K30" s="683">
        <f>J30-H30</f>
        <v>-5964.3999999999651</v>
      </c>
      <c r="L30" s="688">
        <f>K31-L28</f>
        <v>-200.5723014131072</v>
      </c>
      <c r="M30" s="680"/>
      <c r="N30" s="681"/>
      <c r="O30" s="678"/>
      <c r="P30" s="682"/>
      <c r="Q30" s="680"/>
      <c r="R30" s="680"/>
      <c r="S30" s="680"/>
      <c r="T30" s="680"/>
      <c r="U30" s="680"/>
    </row>
    <row r="31" spans="2:21" x14ac:dyDescent="0.2">
      <c r="B31" s="674">
        <f t="shared" si="2"/>
        <v>18</v>
      </c>
      <c r="E31" s="518" t="s">
        <v>6</v>
      </c>
      <c r="F31" s="440">
        <f>SUM(F14:F30)</f>
        <v>397262</v>
      </c>
      <c r="H31" s="689">
        <f>SUM(H14:H30)</f>
        <v>6041548.46</v>
      </c>
      <c r="I31" s="680"/>
      <c r="J31" s="689">
        <f>SUM(J14:J30)</f>
        <v>5943249.8599999994</v>
      </c>
      <c r="K31" s="690">
        <f>SUM(K14:K30)</f>
        <v>-98298.599999999948</v>
      </c>
      <c r="L31" s="691"/>
      <c r="O31" s="692"/>
      <c r="P31" s="691"/>
    </row>
    <row r="32" spans="2:21" s="448" customFormat="1" x14ac:dyDescent="0.2">
      <c r="B32" s="693"/>
      <c r="G32" s="691"/>
      <c r="H32" s="691"/>
      <c r="I32" s="691"/>
      <c r="J32" s="691"/>
      <c r="K32" s="691"/>
    </row>
    <row r="33" spans="2:21" s="448" customFormat="1" x14ac:dyDescent="0.2">
      <c r="B33" s="693"/>
      <c r="C33" s="518"/>
      <c r="D33" s="507"/>
      <c r="E33" s="507"/>
      <c r="F33" s="507"/>
      <c r="G33" s="694"/>
      <c r="H33" s="695"/>
      <c r="I33" s="680"/>
      <c r="J33" s="680"/>
      <c r="K33" s="691"/>
      <c r="L33" s="696">
        <v>-1.6169993745930988E-2</v>
      </c>
      <c r="M33" s="682"/>
      <c r="N33" s="697"/>
      <c r="O33" s="682"/>
      <c r="P33" s="682"/>
      <c r="Q33" s="682"/>
      <c r="R33" s="682"/>
      <c r="S33" s="682"/>
      <c r="U33" s="682"/>
    </row>
    <row r="34" spans="2:21" s="448" customFormat="1" x14ac:dyDescent="0.2">
      <c r="B34" s="693"/>
      <c r="G34" s="694"/>
      <c r="J34" s="423"/>
      <c r="K34" s="698"/>
    </row>
    <row r="35" spans="2:21" x14ac:dyDescent="0.2">
      <c r="B35" s="674"/>
      <c r="G35" s="694"/>
      <c r="O35" s="699"/>
      <c r="P35" s="682"/>
      <c r="Q35" s="680"/>
      <c r="R35" s="680"/>
      <c r="S35" s="680"/>
    </row>
    <row r="36" spans="2:21" x14ac:dyDescent="0.2">
      <c r="B36" s="674"/>
      <c r="G36" s="694"/>
      <c r="P36" s="682"/>
      <c r="Q36" s="680"/>
      <c r="R36" s="680"/>
      <c r="S36" s="680"/>
    </row>
    <row r="37" spans="2:21" x14ac:dyDescent="0.2">
      <c r="B37" s="674"/>
      <c r="G37" s="694"/>
      <c r="J37" s="680"/>
      <c r="K37" s="680"/>
      <c r="O37" s="693"/>
      <c r="P37" s="700"/>
      <c r="Q37" s="700"/>
      <c r="R37" s="701"/>
      <c r="S37" s="701"/>
    </row>
    <row r="38" spans="2:21" x14ac:dyDescent="0.2">
      <c r="B38" s="674"/>
      <c r="G38" s="694"/>
      <c r="P38" s="448"/>
    </row>
    <row r="39" spans="2:21" x14ac:dyDescent="0.2">
      <c r="B39" s="674"/>
    </row>
    <row r="40" spans="2:21" x14ac:dyDescent="0.2">
      <c r="B40" s="674"/>
    </row>
    <row r="41" spans="2:21" x14ac:dyDescent="0.2">
      <c r="B41" s="674"/>
    </row>
    <row r="42" spans="2:21" x14ac:dyDescent="0.2">
      <c r="B42" s="674"/>
    </row>
    <row r="43" spans="2:21" x14ac:dyDescent="0.2">
      <c r="B43" s="674"/>
    </row>
    <row r="44" spans="2:21" x14ac:dyDescent="0.2">
      <c r="B44" s="674"/>
    </row>
    <row r="45" spans="2:21" x14ac:dyDescent="0.2">
      <c r="B45" s="674"/>
    </row>
    <row r="46" spans="2:21" x14ac:dyDescent="0.2">
      <c r="B46" s="674"/>
    </row>
    <row r="47" spans="2:21" x14ac:dyDescent="0.2">
      <c r="B47" s="674"/>
    </row>
    <row r="48" spans="2:21" x14ac:dyDescent="0.2">
      <c r="B48" s="674"/>
    </row>
    <row r="49" spans="2:2" x14ac:dyDescent="0.2">
      <c r="B49" s="674"/>
    </row>
  </sheetData>
  <printOptions horizontalCentered="1"/>
  <pageMargins left="0.51" right="0.67" top="1" bottom="1" header="0.75" footer="0.5"/>
  <pageSetup scale="84" orientation="landscape" blackAndWhite="1" r:id="rId1"/>
  <headerFooter alignWithMargins="0">
    <oddFooter>&amp;L&amp;F 
&amp;A&amp;C&amp;P&amp;R&amp;D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E40" sqref="E40"/>
      <selection pane="topRight" activeCell="E40" sqref="E40"/>
      <selection pane="bottomLeft" activeCell="E40" sqref="E40"/>
      <selection pane="bottomRight" activeCell="H32" sqref="H32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" customWidth="1"/>
    <col min="5" max="5" width="18.5703125" bestFit="1" customWidth="1"/>
    <col min="6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0" width="12.85546875" bestFit="1" customWidth="1"/>
    <col min="11" max="11" width="13.28515625" bestFit="1" customWidth="1"/>
    <col min="12" max="13" width="10" bestFit="1" customWidth="1"/>
    <col min="14" max="15" width="13.28515625" bestFit="1" customWidth="1"/>
    <col min="16" max="16" width="15.7109375" bestFit="1" customWidth="1"/>
    <col min="17" max="17" width="12.85546875" bestFit="1" customWidth="1"/>
    <col min="18" max="18" width="8.85546875" bestFit="1" customWidth="1"/>
    <col min="19" max="19" width="13.7109375" bestFit="1" customWidth="1"/>
  </cols>
  <sheetData>
    <row r="1" spans="2:18" x14ac:dyDescent="0.25">
      <c r="B1" s="780" t="s">
        <v>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780"/>
      <c r="R1" s="780"/>
    </row>
    <row r="2" spans="2:18" x14ac:dyDescent="0.25">
      <c r="B2" s="780" t="s">
        <v>435</v>
      </c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780"/>
      <c r="R2" s="780"/>
    </row>
    <row r="3" spans="2:18" x14ac:dyDescent="0.25">
      <c r="B3" s="781" t="s">
        <v>477</v>
      </c>
      <c r="C3" s="781"/>
      <c r="D3" s="781"/>
      <c r="E3" s="781"/>
      <c r="F3" s="781"/>
      <c r="G3" s="781"/>
      <c r="H3" s="781"/>
      <c r="I3" s="781"/>
      <c r="J3" s="781"/>
      <c r="K3" s="781"/>
      <c r="L3" s="781"/>
      <c r="M3" s="781"/>
      <c r="N3" s="781"/>
      <c r="O3" s="781"/>
      <c r="P3" s="781"/>
      <c r="Q3" s="781"/>
      <c r="R3" s="781"/>
    </row>
    <row r="4" spans="2:18" x14ac:dyDescent="0.25">
      <c r="B4" s="781"/>
      <c r="C4" s="781"/>
      <c r="D4" s="781"/>
      <c r="E4" s="781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</row>
    <row r="5" spans="2:18" x14ac:dyDescent="0.25">
      <c r="K5" s="248"/>
      <c r="O5" s="248"/>
    </row>
    <row r="6" spans="2:18" x14ac:dyDescent="0.25">
      <c r="B6" s="5"/>
      <c r="C6" s="5"/>
      <c r="D6" s="5" t="s">
        <v>437</v>
      </c>
      <c r="E6" s="248"/>
      <c r="F6" s="5"/>
      <c r="G6" s="5"/>
      <c r="H6" s="5"/>
      <c r="I6" s="5"/>
      <c r="J6" s="5"/>
      <c r="K6" s="5"/>
      <c r="L6" s="5"/>
      <c r="M6" s="5" t="s">
        <v>431</v>
      </c>
      <c r="N6" s="5" t="s">
        <v>431</v>
      </c>
      <c r="O6" s="5"/>
      <c r="P6" s="252" t="s">
        <v>456</v>
      </c>
      <c r="Q6" s="252" t="s">
        <v>476</v>
      </c>
      <c r="R6" s="5"/>
    </row>
    <row r="7" spans="2:18" x14ac:dyDescent="0.25">
      <c r="B7" s="5"/>
      <c r="C7" s="5" t="s">
        <v>17</v>
      </c>
      <c r="D7" s="5" t="s">
        <v>3</v>
      </c>
      <c r="E7" s="248" t="s">
        <v>437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114</v>
      </c>
      <c r="K7" s="5" t="s">
        <v>16</v>
      </c>
      <c r="L7" s="5" t="s">
        <v>434</v>
      </c>
      <c r="M7" s="5" t="s">
        <v>430</v>
      </c>
      <c r="N7" s="5" t="s">
        <v>74</v>
      </c>
      <c r="O7" s="5" t="s">
        <v>110</v>
      </c>
      <c r="P7" s="5" t="s">
        <v>438</v>
      </c>
      <c r="Q7" s="5" t="s">
        <v>2</v>
      </c>
      <c r="R7" s="5" t="s">
        <v>20</v>
      </c>
    </row>
    <row r="8" spans="2:18" x14ac:dyDescent="0.25">
      <c r="B8" s="6" t="s">
        <v>4</v>
      </c>
      <c r="C8" s="6" t="s">
        <v>21</v>
      </c>
      <c r="D8" s="249" t="s">
        <v>455</v>
      </c>
      <c r="E8" s="6" t="s">
        <v>453</v>
      </c>
      <c r="F8" s="6" t="s">
        <v>2</v>
      </c>
      <c r="G8" s="6" t="s">
        <v>2</v>
      </c>
      <c r="H8" s="6" t="s">
        <v>2</v>
      </c>
      <c r="I8" s="6" t="s">
        <v>2</v>
      </c>
      <c r="J8" s="6" t="s">
        <v>2</v>
      </c>
      <c r="K8" s="6" t="s">
        <v>2</v>
      </c>
      <c r="L8" s="6" t="s">
        <v>2</v>
      </c>
      <c r="M8" s="6" t="s">
        <v>2</v>
      </c>
      <c r="N8" s="6" t="s">
        <v>2</v>
      </c>
      <c r="O8" s="6" t="s">
        <v>2</v>
      </c>
      <c r="P8" s="6" t="s">
        <v>2</v>
      </c>
      <c r="Q8" s="6" t="s">
        <v>24</v>
      </c>
      <c r="R8" s="6" t="s">
        <v>24</v>
      </c>
    </row>
    <row r="9" spans="2:18" x14ac:dyDescent="0.25">
      <c r="B9" s="5" t="s">
        <v>25</v>
      </c>
      <c r="C9" s="5" t="s">
        <v>26</v>
      </c>
      <c r="D9" s="5" t="s">
        <v>27</v>
      </c>
      <c r="E9" s="5" t="s">
        <v>28</v>
      </c>
      <c r="F9" s="5" t="s">
        <v>337</v>
      </c>
      <c r="G9" s="5" t="s">
        <v>338</v>
      </c>
      <c r="H9" s="5" t="s">
        <v>339</v>
      </c>
      <c r="I9" s="7" t="s">
        <v>111</v>
      </c>
      <c r="J9" s="5" t="s">
        <v>452</v>
      </c>
      <c r="K9" s="5" t="s">
        <v>29</v>
      </c>
      <c r="L9" s="7" t="s">
        <v>51</v>
      </c>
      <c r="M9" s="7" t="s">
        <v>112</v>
      </c>
      <c r="N9" s="7" t="s">
        <v>259</v>
      </c>
      <c r="O9" s="5" t="s">
        <v>113</v>
      </c>
      <c r="P9" s="7" t="s">
        <v>260</v>
      </c>
      <c r="Q9" s="5" t="s">
        <v>261</v>
      </c>
      <c r="R9" s="5" t="s">
        <v>473</v>
      </c>
    </row>
    <row r="10" spans="2:18" x14ac:dyDescent="0.25">
      <c r="B10" t="s">
        <v>7</v>
      </c>
      <c r="C10" s="8" t="s">
        <v>30</v>
      </c>
      <c r="D10" s="194">
        <f>SUM('Normalized Therms'!P10,'Normalized Therms'!P12)</f>
        <v>603105848.20999992</v>
      </c>
      <c r="E10" s="165">
        <v>311319235.66274381</v>
      </c>
      <c r="F10" s="165">
        <v>197005848.44792041</v>
      </c>
      <c r="G10" s="165">
        <f>'Schedule 106 Revenue'!F8</f>
        <v>-35148991.630000003</v>
      </c>
      <c r="H10" s="165">
        <f>'Schedule 120 Revenue'!F8</f>
        <v>10270892.595016299</v>
      </c>
      <c r="I10" s="165">
        <f>'Schedule 129 Revenue'!G8</f>
        <v>3238678.4048876995</v>
      </c>
      <c r="J10" s="165">
        <f>'Schedule 132 Revenue'!F8</f>
        <v>-2159118.9365917998</v>
      </c>
      <c r="K10" s="165">
        <f>'Schedule 140 Revenue'!F8</f>
        <v>14764031.164180798</v>
      </c>
      <c r="L10" s="165">
        <f>SUM('Schedule 141 Revenue'!G9:G14)</f>
        <v>0</v>
      </c>
      <c r="M10" s="165"/>
      <c r="N10" s="165">
        <f>'Sch 142 Revenue (Decoupling)'!G10</f>
        <v>49183281.920000002</v>
      </c>
      <c r="O10" s="165">
        <f>'Schedule 149 Revenue'!F8</f>
        <v>6760816.558434099</v>
      </c>
      <c r="P10" s="171">
        <f>SUM(E10:O10)</f>
        <v>555234674.18659139</v>
      </c>
      <c r="Q10" s="165">
        <f>SUM('Schedule X Revenue'!$H$9:$H$14)</f>
        <v>-4288329.5448346063</v>
      </c>
      <c r="R10" s="244">
        <f>Q10/P10</f>
        <v>-7.7234541432718165E-3</v>
      </c>
    </row>
    <row r="11" spans="2:18" x14ac:dyDescent="0.25">
      <c r="B11" t="s">
        <v>31</v>
      </c>
      <c r="C11" s="8">
        <v>16</v>
      </c>
      <c r="D11" s="194">
        <f>'Normalized Therms'!P11</f>
        <v>9592.0450000000001</v>
      </c>
      <c r="E11" s="165">
        <v>4891.9429499999997</v>
      </c>
      <c r="F11" s="165">
        <v>3135.0841815789481</v>
      </c>
      <c r="G11" s="165">
        <f>'Schedule 106 Revenue'!F9</f>
        <v>-560.38</v>
      </c>
      <c r="H11" s="165">
        <f>'Schedule 120 Revenue'!F9</f>
        <v>163.35252635000001</v>
      </c>
      <c r="I11" s="165">
        <v>0</v>
      </c>
      <c r="J11" s="165">
        <f>'Schedule 132 Revenue'!F9</f>
        <v>-34.339521099999999</v>
      </c>
      <c r="K11" s="165">
        <f>'Schedule 140 Revenue'!F9</f>
        <v>234.81326160000003</v>
      </c>
      <c r="L11" s="165">
        <f>'Schedule 141 Revenue'!G17</f>
        <v>0</v>
      </c>
      <c r="M11" s="165">
        <f>'Sch 142 Revenue (Rate Plan)'!G10</f>
        <v>0</v>
      </c>
      <c r="N11" s="165"/>
      <c r="O11" s="165">
        <f>'Schedule 149 Revenue'!F9</f>
        <v>107.52682444999999</v>
      </c>
      <c r="P11" s="171">
        <f t="shared" ref="P11:P22" si="0">SUM(E11:O11)</f>
        <v>7938.0002228789481</v>
      </c>
      <c r="Q11" s="165">
        <f>'Schedule X Revenue'!$H$17</f>
        <v>-65.629781578946861</v>
      </c>
      <c r="R11" s="244">
        <f t="shared" ref="R11:R22" si="1">Q11/P11</f>
        <v>-8.2677979007594812E-3</v>
      </c>
    </row>
    <row r="12" spans="2:18" x14ac:dyDescent="0.25">
      <c r="B12" t="s">
        <v>8</v>
      </c>
      <c r="C12" s="8">
        <v>31</v>
      </c>
      <c r="D12" s="194">
        <f>'Normalized Therms'!P13</f>
        <v>228604732.46999997</v>
      </c>
      <c r="E12" s="165">
        <v>91578256.92346701</v>
      </c>
      <c r="F12" s="165">
        <v>72863186.380163103</v>
      </c>
      <c r="G12" s="165">
        <f>'Schedule 106 Revenue'!F10</f>
        <v>-13320797.76</v>
      </c>
      <c r="H12" s="165">
        <f>'Schedule 120 Revenue'!F10</f>
        <v>3893138.5939640994</v>
      </c>
      <c r="I12" s="165">
        <f>'Schedule 129 Revenue'!G10</f>
        <v>978428.2549715999</v>
      </c>
      <c r="J12" s="165">
        <f>'Schedule 132 Revenue'!F10</f>
        <v>-566939.73652559996</v>
      </c>
      <c r="K12" s="165">
        <f>'Schedule 140 Revenue'!F10</f>
        <v>6028306.7952338997</v>
      </c>
      <c r="L12" s="165">
        <f>SUM('Schedule 141 Revenue'!G20:G22)</f>
        <v>0</v>
      </c>
      <c r="M12" s="165"/>
      <c r="N12" s="165">
        <f>'Sch 142 Revenue (Decoupling)'!G15</f>
        <v>1659670.3599999999</v>
      </c>
      <c r="O12" s="165">
        <f>'Schedule 149 Revenue'!F10</f>
        <v>2487219.4892735998</v>
      </c>
      <c r="P12" s="171">
        <f t="shared" si="0"/>
        <v>165600469.30054775</v>
      </c>
      <c r="Q12" s="165">
        <f>SUM('Schedule X Revenue'!$H$20:$H$22)</f>
        <v>-1259035.3204846003</v>
      </c>
      <c r="R12" s="244">
        <f t="shared" si="1"/>
        <v>-7.6028487467603798E-3</v>
      </c>
    </row>
    <row r="13" spans="2:18" x14ac:dyDescent="0.25">
      <c r="B13" t="s">
        <v>9</v>
      </c>
      <c r="C13" s="8">
        <v>41</v>
      </c>
      <c r="D13" s="194">
        <f>'Normalized Therms'!P14</f>
        <v>63966868.016999997</v>
      </c>
      <c r="E13" s="165">
        <v>14456233.31830545</v>
      </c>
      <c r="F13" s="165">
        <v>18624424.888310701</v>
      </c>
      <c r="G13" s="165">
        <f>'Schedule 106 Revenue'!F11</f>
        <v>-3723511.39</v>
      </c>
      <c r="H13" s="165">
        <f>'Schedule 120 Revenue'!F11</f>
        <v>1089355.7623295099</v>
      </c>
      <c r="I13" s="165">
        <f>'Schedule 129 Revenue'!G13</f>
        <v>143925.45303824998</v>
      </c>
      <c r="J13" s="165">
        <f>'Schedule 132 Revenue'!F11</f>
        <v>-159277.50136232999</v>
      </c>
      <c r="K13" s="165">
        <f>'Schedule 140 Revenue'!F11</f>
        <v>583377.83631503989</v>
      </c>
      <c r="L13" s="165">
        <f>SUM('Schedule 141 Revenue'!G32:G41)</f>
        <v>0</v>
      </c>
      <c r="M13" s="165"/>
      <c r="N13" s="165">
        <f>'Sch 142 Revenue (Decoupling)'!G28</f>
        <v>1266103.8999999999</v>
      </c>
      <c r="O13" s="165">
        <f>'Schedule 149 Revenue'!F11</f>
        <v>397873.91906573996</v>
      </c>
      <c r="P13" s="171">
        <f t="shared" si="0"/>
        <v>32678506.186002355</v>
      </c>
      <c r="Q13" s="165">
        <f>SUM('Schedule X Revenue'!$H$32:$H$41)</f>
        <v>-198981.87008722575</v>
      </c>
      <c r="R13" s="244">
        <f t="shared" si="1"/>
        <v>-6.0890748479946874E-3</v>
      </c>
    </row>
    <row r="14" spans="2:18" x14ac:dyDescent="0.25">
      <c r="B14" t="s">
        <v>10</v>
      </c>
      <c r="C14" s="8">
        <v>85</v>
      </c>
      <c r="D14" s="194">
        <f>'Normalized Therms'!P15</f>
        <v>16307789.425999999</v>
      </c>
      <c r="E14" s="165">
        <v>1589956.2565282346</v>
      </c>
      <c r="F14" s="165">
        <v>4494980.4766552001</v>
      </c>
      <c r="G14" s="165">
        <f>'Schedule 106 Revenue'!F12</f>
        <v>-948950.27</v>
      </c>
      <c r="H14" s="165">
        <f>'Schedule 120 Revenue'!F12</f>
        <v>243475.29613017998</v>
      </c>
      <c r="I14" s="165">
        <f>'Schedule 129 Revenue'!G20</f>
        <v>18238.357395419996</v>
      </c>
      <c r="J14" s="165">
        <f>'Schedule 132 Revenue'!F12</f>
        <v>-7827.7389244799997</v>
      </c>
      <c r="K14" s="165">
        <f>'Schedule 140 Revenue'!F12</f>
        <v>71917.351368659991</v>
      </c>
      <c r="L14" s="165">
        <f>SUM('Schedule 141 Revenue'!G54:G61)</f>
        <v>0</v>
      </c>
      <c r="M14" s="165">
        <f>'Sch 142 Revenue (Rate Plan)'!G20</f>
        <v>0</v>
      </c>
      <c r="N14" s="165"/>
      <c r="O14" s="165">
        <f>'Schedule 149 Revenue'!F12</f>
        <v>53978.783000059993</v>
      </c>
      <c r="P14" s="171">
        <f t="shared" si="0"/>
        <v>5515768.5121532753</v>
      </c>
      <c r="Q14" s="165">
        <f>SUM('Schedule X Revenue'!$H$54:$H$61)</f>
        <v>-21886.223099732404</v>
      </c>
      <c r="R14" s="244">
        <f t="shared" si="1"/>
        <v>-3.9679372061225864E-3</v>
      </c>
    </row>
    <row r="15" spans="2:18" x14ac:dyDescent="0.25">
      <c r="B15" t="s">
        <v>11</v>
      </c>
      <c r="C15" s="8">
        <v>86</v>
      </c>
      <c r="D15" s="194">
        <f>'Normalized Therms'!P16</f>
        <v>9107268.5420000013</v>
      </c>
      <c r="E15" s="165">
        <v>1944724.1433509393</v>
      </c>
      <c r="F15" s="165">
        <v>2526653.7291643196</v>
      </c>
      <c r="G15" s="165">
        <f>'Schedule 106 Revenue'!F13</f>
        <v>-529951.96</v>
      </c>
      <c r="H15" s="165">
        <f>'Schedule 120 Revenue'!F13</f>
        <v>135971.51933206004</v>
      </c>
      <c r="I15" s="165">
        <f>'Schedule 129 Revenue'!G22</f>
        <v>19944.918106980003</v>
      </c>
      <c r="J15" s="165">
        <f>'Schedule 132 Revenue'!F13</f>
        <v>-23041.389411260003</v>
      </c>
      <c r="K15" s="165">
        <f>'Schedule 140 Revenue'!F13</f>
        <v>77685.000663260013</v>
      </c>
      <c r="L15" s="165">
        <f>SUM('Schedule 141 Revenue'!G73:G79)</f>
        <v>0</v>
      </c>
      <c r="M15" s="165"/>
      <c r="N15" s="165">
        <f>'Sch 142 Revenue (Decoupling)'!G46</f>
        <v>179041.35</v>
      </c>
      <c r="O15" s="165">
        <f>'Schedule 149 Revenue'!F13</f>
        <v>37795.164449300006</v>
      </c>
      <c r="P15" s="171">
        <f t="shared" si="0"/>
        <v>4368822.4756555995</v>
      </c>
      <c r="Q15" s="165">
        <f>SUM('Schedule X Revenue'!$H$73:$H$79)</f>
        <v>-26767.613409920974</v>
      </c>
      <c r="R15" s="244">
        <f t="shared" si="1"/>
        <v>-6.1269629423210065E-3</v>
      </c>
    </row>
    <row r="16" spans="2:18" x14ac:dyDescent="0.25">
      <c r="B16" t="s">
        <v>12</v>
      </c>
      <c r="C16" s="8">
        <v>87</v>
      </c>
      <c r="D16" s="194">
        <f>'Normalized Therms'!P17</f>
        <v>23273158.627999999</v>
      </c>
      <c r="E16" s="165">
        <v>1093496.3989577971</v>
      </c>
      <c r="F16" s="165">
        <v>6293993.0193563206</v>
      </c>
      <c r="G16" s="165">
        <f>'Schedule 106 Revenue'!F14</f>
        <v>-1353799.64</v>
      </c>
      <c r="H16" s="165">
        <f>'Schedule 120 Revenue'!F14</f>
        <v>347468.25831603998</v>
      </c>
      <c r="I16" s="165">
        <f>'Schedule 129 Revenue'!G32</f>
        <v>10512.457794129999</v>
      </c>
      <c r="J16" s="165">
        <f>'Schedule 132 Revenue'!F14</f>
        <v>-8843.8002786399993</v>
      </c>
      <c r="K16" s="165">
        <f>'Schedule 140 Revenue'!F14</f>
        <v>68423.08636632</v>
      </c>
      <c r="L16" s="165">
        <f>SUM('Schedule 141 Revenue'!G91:G101)</f>
        <v>0</v>
      </c>
      <c r="M16" s="165">
        <f>'Sch 142 Revenue (Rate Plan)'!G44</f>
        <v>0</v>
      </c>
      <c r="N16" s="165"/>
      <c r="O16" s="165">
        <f>'Schedule 149 Revenue'!F14</f>
        <v>47011.78042856</v>
      </c>
      <c r="P16" s="171">
        <f t="shared" si="0"/>
        <v>6498261.5609405283</v>
      </c>
      <c r="Q16" s="165">
        <f>SUM('Schedule X Revenue'!$H$91:$H$101)</f>
        <v>-15128.371995987394</v>
      </c>
      <c r="R16" s="244">
        <f t="shared" si="1"/>
        <v>-2.3280644914203457E-3</v>
      </c>
    </row>
    <row r="17" spans="2:21" x14ac:dyDescent="0.25">
      <c r="B17" t="s">
        <v>32</v>
      </c>
      <c r="C17" s="8" t="s">
        <v>33</v>
      </c>
      <c r="D17" s="194">
        <f>'Normalized Therms'!P18</f>
        <v>43413.770000000004</v>
      </c>
      <c r="E17" s="165">
        <v>25885.709759820398</v>
      </c>
      <c r="F17" s="165">
        <v>30.389638999999999</v>
      </c>
      <c r="G17" s="223"/>
      <c r="H17" s="165"/>
      <c r="I17" s="165">
        <f>'Schedule 129 Revenue'!G11</f>
        <v>185.81093560000002</v>
      </c>
      <c r="J17" s="165">
        <f>'Schedule 132 Revenue'!F15</f>
        <v>-107.66614960000001</v>
      </c>
      <c r="K17" s="165">
        <f>'Schedule 140 Revenue'!F15</f>
        <v>1144.8211149000001</v>
      </c>
      <c r="L17" s="165">
        <f>SUM('Schedule 141 Revenue'!G25:G26)</f>
        <v>0</v>
      </c>
      <c r="M17" s="165"/>
      <c r="N17" s="165">
        <f>'Sch 142 Revenue (Decoupling)'!G20</f>
        <v>306.5</v>
      </c>
      <c r="O17" s="165">
        <f>'Schedule 149 Revenue'!F15</f>
        <v>472.34181760000007</v>
      </c>
      <c r="P17" s="171">
        <f t="shared" si="0"/>
        <v>27917.907117320399</v>
      </c>
      <c r="Q17" s="165">
        <f>SUM('Schedule X Revenue'!$H$25:$H$26)</f>
        <v>-356.01592064631086</v>
      </c>
      <c r="R17" s="244">
        <f t="shared" si="1"/>
        <v>-1.2752242463957369E-2</v>
      </c>
    </row>
    <row r="18" spans="2:21" x14ac:dyDescent="0.25">
      <c r="B18" t="s">
        <v>34</v>
      </c>
      <c r="C18" t="s">
        <v>35</v>
      </c>
      <c r="D18" s="194">
        <f>'Normalized Therms'!P19</f>
        <v>19254249.518999998</v>
      </c>
      <c r="E18" s="165">
        <v>3995567.7266982314</v>
      </c>
      <c r="F18" s="165">
        <v>13477.9746633</v>
      </c>
      <c r="G18" s="223"/>
      <c r="H18" s="165"/>
      <c r="I18" s="165">
        <f>'Schedule 129 Revenue'!G14</f>
        <v>43322.061417749988</v>
      </c>
      <c r="J18" s="165">
        <f>'Schedule 132 Revenue'!F16</f>
        <v>-47943.081302309991</v>
      </c>
      <c r="K18" s="165">
        <f>'Schedule 140 Revenue'!F16</f>
        <v>175598.75561327997</v>
      </c>
      <c r="L18" s="165">
        <f>SUM('Schedule 141 Revenue'!G44:G51)</f>
        <v>0</v>
      </c>
      <c r="M18" s="165"/>
      <c r="N18" s="165">
        <f>'Sch 142 Revenue (Decoupling)'!G36</f>
        <v>389154.95</v>
      </c>
      <c r="O18" s="165">
        <f>'Schedule 149 Revenue'!F16</f>
        <v>119761.43200817998</v>
      </c>
      <c r="P18" s="171">
        <f>SUM(E18:O18)</f>
        <v>4688939.8190984316</v>
      </c>
      <c r="Q18" s="165">
        <f>SUM('Schedule X Revenue'!$H$44:$H$51)</f>
        <v>-54971.532564559064</v>
      </c>
      <c r="R18" s="244">
        <f t="shared" si="1"/>
        <v>-1.1723659224768798E-2</v>
      </c>
    </row>
    <row r="19" spans="2:21" x14ac:dyDescent="0.25">
      <c r="B19" t="s">
        <v>36</v>
      </c>
      <c r="C19" t="s">
        <v>37</v>
      </c>
      <c r="D19" s="194">
        <f>'Normalized Therms'!P20</f>
        <v>76582587.120000005</v>
      </c>
      <c r="E19" s="165">
        <v>7037315.1964751901</v>
      </c>
      <c r="F19" s="165">
        <v>53607.810984000011</v>
      </c>
      <c r="G19" s="223"/>
      <c r="H19" s="165"/>
      <c r="I19" s="165">
        <f>'Schedule 129 Revenue'!G38</f>
        <v>76771.472940399995</v>
      </c>
      <c r="J19" s="165">
        <f>'Schedule 132 Revenue'!F17</f>
        <v>-36759.641817600001</v>
      </c>
      <c r="K19" s="165">
        <f>'Schedule 140 Revenue'!F17</f>
        <v>337729.20919920004</v>
      </c>
      <c r="L19" s="165">
        <f>SUM('Schedule 141 Revenue'!G64:G70)</f>
        <v>0</v>
      </c>
      <c r="M19" s="165">
        <f>'Sch 142 Revenue (Rate Plan)'!G29</f>
        <v>0</v>
      </c>
      <c r="N19" s="165"/>
      <c r="O19" s="165">
        <f>'Schedule 149 Revenue'!F17</f>
        <v>253488.36336720001</v>
      </c>
      <c r="P19" s="171">
        <f t="shared" si="0"/>
        <v>7722152.4111483907</v>
      </c>
      <c r="Q19" s="165">
        <f>SUM('Schedule X Revenue'!$H$64:$H$70)</f>
        <v>-96736.773002275528</v>
      </c>
      <c r="R19" s="244">
        <f t="shared" si="1"/>
        <v>-1.2527177379019049E-2</v>
      </c>
    </row>
    <row r="20" spans="2:21" x14ac:dyDescent="0.25">
      <c r="B20" t="s">
        <v>38</v>
      </c>
      <c r="C20" t="s">
        <v>39</v>
      </c>
      <c r="D20" s="194">
        <f>'Normalized Therms'!P21</f>
        <v>354636.7</v>
      </c>
      <c r="E20" s="165">
        <v>84408.74029168782</v>
      </c>
      <c r="F20" s="165">
        <v>248.24569000000002</v>
      </c>
      <c r="G20" s="223"/>
      <c r="H20" s="165"/>
      <c r="I20" s="165">
        <f>'Schedule 129 Revenue'!G23</f>
        <v>776.65437300000008</v>
      </c>
      <c r="J20" s="165">
        <f>'Schedule 132 Revenue'!F18</f>
        <v>-897.23085100000003</v>
      </c>
      <c r="K20" s="165">
        <f>'Schedule 140 Revenue'!F18</f>
        <v>3025.0510509999999</v>
      </c>
      <c r="L20" s="165">
        <f>SUM('Schedule 141 Revenue'!G82:G88)</f>
        <v>0</v>
      </c>
      <c r="M20" s="165"/>
      <c r="N20" s="165">
        <f>'Sch 142 Revenue (Decoupling)'!G53</f>
        <v>7098.91</v>
      </c>
      <c r="O20" s="165">
        <f>'Schedule 149 Revenue'!F18</f>
        <v>1471.742305</v>
      </c>
      <c r="P20" s="171">
        <f t="shared" si="0"/>
        <v>96132.112859687826</v>
      </c>
      <c r="Q20" s="165">
        <f>SUM('Schedule X Revenue'!$H$82:$H$88)</f>
        <v>-1160.2926874317363</v>
      </c>
      <c r="R20" s="244">
        <f t="shared" si="1"/>
        <v>-1.2069772034713024E-2</v>
      </c>
    </row>
    <row r="21" spans="2:21" x14ac:dyDescent="0.25">
      <c r="B21" t="s">
        <v>40</v>
      </c>
      <c r="C21" t="s">
        <v>41</v>
      </c>
      <c r="D21" s="194">
        <f>'Normalized Therms'!P22</f>
        <v>103884321.25000001</v>
      </c>
      <c r="E21" s="165">
        <v>3564358.6664720275</v>
      </c>
      <c r="F21" s="165">
        <v>72719.024875000003</v>
      </c>
      <c r="G21" s="165"/>
      <c r="H21" s="165"/>
      <c r="I21" s="165">
        <f>'Schedule 129 Revenue'!G47</f>
        <v>37708.554543300001</v>
      </c>
      <c r="J21" s="165">
        <f>'Schedule 132 Revenue'!F19</f>
        <v>-39476.042075000005</v>
      </c>
      <c r="K21" s="165">
        <f>'Schedule 140 Revenue'!F19</f>
        <v>305419.90447500005</v>
      </c>
      <c r="L21" s="165">
        <f>SUM('Schedule 141 Revenue'!G104:G114)</f>
        <v>0</v>
      </c>
      <c r="M21" s="165">
        <f>'Sch 142 Revenue (Rate Plan)'!G56</f>
        <v>0</v>
      </c>
      <c r="N21" s="165"/>
      <c r="O21" s="165">
        <f>'Schedule 149 Revenue'!F19</f>
        <v>209846.32892500004</v>
      </c>
      <c r="P21" s="171">
        <f t="shared" si="0"/>
        <v>4150576.4372153282</v>
      </c>
      <c r="Q21" s="165">
        <f>SUM('Schedule X Revenue'!$H$104:$H$114)</f>
        <v>-49051.944810320332</v>
      </c>
      <c r="R21" s="244">
        <f t="shared" si="1"/>
        <v>-1.181810419644503E-2</v>
      </c>
    </row>
    <row r="22" spans="2:21" x14ac:dyDescent="0.25">
      <c r="B22" t="s">
        <v>13</v>
      </c>
      <c r="D22" s="194">
        <f>'Normalized Therms'!P23</f>
        <v>37275691.68</v>
      </c>
      <c r="E22" s="165">
        <v>1726553.2512827553</v>
      </c>
      <c r="F22" s="165"/>
      <c r="G22" s="165"/>
      <c r="H22" s="165"/>
      <c r="I22" s="165">
        <v>0</v>
      </c>
      <c r="J22" s="165">
        <f>'Schedule 132 Revenue'!F20</f>
        <v>-8573.4090864000009</v>
      </c>
      <c r="K22" s="165">
        <f>'Schedule 140 Revenue'!F20</f>
        <v>119654.9702928</v>
      </c>
      <c r="L22" s="165">
        <f>'Schedule 141 Revenue'!G139</f>
        <v>0</v>
      </c>
      <c r="M22" s="165"/>
      <c r="N22" s="165"/>
      <c r="O22" s="165">
        <f>'Schedule 149 Revenue'!F20</f>
        <v>92070.958449600002</v>
      </c>
      <c r="P22" s="171">
        <f t="shared" si="0"/>
        <v>1929705.7709387555</v>
      </c>
      <c r="Q22" s="165">
        <f>'Schedule X Revenue'!$H$139</f>
        <v>-11662.625379653648</v>
      </c>
      <c r="R22" s="244">
        <f t="shared" si="1"/>
        <v>-6.0437324463097093E-3</v>
      </c>
    </row>
    <row r="23" spans="2:21" x14ac:dyDescent="0.25">
      <c r="B23" t="s">
        <v>6</v>
      </c>
      <c r="D23" s="15">
        <f>SUM(D10:D22)</f>
        <v>1181770157.3770001</v>
      </c>
      <c r="E23" s="16">
        <f>SUM(E10:E22)</f>
        <v>438420883.93728304</v>
      </c>
      <c r="F23" s="16">
        <f t="shared" ref="F23:H23" si="2">SUM(F10:F22)</f>
        <v>301952305.47160286</v>
      </c>
      <c r="G23" s="16">
        <f t="shared" si="2"/>
        <v>-55026563.030000009</v>
      </c>
      <c r="H23" s="16">
        <f t="shared" si="2"/>
        <v>15980465.377614539</v>
      </c>
      <c r="I23" s="16">
        <f>SUM(I10:I22)</f>
        <v>4568492.4004041292</v>
      </c>
      <c r="J23" s="16">
        <f t="shared" ref="J23:P23" si="3">SUM(J10:J22)</f>
        <v>-3058840.5138971196</v>
      </c>
      <c r="K23" s="16">
        <f t="shared" si="3"/>
        <v>22536548.759135753</v>
      </c>
      <c r="L23" s="16">
        <f t="shared" si="3"/>
        <v>0</v>
      </c>
      <c r="M23" s="16">
        <f t="shared" si="3"/>
        <v>0</v>
      </c>
      <c r="N23" s="16">
        <f t="shared" si="3"/>
        <v>52684657.890000001</v>
      </c>
      <c r="O23" s="16">
        <f t="shared" si="3"/>
        <v>10461914.388348391</v>
      </c>
      <c r="P23" s="172">
        <f t="shared" si="3"/>
        <v>788519864.68049181</v>
      </c>
      <c r="Q23" s="16">
        <f>SUM(Q10:Q22)</f>
        <v>-6024133.7580585387</v>
      </c>
      <c r="R23" s="245">
        <f>Q23/P23</f>
        <v>-7.639799614305871E-3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1"/>
      <c r="K24" s="20"/>
      <c r="L24" s="20"/>
      <c r="M24" s="20"/>
      <c r="N24" s="20"/>
      <c r="O24" s="20"/>
      <c r="P24" s="20"/>
      <c r="Q24" s="23"/>
      <c r="R24" s="27"/>
    </row>
    <row r="25" spans="2:21" s="24" customFormat="1" x14ac:dyDescent="0.25">
      <c r="B25" s="17" t="s">
        <v>454</v>
      </c>
      <c r="C25" s="17"/>
      <c r="D25" s="222">
        <f>'12ME Jun18 Rentals'!O28</f>
        <v>356738.40836915449</v>
      </c>
      <c r="E25" s="165">
        <v>5364365.7215311108</v>
      </c>
      <c r="F25" s="19"/>
      <c r="G25" s="21"/>
      <c r="H25" s="21"/>
      <c r="I25" s="165"/>
      <c r="J25" s="165">
        <f>'Schedule 132 Revenue'!F23</f>
        <v>-49943.377171681634</v>
      </c>
      <c r="K25" s="165">
        <f>'Schedule 140 Revenue'!F23</f>
        <v>210475.66093780115</v>
      </c>
      <c r="L25" s="165">
        <f>SUM('Schedule 141 Revenue'!G117:G137)</f>
        <v>0</v>
      </c>
      <c r="M25" s="165">
        <f>'Sch 142 Revenue (Rate Plan)'!G86</f>
        <v>0</v>
      </c>
      <c r="N25" s="165"/>
      <c r="O25" s="251">
        <f>'Schedule 149 Revenue'!F23</f>
        <v>0</v>
      </c>
      <c r="P25" s="171">
        <f>SUM(E25:O25)</f>
        <v>5524898.0052972306</v>
      </c>
      <c r="Q25" s="165">
        <f>SUM('Schedule X Revenue'!$H$117:$H$137)</f>
        <v>-73993.859107714234</v>
      </c>
      <c r="R25" s="244">
        <f>Q25/P25</f>
        <v>-1.3392800923522838E-2</v>
      </c>
      <c r="S25" s="27"/>
      <c r="T25" s="25"/>
      <c r="U25" s="28"/>
    </row>
    <row r="26" spans="2:21" s="24" customFormat="1" x14ac:dyDescent="0.25">
      <c r="B26" s="210" t="s">
        <v>6</v>
      </c>
      <c r="C26" s="210"/>
      <c r="D26" s="31"/>
      <c r="E26" s="30">
        <f>E23+E25</f>
        <v>443785249.65881413</v>
      </c>
      <c r="F26" s="30">
        <f t="shared" ref="F26:H26" si="4">F23+F25</f>
        <v>301952305.47160286</v>
      </c>
      <c r="G26" s="30">
        <f t="shared" si="4"/>
        <v>-55026563.030000009</v>
      </c>
      <c r="H26" s="30">
        <f t="shared" si="4"/>
        <v>15980465.377614539</v>
      </c>
      <c r="I26" s="30">
        <f>I23+I25</f>
        <v>4568492.4004041292</v>
      </c>
      <c r="J26" s="30">
        <f t="shared" ref="J26:Q26" si="5">J23+J25</f>
        <v>-3108783.8910688013</v>
      </c>
      <c r="K26" s="30">
        <f t="shared" si="5"/>
        <v>22747024.420073554</v>
      </c>
      <c r="L26" s="30">
        <f t="shared" si="5"/>
        <v>0</v>
      </c>
      <c r="M26" s="30">
        <f t="shared" si="5"/>
        <v>0</v>
      </c>
      <c r="N26" s="30">
        <f t="shared" si="5"/>
        <v>52684657.890000001</v>
      </c>
      <c r="O26" s="30">
        <f t="shared" si="5"/>
        <v>10461914.388348391</v>
      </c>
      <c r="P26" s="30">
        <f t="shared" si="5"/>
        <v>794044762.68578899</v>
      </c>
      <c r="Q26" s="30">
        <f t="shared" si="5"/>
        <v>-6098127.6171662528</v>
      </c>
      <c r="R26" s="245">
        <f>Q26/P26</f>
        <v>-7.6798285231928914E-3</v>
      </c>
      <c r="S26" s="27"/>
    </row>
    <row r="27" spans="2:21" x14ac:dyDescent="0.25">
      <c r="I27" s="12"/>
      <c r="L27" s="12"/>
      <c r="M27" s="12"/>
      <c r="N27" s="12"/>
      <c r="P27" s="12"/>
      <c r="R27" s="246"/>
    </row>
    <row r="28" spans="2:21" x14ac:dyDescent="0.25">
      <c r="D28" s="32"/>
      <c r="I28" s="12"/>
      <c r="L28" s="12"/>
      <c r="M28" s="12"/>
      <c r="N28" s="12"/>
      <c r="P28" s="12"/>
      <c r="Q28" s="12"/>
      <c r="R28" s="24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210" t="s">
        <v>43</v>
      </c>
      <c r="C30" s="210"/>
      <c r="E30" s="35">
        <f>E10+E11</f>
        <v>311324127.60569382</v>
      </c>
      <c r="I30" s="35"/>
      <c r="L30" s="35"/>
      <c r="M30" s="35"/>
      <c r="N30" s="35"/>
      <c r="P30" s="35">
        <f>P10+P11</f>
        <v>555242612.18681431</v>
      </c>
      <c r="Q30" s="12">
        <f>SUM(Q10:Q11)</f>
        <v>-4288395.174616185</v>
      </c>
      <c r="R30" s="244">
        <f>Q30/P30</f>
        <v>-7.7234619254570678E-3</v>
      </c>
      <c r="S30" s="36"/>
    </row>
    <row r="31" spans="2:21" s="24" customFormat="1" x14ac:dyDescent="0.25">
      <c r="B31" s="37" t="s">
        <v>44</v>
      </c>
      <c r="C31" s="37"/>
      <c r="E31" s="35">
        <f>E12+E17</f>
        <v>91604142.633226827</v>
      </c>
      <c r="F31" s="39"/>
      <c r="G31" s="39"/>
      <c r="H31" s="39"/>
      <c r="I31" s="35"/>
      <c r="J31" s="39"/>
      <c r="K31" s="39"/>
      <c r="L31" s="35"/>
      <c r="M31" s="35"/>
      <c r="N31" s="35"/>
      <c r="O31" s="39"/>
      <c r="P31" s="35">
        <f>P12+P17</f>
        <v>165628387.20766506</v>
      </c>
      <c r="Q31" s="12">
        <f>SUM(Q12,Q17)</f>
        <v>-1259391.3364052465</v>
      </c>
      <c r="R31" s="244">
        <f t="shared" ref="R31:R36" si="6">Q31/P31</f>
        <v>-7.6037167156993461E-3</v>
      </c>
    </row>
    <row r="32" spans="2:21" s="24" customFormat="1" x14ac:dyDescent="0.25">
      <c r="B32" s="210" t="s">
        <v>45</v>
      </c>
      <c r="C32" s="210"/>
      <c r="E32" s="35">
        <f>E13+E18</f>
        <v>18451801.045003682</v>
      </c>
      <c r="F32" s="39"/>
      <c r="G32" s="39"/>
      <c r="H32" s="39"/>
      <c r="I32" s="35"/>
      <c r="J32" s="39"/>
      <c r="K32" s="39"/>
      <c r="L32" s="35"/>
      <c r="M32" s="35"/>
      <c r="N32" s="35"/>
      <c r="O32" s="39"/>
      <c r="P32" s="35">
        <f>P13+P18</f>
        <v>37367446.005100787</v>
      </c>
      <c r="Q32" s="12">
        <f>SUM(Q13,Q18)</f>
        <v>-253953.40265178483</v>
      </c>
      <c r="R32" s="244">
        <f t="shared" si="6"/>
        <v>-6.7961134570748904E-3</v>
      </c>
    </row>
    <row r="33" spans="2:18" s="24" customFormat="1" x14ac:dyDescent="0.25">
      <c r="B33" s="210" t="s">
        <v>46</v>
      </c>
      <c r="C33" s="210"/>
      <c r="E33" s="35">
        <f>E14+E19</f>
        <v>8627271.4530034252</v>
      </c>
      <c r="F33" s="39"/>
      <c r="G33" s="39"/>
      <c r="H33" s="39"/>
      <c r="I33" s="35"/>
      <c r="J33" s="39"/>
      <c r="K33" s="39"/>
      <c r="L33" s="35"/>
      <c r="M33" s="35"/>
      <c r="N33" s="35"/>
      <c r="O33" s="39"/>
      <c r="P33" s="35">
        <f>P14+P19</f>
        <v>13237920.923301667</v>
      </c>
      <c r="Q33" s="12">
        <f>SUM(Q14,Q19)</f>
        <v>-118622.99610200794</v>
      </c>
      <c r="R33" s="244">
        <f t="shared" si="6"/>
        <v>-8.9608479148115504E-3</v>
      </c>
    </row>
    <row r="34" spans="2:18" s="24" customFormat="1" x14ac:dyDescent="0.25">
      <c r="B34" s="210" t="s">
        <v>47</v>
      </c>
      <c r="C34" s="210"/>
      <c r="E34" s="35">
        <f>E15+E20</f>
        <v>2029132.8836426272</v>
      </c>
      <c r="F34" s="39"/>
      <c r="G34" s="39"/>
      <c r="H34" s="39"/>
      <c r="I34" s="206"/>
      <c r="J34" s="39"/>
      <c r="K34" s="39"/>
      <c r="L34" s="206"/>
      <c r="M34" s="206"/>
      <c r="N34" s="206"/>
      <c r="O34" s="39"/>
      <c r="P34" s="35">
        <f>P15+P20</f>
        <v>4464954.5885152873</v>
      </c>
      <c r="Q34" s="12">
        <f>SUM(Q15,Q20)</f>
        <v>-27927.906097352708</v>
      </c>
      <c r="R34" s="244">
        <f t="shared" si="6"/>
        <v>-6.2549138056607776E-3</v>
      </c>
    </row>
    <row r="35" spans="2:18" s="24" customFormat="1" x14ac:dyDescent="0.25">
      <c r="B35" s="17" t="s">
        <v>48</v>
      </c>
      <c r="C35" s="17"/>
      <c r="D35" s="31"/>
      <c r="E35" s="35">
        <f>E16+E21</f>
        <v>4657855.0654298244</v>
      </c>
      <c r="F35" s="38"/>
      <c r="G35" s="38"/>
      <c r="H35" s="38"/>
      <c r="I35" s="206"/>
      <c r="J35" s="38"/>
      <c r="K35" s="38"/>
      <c r="L35" s="206"/>
      <c r="M35" s="206"/>
      <c r="N35" s="206"/>
      <c r="O35" s="38"/>
      <c r="P35" s="35">
        <f>P16+P21</f>
        <v>10648837.998155857</v>
      </c>
      <c r="Q35" s="12">
        <f>SUM(Q16,Q21)</f>
        <v>-64180.316806307725</v>
      </c>
      <c r="R35" s="244">
        <f t="shared" si="6"/>
        <v>-6.0269784193751784E-3</v>
      </c>
    </row>
    <row r="36" spans="2:18" s="24" customFormat="1" x14ac:dyDescent="0.25">
      <c r="B36" s="40" t="s">
        <v>13</v>
      </c>
      <c r="C36" s="17"/>
      <c r="D36" s="31"/>
      <c r="E36" s="35">
        <f>E22</f>
        <v>1726553.2512827553</v>
      </c>
      <c r="F36" s="38"/>
      <c r="G36" s="38"/>
      <c r="H36" s="38"/>
      <c r="I36" s="206"/>
      <c r="J36" s="38"/>
      <c r="K36" s="38"/>
      <c r="L36" s="206"/>
      <c r="M36" s="206"/>
      <c r="N36" s="206"/>
      <c r="O36" s="38"/>
      <c r="P36" s="35">
        <f>P22</f>
        <v>1929705.7709387555</v>
      </c>
      <c r="Q36" s="12">
        <f>Q22</f>
        <v>-11662.625379653648</v>
      </c>
      <c r="R36" s="244">
        <f t="shared" si="6"/>
        <v>-6.0437324463097093E-3</v>
      </c>
    </row>
    <row r="37" spans="2:18" s="24" customFormat="1" x14ac:dyDescent="0.25">
      <c r="B37" s="41" t="s">
        <v>14</v>
      </c>
      <c r="C37" s="41"/>
      <c r="D37" s="31"/>
      <c r="E37" s="42">
        <f>SUM(E30:E36)</f>
        <v>438420883.93728292</v>
      </c>
      <c r="F37" s="31"/>
      <c r="G37" s="31"/>
      <c r="H37" s="38"/>
      <c r="I37" s="206"/>
      <c r="J37" s="38"/>
      <c r="K37" s="38"/>
      <c r="L37" s="206"/>
      <c r="M37" s="206"/>
      <c r="N37" s="206"/>
      <c r="O37" s="38"/>
      <c r="P37" s="42">
        <f>SUM(P30:P36)</f>
        <v>788519864.68049181</v>
      </c>
      <c r="Q37" s="42">
        <f>SUM(Q30:Q36)</f>
        <v>-6024133.7580585387</v>
      </c>
      <c r="R37" s="245">
        <f>Q37/P37</f>
        <v>-7.639799614305871E-3</v>
      </c>
    </row>
    <row r="38" spans="2:18" s="24" customFormat="1" x14ac:dyDescent="0.25">
      <c r="B38" s="17"/>
      <c r="C38" s="17"/>
      <c r="D38" s="31"/>
      <c r="E38" s="35"/>
      <c r="F38" s="31"/>
      <c r="G38" s="31"/>
      <c r="H38" s="38"/>
      <c r="I38" s="206"/>
      <c r="J38" s="38"/>
      <c r="K38" s="38"/>
      <c r="L38" s="206"/>
      <c r="M38" s="206"/>
      <c r="N38" s="206"/>
      <c r="O38" s="38"/>
      <c r="P38" s="35"/>
      <c r="Q38" s="35"/>
      <c r="R38" s="244"/>
    </row>
    <row r="39" spans="2:18" s="24" customFormat="1" x14ac:dyDescent="0.25">
      <c r="B39" s="17" t="s">
        <v>423</v>
      </c>
      <c r="C39" s="17"/>
      <c r="D39" s="31"/>
      <c r="E39" s="35">
        <f>E25</f>
        <v>5364365.7215311108</v>
      </c>
      <c r="F39" s="31"/>
      <c r="G39" s="31"/>
      <c r="H39" s="38"/>
      <c r="I39" s="206"/>
      <c r="J39" s="38"/>
      <c r="K39" s="38"/>
      <c r="L39" s="206"/>
      <c r="M39" s="206"/>
      <c r="N39" s="206"/>
      <c r="O39" s="38"/>
      <c r="P39" s="35">
        <f>P25</f>
        <v>5524898.0052972306</v>
      </c>
      <c r="Q39" s="12">
        <f>Q25</f>
        <v>-73993.859107714234</v>
      </c>
      <c r="R39" s="244">
        <f>Q39/P39</f>
        <v>-1.3392800923522838E-2</v>
      </c>
    </row>
    <row r="40" spans="2:18" s="31" customFormat="1" x14ac:dyDescent="0.25">
      <c r="B40" s="210" t="s">
        <v>6</v>
      </c>
      <c r="C40" s="210"/>
      <c r="D40" s="24"/>
      <c r="E40" s="42">
        <f>E39+E37</f>
        <v>443785249.65881401</v>
      </c>
      <c r="I40" s="206"/>
      <c r="L40" s="206"/>
      <c r="M40" s="206"/>
      <c r="N40" s="206"/>
      <c r="P40" s="42">
        <f>P39+P37</f>
        <v>794044762.68578899</v>
      </c>
      <c r="Q40" s="42">
        <f>Q39+Q37</f>
        <v>-6098127.6171662528</v>
      </c>
      <c r="R40" s="245">
        <f>Q40/P40</f>
        <v>-7.6798285231928914E-3</v>
      </c>
    </row>
    <row r="41" spans="2:18" s="24" customFormat="1" x14ac:dyDescent="0.25">
      <c r="B41" s="31"/>
      <c r="C41" s="31"/>
      <c r="F41" s="39"/>
      <c r="I41" s="31"/>
      <c r="K41" s="31"/>
      <c r="L41" s="31"/>
      <c r="M41" s="31"/>
      <c r="N41" s="31"/>
      <c r="O41" s="31"/>
      <c r="P41" s="31"/>
      <c r="Q41" s="43"/>
    </row>
    <row r="42" spans="2:18" ht="17.25" x14ac:dyDescent="0.25">
      <c r="B42" t="s">
        <v>464</v>
      </c>
      <c r="E42" s="175"/>
      <c r="I42" s="32"/>
      <c r="L42" s="32"/>
      <c r="M42" s="32"/>
      <c r="N42" s="32"/>
      <c r="P42" s="32"/>
    </row>
    <row r="43" spans="2:18" ht="17.25" x14ac:dyDescent="0.25">
      <c r="B43" t="s">
        <v>457</v>
      </c>
      <c r="I43" s="32"/>
      <c r="L43" s="32"/>
      <c r="M43" s="32"/>
      <c r="N43" s="32"/>
      <c r="P43" s="32"/>
    </row>
    <row r="44" spans="2:18" x14ac:dyDescent="0.25">
      <c r="B44" s="176"/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67" orientation="landscape" blackAndWhite="1" r:id="rId1"/>
  <headerFooter>
    <oddFooter>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7"/>
  <sheetViews>
    <sheetView zoomScaleNormal="100" workbookViewId="0">
      <selection activeCell="P25" sqref="P25"/>
    </sheetView>
  </sheetViews>
  <sheetFormatPr defaultColWidth="9.140625" defaultRowHeight="15" x14ac:dyDescent="0.25"/>
  <cols>
    <col min="1" max="1" width="2.140625" style="45" customWidth="1"/>
    <col min="2" max="2" width="2.42578125" style="45" customWidth="1"/>
    <col min="3" max="3" width="37.140625" style="45" customWidth="1"/>
    <col min="4" max="5" width="13.140625" style="45" customWidth="1"/>
    <col min="6" max="6" width="2.7109375" style="46" customWidth="1"/>
    <col min="7" max="8" width="13.140625" style="45" customWidth="1"/>
    <col min="9" max="9" width="2.7109375" style="45" customWidth="1"/>
    <col min="10" max="11" width="13.140625" style="45" customWidth="1"/>
    <col min="12" max="12" width="2.7109375" style="45" customWidth="1"/>
    <col min="13" max="14" width="13.140625" style="45" customWidth="1"/>
    <col min="15" max="16384" width="9.140625" style="45"/>
  </cols>
  <sheetData>
    <row r="1" spans="2:14" x14ac:dyDescent="0.25">
      <c r="B1" s="782" t="s">
        <v>0</v>
      </c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  <c r="N1" s="782"/>
    </row>
    <row r="2" spans="2:14" x14ac:dyDescent="0.25">
      <c r="B2" s="782" t="s">
        <v>435</v>
      </c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</row>
    <row r="3" spans="2:14" x14ac:dyDescent="0.25">
      <c r="B3" s="780" t="s">
        <v>478</v>
      </c>
      <c r="C3" s="780"/>
      <c r="D3" s="780"/>
      <c r="E3" s="780"/>
      <c r="F3" s="780"/>
      <c r="G3" s="780"/>
      <c r="H3" s="780"/>
      <c r="I3" s="780"/>
      <c r="J3" s="780"/>
      <c r="K3" s="780"/>
      <c r="L3" s="780"/>
      <c r="M3" s="780"/>
      <c r="N3" s="780"/>
    </row>
    <row r="4" spans="2:14" x14ac:dyDescent="0.25">
      <c r="B4" s="780"/>
      <c r="C4" s="780"/>
      <c r="D4" s="780"/>
      <c r="E4" s="780"/>
      <c r="F4" s="780"/>
      <c r="G4" s="780"/>
      <c r="H4" s="780"/>
      <c r="I4" s="44"/>
    </row>
    <row r="5" spans="2:14" x14ac:dyDescent="0.25">
      <c r="I5" s="44"/>
    </row>
    <row r="6" spans="2:14" x14ac:dyDescent="0.25">
      <c r="D6" s="47" t="s">
        <v>23</v>
      </c>
      <c r="E6" s="47"/>
      <c r="F6" s="48"/>
      <c r="G6" s="47" t="s">
        <v>436</v>
      </c>
      <c r="H6" s="47"/>
      <c r="I6" s="44"/>
      <c r="J6" s="47" t="s">
        <v>479</v>
      </c>
      <c r="K6" s="47"/>
      <c r="M6" s="47" t="s">
        <v>480</v>
      </c>
      <c r="N6" s="47"/>
    </row>
    <row r="7" spans="2:14" ht="17.25" x14ac:dyDescent="0.25">
      <c r="D7" s="49" t="s">
        <v>52</v>
      </c>
      <c r="E7" s="49" t="s">
        <v>53</v>
      </c>
      <c r="F7" s="50"/>
      <c r="G7" s="49" t="s">
        <v>22</v>
      </c>
      <c r="H7" s="49" t="s">
        <v>53</v>
      </c>
      <c r="I7" s="44"/>
      <c r="J7" s="198" t="s">
        <v>22</v>
      </c>
      <c r="K7" s="198" t="s">
        <v>53</v>
      </c>
      <c r="M7" s="198" t="s">
        <v>22</v>
      </c>
      <c r="N7" s="198" t="s">
        <v>53</v>
      </c>
    </row>
    <row r="8" spans="2:14" x14ac:dyDescent="0.25">
      <c r="B8" s="45" t="s">
        <v>54</v>
      </c>
      <c r="D8" s="51">
        <v>64</v>
      </c>
      <c r="E8" s="52"/>
      <c r="F8" s="53"/>
      <c r="G8" s="51">
        <v>64</v>
      </c>
      <c r="H8" s="52"/>
      <c r="I8" s="44"/>
      <c r="J8" s="51">
        <v>64</v>
      </c>
      <c r="K8" s="52"/>
      <c r="M8" s="51">
        <v>64</v>
      </c>
      <c r="N8" s="52"/>
    </row>
    <row r="9" spans="2:14" x14ac:dyDescent="0.25">
      <c r="D9" s="51"/>
      <c r="E9" s="52"/>
      <c r="F9" s="53"/>
      <c r="G9" s="51"/>
      <c r="H9" s="52"/>
      <c r="I9" s="44"/>
      <c r="J9" s="51"/>
      <c r="K9" s="52"/>
      <c r="M9" s="51"/>
      <c r="N9" s="52"/>
    </row>
    <row r="10" spans="2:14" x14ac:dyDescent="0.25">
      <c r="B10" s="45" t="s">
        <v>55</v>
      </c>
      <c r="D10" s="51"/>
      <c r="E10" s="52"/>
      <c r="F10" s="53"/>
      <c r="G10" s="51"/>
      <c r="H10" s="52"/>
      <c r="I10" s="44"/>
      <c r="J10" s="51"/>
      <c r="K10" s="52"/>
      <c r="M10" s="51"/>
      <c r="N10" s="52"/>
    </row>
    <row r="11" spans="2:14" x14ac:dyDescent="0.25">
      <c r="C11" s="45" t="s">
        <v>56</v>
      </c>
      <c r="D11" s="55">
        <v>11</v>
      </c>
      <c r="E11" s="774">
        <f>D11</f>
        <v>11</v>
      </c>
      <c r="F11" s="55"/>
      <c r="G11" s="62">
        <f>D11</f>
        <v>11</v>
      </c>
      <c r="H11" s="774">
        <f>G11</f>
        <v>11</v>
      </c>
      <c r="J11" s="62">
        <f>D11</f>
        <v>11</v>
      </c>
      <c r="K11" s="774">
        <f>J11</f>
        <v>11</v>
      </c>
      <c r="M11" s="62">
        <f>D11</f>
        <v>11</v>
      </c>
      <c r="N11" s="774">
        <f>M11</f>
        <v>11</v>
      </c>
    </row>
    <row r="12" spans="2:14" x14ac:dyDescent="0.25">
      <c r="C12" s="45" t="s">
        <v>432</v>
      </c>
      <c r="D12" s="55">
        <v>0</v>
      </c>
      <c r="E12" s="774">
        <f>D12</f>
        <v>0</v>
      </c>
      <c r="F12" s="55"/>
      <c r="G12" s="775">
        <f>'Schedule 141 Revenue'!F9</f>
        <v>0.66999999999999993</v>
      </c>
      <c r="H12" s="774">
        <f>G12</f>
        <v>0.66999999999999993</v>
      </c>
      <c r="J12" s="775">
        <f>'Schedule 141 Revenue'!I9</f>
        <v>0</v>
      </c>
      <c r="K12" s="774">
        <f>J12</f>
        <v>0</v>
      </c>
      <c r="M12" s="775">
        <f>'Schedule 141 Revenue'!F9</f>
        <v>0.66999999999999993</v>
      </c>
      <c r="N12" s="774">
        <f>M12</f>
        <v>0.66999999999999993</v>
      </c>
    </row>
    <row r="13" spans="2:14" s="201" customFormat="1" x14ac:dyDescent="0.25">
      <c r="C13" s="201" t="s">
        <v>474</v>
      </c>
      <c r="D13" s="776">
        <v>0</v>
      </c>
      <c r="E13" s="777">
        <f>D13</f>
        <v>0</v>
      </c>
      <c r="F13" s="55"/>
      <c r="G13" s="779">
        <v>0</v>
      </c>
      <c r="H13" s="777">
        <f>G13</f>
        <v>0</v>
      </c>
      <c r="J13" s="778">
        <f>'Schedule X Revenue'!F9</f>
        <v>-0.15000000000000036</v>
      </c>
      <c r="K13" s="777">
        <f>J13</f>
        <v>-0.15000000000000036</v>
      </c>
      <c r="M13" s="778">
        <f>'Schedule X Revenue'!F9</f>
        <v>-0.15000000000000036</v>
      </c>
      <c r="N13" s="777">
        <f>M13</f>
        <v>-0.15000000000000036</v>
      </c>
    </row>
    <row r="14" spans="2:14" x14ac:dyDescent="0.25">
      <c r="C14" s="45" t="s">
        <v>14</v>
      </c>
      <c r="D14" s="56">
        <f>SUM(D11:D13)</f>
        <v>11</v>
      </c>
      <c r="E14" s="56">
        <f>SUM(E11:E13)</f>
        <v>11</v>
      </c>
      <c r="F14" s="55"/>
      <c r="G14" s="56">
        <f>SUM(G11:G13)</f>
        <v>11.67</v>
      </c>
      <c r="H14" s="56">
        <f>SUM(H11:H13)</f>
        <v>11.67</v>
      </c>
      <c r="J14" s="56">
        <f>SUM(J11:J13)</f>
        <v>10.85</v>
      </c>
      <c r="K14" s="56">
        <f>SUM(K11:K13)</f>
        <v>10.85</v>
      </c>
      <c r="M14" s="56">
        <f>SUM(M11:M13)</f>
        <v>11.52</v>
      </c>
      <c r="N14" s="56">
        <f>SUM(N11:N13)</f>
        <v>11.52</v>
      </c>
    </row>
    <row r="15" spans="2:14" x14ac:dyDescent="0.25">
      <c r="D15" s="54"/>
      <c r="E15" s="52"/>
      <c r="F15" s="55"/>
      <c r="G15" s="56"/>
      <c r="H15" s="52"/>
      <c r="J15" s="56"/>
      <c r="K15" s="52"/>
      <c r="M15" s="56"/>
      <c r="N15" s="52"/>
    </row>
    <row r="16" spans="2:14" x14ac:dyDescent="0.25">
      <c r="B16" s="45" t="s">
        <v>57</v>
      </c>
      <c r="E16" s="52"/>
      <c r="H16" s="52"/>
      <c r="J16" s="201"/>
      <c r="K16" s="52"/>
      <c r="M16" s="201"/>
      <c r="N16" s="52"/>
    </row>
    <row r="17" spans="3:14" x14ac:dyDescent="0.25">
      <c r="C17" s="45" t="s">
        <v>58</v>
      </c>
      <c r="D17" s="78">
        <v>0.34603</v>
      </c>
      <c r="E17" s="52"/>
      <c r="F17" s="57"/>
      <c r="G17" s="58">
        <f>D17</f>
        <v>0.34603</v>
      </c>
      <c r="H17" s="52"/>
      <c r="J17" s="58">
        <f>D17</f>
        <v>0.34603</v>
      </c>
      <c r="K17" s="52"/>
      <c r="M17" s="58">
        <f>D17</f>
        <v>0.34603</v>
      </c>
      <c r="N17" s="52"/>
    </row>
    <row r="18" spans="3:14" x14ac:dyDescent="0.25">
      <c r="C18" s="45" t="s">
        <v>59</v>
      </c>
      <c r="D18" s="78">
        <v>2.4479999999999998E-2</v>
      </c>
      <c r="E18" s="52"/>
      <c r="F18" s="57"/>
      <c r="G18" s="58">
        <f>D18</f>
        <v>2.4479999999999998E-2</v>
      </c>
      <c r="H18" s="52"/>
      <c r="J18" s="58">
        <f>D18</f>
        <v>2.4479999999999998E-2</v>
      </c>
      <c r="K18" s="52"/>
      <c r="M18" s="58">
        <f>D18</f>
        <v>2.4479999999999998E-2</v>
      </c>
      <c r="N18" s="52"/>
    </row>
    <row r="19" spans="3:14" x14ac:dyDescent="0.25">
      <c r="C19" s="45" t="s">
        <v>432</v>
      </c>
      <c r="D19" s="78">
        <v>0</v>
      </c>
      <c r="E19" s="52"/>
      <c r="F19" s="57"/>
      <c r="G19" s="707">
        <f>'Schedule 141 Revenue'!F10</f>
        <v>2.1230000000000027E-2</v>
      </c>
      <c r="H19" s="52"/>
      <c r="J19" s="250">
        <v>0</v>
      </c>
      <c r="K19" s="52"/>
      <c r="M19" s="707">
        <f>'Schedule 141 Revenue'!F10</f>
        <v>2.1230000000000027E-2</v>
      </c>
      <c r="N19" s="52"/>
    </row>
    <row r="20" spans="3:14" x14ac:dyDescent="0.25">
      <c r="C20" s="45" t="s">
        <v>60</v>
      </c>
      <c r="D20" s="78">
        <v>8.1549999999999997E-2</v>
      </c>
      <c r="E20" s="52"/>
      <c r="F20" s="57"/>
      <c r="G20" s="58">
        <f t="shared" ref="G20:G21" si="0">D20</f>
        <v>8.1549999999999997E-2</v>
      </c>
      <c r="H20" s="52"/>
      <c r="J20" s="58">
        <f>D20</f>
        <v>8.1549999999999997E-2</v>
      </c>
      <c r="K20" s="52"/>
      <c r="M20" s="58">
        <f>D20</f>
        <v>8.1549999999999997E-2</v>
      </c>
      <c r="N20" s="52"/>
    </row>
    <row r="21" spans="3:14" x14ac:dyDescent="0.25">
      <c r="C21" s="45" t="s">
        <v>61</v>
      </c>
      <c r="D21" s="79">
        <v>5.3699999999999998E-3</v>
      </c>
      <c r="E21" s="52"/>
      <c r="F21" s="57"/>
      <c r="G21" s="58">
        <f t="shared" si="0"/>
        <v>5.3699999999999998E-3</v>
      </c>
      <c r="H21" s="52"/>
      <c r="J21" s="58">
        <f>D21</f>
        <v>5.3699999999999998E-3</v>
      </c>
      <c r="K21" s="52"/>
      <c r="M21" s="58">
        <f>D21</f>
        <v>5.3699999999999998E-3</v>
      </c>
      <c r="N21" s="52"/>
    </row>
    <row r="22" spans="3:14" s="201" customFormat="1" x14ac:dyDescent="0.25">
      <c r="C22" s="201" t="s">
        <v>474</v>
      </c>
      <c r="D22" s="79">
        <v>0</v>
      </c>
      <c r="E22" s="52"/>
      <c r="F22" s="57"/>
      <c r="G22" s="250">
        <v>0</v>
      </c>
      <c r="H22" s="52"/>
      <c r="J22" s="707">
        <f>'Schedule X Revenue'!F10</f>
        <v>-4.7900000000000165E-3</v>
      </c>
      <c r="K22" s="52"/>
      <c r="M22" s="707">
        <f>'Schedule X Revenue'!F10</f>
        <v>-4.7900000000000165E-3</v>
      </c>
      <c r="N22" s="52"/>
    </row>
    <row r="23" spans="3:14" x14ac:dyDescent="0.25">
      <c r="C23" s="45" t="s">
        <v>62</v>
      </c>
      <c r="D23" s="80">
        <v>1.1209999999999999E-2</v>
      </c>
      <c r="E23" s="52"/>
      <c r="F23" s="57"/>
      <c r="G23" s="250">
        <f>D23</f>
        <v>1.1209999999999999E-2</v>
      </c>
      <c r="H23" s="52"/>
      <c r="J23" s="250">
        <f>D23</f>
        <v>1.1209999999999999E-2</v>
      </c>
      <c r="K23" s="52"/>
      <c r="M23" s="250">
        <f>D23</f>
        <v>1.1209999999999999E-2</v>
      </c>
      <c r="N23" s="52"/>
    </row>
    <row r="24" spans="3:14" x14ac:dyDescent="0.25">
      <c r="C24" s="45" t="s">
        <v>14</v>
      </c>
      <c r="D24" s="59">
        <f>SUM(D17:D23)</f>
        <v>0.46864</v>
      </c>
      <c r="E24" s="52">
        <f>ROUND(D24*D$8,2)</f>
        <v>29.99</v>
      </c>
      <c r="F24" s="57"/>
      <c r="G24" s="59">
        <f>SUM(G17:G23)</f>
        <v>0.48987000000000003</v>
      </c>
      <c r="H24" s="52">
        <f>ROUND(G24*G$8,2)</f>
        <v>31.35</v>
      </c>
      <c r="J24" s="59">
        <f>SUM(J17:J23)</f>
        <v>0.46384999999999998</v>
      </c>
      <c r="K24" s="52">
        <f>ROUND(J24*J$8,2)</f>
        <v>29.69</v>
      </c>
      <c r="M24" s="59">
        <f>SUM(M17:M23)</f>
        <v>0.48508000000000001</v>
      </c>
      <c r="N24" s="52">
        <f>ROUND(M24*M$8,2)</f>
        <v>31.05</v>
      </c>
    </row>
    <row r="25" spans="3:14" x14ac:dyDescent="0.25">
      <c r="D25" s="58"/>
      <c r="E25" s="52"/>
      <c r="F25" s="57"/>
      <c r="G25" s="58"/>
      <c r="H25" s="52"/>
      <c r="J25" s="58"/>
      <c r="K25" s="52"/>
      <c r="M25" s="58"/>
      <c r="N25" s="52"/>
    </row>
    <row r="26" spans="3:14" x14ac:dyDescent="0.25">
      <c r="C26" s="45" t="s">
        <v>63</v>
      </c>
      <c r="D26" s="213">
        <v>1.703E-2</v>
      </c>
      <c r="E26" s="52">
        <f>ROUND(D26*D$8,2)</f>
        <v>1.0900000000000001</v>
      </c>
      <c r="F26" s="57"/>
      <c r="G26" s="253">
        <f>D26</f>
        <v>1.703E-2</v>
      </c>
      <c r="H26" s="52">
        <f>ROUND(G26*G$8,2)</f>
        <v>1.0900000000000001</v>
      </c>
      <c r="J26" s="253">
        <f>D26</f>
        <v>1.703E-2</v>
      </c>
      <c r="K26" s="52">
        <f>ROUND(J26*J$8,2)</f>
        <v>1.0900000000000001</v>
      </c>
      <c r="M26" s="253">
        <f>D26</f>
        <v>1.703E-2</v>
      </c>
      <c r="N26" s="52">
        <f>ROUND(M26*M$8,2)</f>
        <v>1.0900000000000001</v>
      </c>
    </row>
    <row r="27" spans="3:14" x14ac:dyDescent="0.25">
      <c r="D27" s="214"/>
      <c r="E27" s="52"/>
      <c r="F27" s="57"/>
      <c r="G27" s="58"/>
      <c r="H27" s="52"/>
      <c r="J27" s="58"/>
      <c r="K27" s="52"/>
      <c r="M27" s="58"/>
      <c r="N27" s="52"/>
    </row>
    <row r="28" spans="3:14" x14ac:dyDescent="0.25">
      <c r="C28" s="45" t="s">
        <v>64</v>
      </c>
      <c r="D28" s="213">
        <v>-3.5799999999999998E-3</v>
      </c>
      <c r="E28" s="52">
        <f>ROUND(D28*D$8,2)</f>
        <v>-0.23</v>
      </c>
      <c r="F28" s="57"/>
      <c r="G28" s="250">
        <f>D28</f>
        <v>-3.5799999999999998E-3</v>
      </c>
      <c r="H28" s="52">
        <f>ROUND(G28*G$8,2)</f>
        <v>-0.23</v>
      </c>
      <c r="J28" s="250">
        <f>D28</f>
        <v>-3.5799999999999998E-3</v>
      </c>
      <c r="K28" s="52">
        <f>ROUND(J28*J$8,2)</f>
        <v>-0.23</v>
      </c>
      <c r="M28" s="250">
        <f>D28</f>
        <v>-3.5799999999999998E-3</v>
      </c>
      <c r="N28" s="52">
        <f>ROUND(M28*M$8,2)</f>
        <v>-0.23</v>
      </c>
    </row>
    <row r="29" spans="3:14" x14ac:dyDescent="0.25">
      <c r="D29" s="214"/>
      <c r="E29" s="52"/>
      <c r="F29" s="57"/>
      <c r="G29" s="58"/>
      <c r="H29" s="52"/>
      <c r="J29" s="58"/>
      <c r="K29" s="52"/>
      <c r="M29" s="58"/>
      <c r="N29" s="52"/>
    </row>
    <row r="30" spans="3:14" x14ac:dyDescent="0.25">
      <c r="C30" s="45" t="s">
        <v>65</v>
      </c>
      <c r="D30" s="213">
        <v>0.32665</v>
      </c>
      <c r="E30" s="52"/>
      <c r="F30" s="57"/>
      <c r="G30" s="58">
        <f>D30</f>
        <v>0.32665</v>
      </c>
      <c r="H30" s="52"/>
      <c r="J30" s="58">
        <f>D30</f>
        <v>0.32665</v>
      </c>
      <c r="K30" s="52"/>
      <c r="M30" s="58">
        <f>D30</f>
        <v>0.32665</v>
      </c>
      <c r="N30" s="52"/>
    </row>
    <row r="31" spans="3:14" x14ac:dyDescent="0.25">
      <c r="C31" s="45" t="s">
        <v>66</v>
      </c>
      <c r="D31" s="213">
        <v>-5.8279999999999998E-2</v>
      </c>
      <c r="E31" s="52"/>
      <c r="F31" s="57"/>
      <c r="G31" s="58">
        <f t="shared" ref="G31" si="1">D31</f>
        <v>-5.8279999999999998E-2</v>
      </c>
      <c r="H31" s="52"/>
      <c r="J31" s="58">
        <f>D31</f>
        <v>-5.8279999999999998E-2</v>
      </c>
      <c r="K31" s="52"/>
      <c r="M31" s="58">
        <f>D31</f>
        <v>-5.8279999999999998E-2</v>
      </c>
      <c r="N31" s="52"/>
    </row>
    <row r="32" spans="3:14" x14ac:dyDescent="0.25">
      <c r="C32" s="45" t="s">
        <v>14</v>
      </c>
      <c r="D32" s="59">
        <f>SUM(D30:D31)</f>
        <v>0.26837</v>
      </c>
      <c r="E32" s="52">
        <f>ROUND(D32*D$8,2)</f>
        <v>17.18</v>
      </c>
      <c r="F32" s="57"/>
      <c r="G32" s="59">
        <f>SUM(G30:G31)</f>
        <v>0.26837</v>
      </c>
      <c r="H32" s="52">
        <f>ROUND(G32*G$8,2)</f>
        <v>17.18</v>
      </c>
      <c r="J32" s="59">
        <f>SUM(J30:J31)</f>
        <v>0.26837</v>
      </c>
      <c r="K32" s="52">
        <f>ROUND(J32*J$8,2)</f>
        <v>17.18</v>
      </c>
      <c r="M32" s="59">
        <f>SUM(M30:M31)</f>
        <v>0.26837</v>
      </c>
      <c r="N32" s="52">
        <f>ROUND(M32*M$8,2)</f>
        <v>17.18</v>
      </c>
    </row>
    <row r="33" spans="2:14" x14ac:dyDescent="0.25">
      <c r="C33" s="45" t="s">
        <v>67</v>
      </c>
      <c r="D33" s="59">
        <f>D24+D26+D28+D32</f>
        <v>0.75046000000000002</v>
      </c>
      <c r="E33" s="60">
        <f>SUM(E24,E26,E28,E32)</f>
        <v>48.03</v>
      </c>
      <c r="F33" s="61"/>
      <c r="G33" s="59">
        <f>G24+G26+G28+G32</f>
        <v>0.77168999999999999</v>
      </c>
      <c r="H33" s="60">
        <f>SUM(H24,H26,H28,H32)</f>
        <v>49.390000000000008</v>
      </c>
      <c r="J33" s="59">
        <f>J24+J26+J28+J32</f>
        <v>0.74566999999999994</v>
      </c>
      <c r="K33" s="60">
        <f>SUM(K24,K26,K28,K32)</f>
        <v>47.730000000000004</v>
      </c>
      <c r="M33" s="59">
        <f>M24+M26+M28+M32</f>
        <v>0.76690000000000003</v>
      </c>
      <c r="N33" s="60">
        <f>SUM(N24,N26,N28,N32)</f>
        <v>49.09</v>
      </c>
    </row>
    <row r="34" spans="2:14" x14ac:dyDescent="0.25">
      <c r="E34" s="52"/>
      <c r="H34" s="52"/>
      <c r="J34" s="201"/>
      <c r="K34" s="52"/>
      <c r="M34" s="201"/>
      <c r="N34" s="52"/>
    </row>
    <row r="35" spans="2:14" x14ac:dyDescent="0.25">
      <c r="B35" s="45" t="s">
        <v>68</v>
      </c>
      <c r="D35" s="56"/>
      <c r="E35" s="52">
        <f>E14+E33</f>
        <v>59.03</v>
      </c>
      <c r="F35" s="62"/>
      <c r="G35" s="56"/>
      <c r="H35" s="52">
        <f>H14+H33</f>
        <v>61.060000000000009</v>
      </c>
      <c r="J35" s="56"/>
      <c r="K35" s="52">
        <f>K14+K33</f>
        <v>58.580000000000005</v>
      </c>
      <c r="M35" s="56"/>
      <c r="N35" s="52">
        <f>N14+N33</f>
        <v>60.61</v>
      </c>
    </row>
    <row r="36" spans="2:14" x14ac:dyDescent="0.25">
      <c r="B36" s="45" t="s">
        <v>69</v>
      </c>
      <c r="D36" s="56"/>
      <c r="E36" s="52"/>
      <c r="F36" s="62"/>
      <c r="G36" s="56"/>
      <c r="H36" s="52">
        <f>H35-$E35</f>
        <v>2.0300000000000082</v>
      </c>
      <c r="J36" s="56"/>
      <c r="K36" s="52">
        <f>K35-$E35</f>
        <v>-0.44999999999999574</v>
      </c>
      <c r="M36" s="56"/>
      <c r="N36" s="52">
        <f>N35-$E35</f>
        <v>1.5799999999999983</v>
      </c>
    </row>
    <row r="37" spans="2:14" x14ac:dyDescent="0.25">
      <c r="B37" s="45" t="s">
        <v>70</v>
      </c>
      <c r="D37" s="63"/>
      <c r="E37" s="63"/>
      <c r="F37" s="64"/>
      <c r="G37" s="63"/>
      <c r="H37" s="254">
        <f>H36/$E35</f>
        <v>3.4389293579535969E-2</v>
      </c>
      <c r="J37" s="63"/>
      <c r="K37" s="254">
        <f>K36/$E35</f>
        <v>-7.623242419108855E-3</v>
      </c>
      <c r="M37" s="63"/>
      <c r="N37" s="254">
        <f>N36/$E35</f>
        <v>2.6766051160426872E-2</v>
      </c>
    </row>
    <row r="38" spans="2:14" x14ac:dyDescent="0.25">
      <c r="E38" s="52"/>
      <c r="J38" s="201"/>
      <c r="K38" s="201"/>
      <c r="M38" s="201"/>
      <c r="N38" s="201"/>
    </row>
    <row r="39" spans="2:14" x14ac:dyDescent="0.25">
      <c r="B39" s="45" t="s">
        <v>71</v>
      </c>
      <c r="D39" s="58">
        <f>D24+D26+D28</f>
        <v>0.48209000000000002</v>
      </c>
      <c r="E39" s="52"/>
      <c r="F39" s="61"/>
      <c r="G39" s="58">
        <f>G24+G26+G28</f>
        <v>0.50331999999999999</v>
      </c>
      <c r="J39" s="58">
        <f>J24+J26+J28</f>
        <v>0.47729999999999995</v>
      </c>
      <c r="K39" s="201"/>
      <c r="M39" s="58">
        <f>M24+M26+M28</f>
        <v>0.49853000000000003</v>
      </c>
      <c r="N39" s="201"/>
    </row>
    <row r="41" spans="2:14" ht="17.25" x14ac:dyDescent="0.25">
      <c r="B41" s="65" t="s">
        <v>465</v>
      </c>
    </row>
    <row r="42" spans="2:14" x14ac:dyDescent="0.25">
      <c r="C42" s="65"/>
      <c r="D42" s="65"/>
      <c r="E42" s="65"/>
      <c r="F42" s="66"/>
      <c r="G42" s="66"/>
      <c r="H42" s="66"/>
    </row>
    <row r="47" spans="2:14" ht="14.25" customHeight="1" x14ac:dyDescent="0.25"/>
  </sheetData>
  <mergeCells count="4">
    <mergeCell ref="B4:H4"/>
    <mergeCell ref="B1:N1"/>
    <mergeCell ref="B2:N2"/>
    <mergeCell ref="B3:N3"/>
  </mergeCells>
  <printOptions horizontalCentered="1"/>
  <pageMargins left="0.75" right="0.75" top="1" bottom="1" header="0.5" footer="0.5"/>
  <pageSetup scale="78" orientation="landscape" blackAndWhite="1" r:id="rId1"/>
  <headerFooter alignWithMargins="0">
    <oddFooter>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N25" sqref="N25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F38" sqref="F38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Normal="100" workbookViewId="0">
      <selection activeCell="F33" sqref="F33"/>
    </sheetView>
  </sheetViews>
  <sheetFormatPr defaultRowHeight="15" x14ac:dyDescent="0.25"/>
  <cols>
    <col min="1" max="1" width="37.7109375" customWidth="1"/>
    <col min="3" max="3" width="16.5703125" bestFit="1" customWidth="1"/>
    <col min="4" max="5" width="10.7109375" bestFit="1" customWidth="1"/>
    <col min="6" max="6" width="15.7109375" bestFit="1" customWidth="1"/>
    <col min="7" max="7" width="12.5703125" bestFit="1" customWidth="1"/>
    <col min="8" max="8" width="7.85546875" bestFit="1" customWidth="1"/>
  </cols>
  <sheetData>
    <row r="1" spans="1:8" x14ac:dyDescent="0.25">
      <c r="A1" s="783" t="s">
        <v>0</v>
      </c>
      <c r="B1" s="783"/>
      <c r="C1" s="783"/>
      <c r="D1" s="783"/>
      <c r="E1" s="783"/>
      <c r="F1" s="783"/>
      <c r="G1" s="783"/>
      <c r="H1" s="783"/>
    </row>
    <row r="2" spans="1:8" x14ac:dyDescent="0.25">
      <c r="A2" s="783" t="s">
        <v>419</v>
      </c>
      <c r="B2" s="783"/>
      <c r="C2" s="783"/>
      <c r="D2" s="783"/>
      <c r="E2" s="783"/>
      <c r="F2" s="783"/>
      <c r="G2" s="783"/>
      <c r="H2" s="783"/>
    </row>
    <row r="3" spans="1:8" x14ac:dyDescent="0.25">
      <c r="A3" s="784" t="s">
        <v>458</v>
      </c>
      <c r="B3" s="785"/>
      <c r="C3" s="785"/>
      <c r="D3" s="785"/>
      <c r="E3" s="785"/>
      <c r="F3" s="785"/>
      <c r="G3" s="785"/>
      <c r="H3" s="785"/>
    </row>
    <row r="4" spans="1:8" x14ac:dyDescent="0.25">
      <c r="D4" s="4"/>
      <c r="E4" s="4"/>
    </row>
    <row r="5" spans="1:8" x14ac:dyDescent="0.25">
      <c r="A5" s="5"/>
      <c r="B5" s="5"/>
      <c r="C5" s="5" t="s">
        <v>15</v>
      </c>
      <c r="D5" s="5" t="s">
        <v>211</v>
      </c>
      <c r="E5" s="5" t="s">
        <v>1</v>
      </c>
      <c r="F5" s="5"/>
      <c r="G5" s="5" t="s">
        <v>19</v>
      </c>
      <c r="H5" s="5"/>
    </row>
    <row r="6" spans="1:8" x14ac:dyDescent="0.25">
      <c r="A6" s="5"/>
      <c r="B6" s="5" t="s">
        <v>17</v>
      </c>
      <c r="C6" s="5" t="s">
        <v>3</v>
      </c>
      <c r="D6" s="5" t="s">
        <v>19</v>
      </c>
      <c r="E6" s="5" t="s">
        <v>19</v>
      </c>
      <c r="F6" s="5" t="s">
        <v>15</v>
      </c>
      <c r="G6" s="5" t="s">
        <v>2</v>
      </c>
      <c r="H6" s="5" t="s">
        <v>20</v>
      </c>
    </row>
    <row r="7" spans="1:8" x14ac:dyDescent="0.25">
      <c r="A7" s="6" t="s">
        <v>4</v>
      </c>
      <c r="B7" s="6" t="s">
        <v>21</v>
      </c>
      <c r="C7" s="209" t="str">
        <f>'Exh. JAP-8 Page 1'!D8</f>
        <v>Jul 17 - Jun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8" x14ac:dyDescent="0.25">
      <c r="A8" t="s">
        <v>7</v>
      </c>
      <c r="B8" s="8">
        <v>23</v>
      </c>
      <c r="C8" s="194">
        <f>'Normalized Therms'!P10</f>
        <v>603105552.93699992</v>
      </c>
      <c r="D8" s="11">
        <v>-5.8279999999999998E-2</v>
      </c>
      <c r="E8" s="11">
        <v>-5.8279999999999998E-2</v>
      </c>
      <c r="F8" s="171">
        <f>ROUND(C8*D8,2)</f>
        <v>-35148991.630000003</v>
      </c>
      <c r="G8" s="12">
        <f>ROUND((E8-D8)*C8,2)</f>
        <v>0</v>
      </c>
      <c r="H8" s="2">
        <f>G8/F8</f>
        <v>0</v>
      </c>
    </row>
    <row r="9" spans="1:8" x14ac:dyDescent="0.25">
      <c r="A9" t="s">
        <v>31</v>
      </c>
      <c r="B9" s="8">
        <v>16</v>
      </c>
      <c r="C9" s="194">
        <f>'Normalized Therms'!P11</f>
        <v>9592.0450000000001</v>
      </c>
      <c r="D9" s="11">
        <f>-1.11/19</f>
        <v>-5.842105263157895E-2</v>
      </c>
      <c r="E9" s="11">
        <f>-1.11/19</f>
        <v>-5.842105263157895E-2</v>
      </c>
      <c r="F9" s="171">
        <f t="shared" ref="F9:F14" si="0">ROUND(C9*D9,2)</f>
        <v>-560.38</v>
      </c>
      <c r="G9" s="12">
        <f t="shared" ref="G9:G14" si="1">ROUND((E9-D9)*C9,2)</f>
        <v>0</v>
      </c>
      <c r="H9" s="2">
        <f t="shared" ref="H9:H15" si="2">G9/F9</f>
        <v>0</v>
      </c>
    </row>
    <row r="10" spans="1:8" x14ac:dyDescent="0.25">
      <c r="A10" t="s">
        <v>8</v>
      </c>
      <c r="B10" s="8">
        <v>31</v>
      </c>
      <c r="C10" s="194">
        <f>'Normalized Therms'!P13</f>
        <v>228604732.46999997</v>
      </c>
      <c r="D10" s="11">
        <v>-5.8270000000000002E-2</v>
      </c>
      <c r="E10" s="11">
        <v>-5.8270000000000002E-2</v>
      </c>
      <c r="F10" s="171">
        <f t="shared" si="0"/>
        <v>-13320797.76</v>
      </c>
      <c r="G10" s="12">
        <f t="shared" si="1"/>
        <v>0</v>
      </c>
      <c r="H10" s="2">
        <f t="shared" si="2"/>
        <v>0</v>
      </c>
    </row>
    <row r="11" spans="1:8" x14ac:dyDescent="0.25">
      <c r="A11" t="s">
        <v>9</v>
      </c>
      <c r="B11" s="8">
        <v>41</v>
      </c>
      <c r="C11" s="194">
        <f>'Normalized Therms'!P14</f>
        <v>63966868.016999997</v>
      </c>
      <c r="D11" s="11">
        <v>-5.8209999999999998E-2</v>
      </c>
      <c r="E11" s="11">
        <v>-5.8209999999999998E-2</v>
      </c>
      <c r="F11" s="171">
        <f t="shared" si="0"/>
        <v>-3723511.39</v>
      </c>
      <c r="G11" s="12">
        <f t="shared" si="1"/>
        <v>0</v>
      </c>
      <c r="H11" s="2">
        <f t="shared" si="2"/>
        <v>0</v>
      </c>
    </row>
    <row r="12" spans="1:8" x14ac:dyDescent="0.25">
      <c r="A12" t="s">
        <v>10</v>
      </c>
      <c r="B12" s="8">
        <v>85</v>
      </c>
      <c r="C12" s="194">
        <f>'Normalized Therms'!P15</f>
        <v>16307789.425999999</v>
      </c>
      <c r="D12" s="11">
        <v>-5.8189999999999999E-2</v>
      </c>
      <c r="E12" s="11">
        <v>-5.8189999999999999E-2</v>
      </c>
      <c r="F12" s="171">
        <f t="shared" si="0"/>
        <v>-948950.27</v>
      </c>
      <c r="G12" s="12">
        <f t="shared" si="1"/>
        <v>0</v>
      </c>
      <c r="H12" s="2">
        <f t="shared" si="2"/>
        <v>0</v>
      </c>
    </row>
    <row r="13" spans="1:8" x14ac:dyDescent="0.25">
      <c r="A13" t="s">
        <v>11</v>
      </c>
      <c r="B13" s="8">
        <v>86</v>
      </c>
      <c r="C13" s="194">
        <f>'Normalized Therms'!P16</f>
        <v>9107268.5420000013</v>
      </c>
      <c r="D13" s="11">
        <v>-5.8189999999999999E-2</v>
      </c>
      <c r="E13" s="11">
        <v>-5.8189999999999999E-2</v>
      </c>
      <c r="F13" s="171">
        <f t="shared" si="0"/>
        <v>-529951.96</v>
      </c>
      <c r="G13" s="12">
        <f t="shared" si="1"/>
        <v>0</v>
      </c>
      <c r="H13" s="2">
        <f t="shared" si="2"/>
        <v>0</v>
      </c>
    </row>
    <row r="14" spans="1:8" x14ac:dyDescent="0.25">
      <c r="A14" t="s">
        <v>12</v>
      </c>
      <c r="B14" s="8">
        <v>87</v>
      </c>
      <c r="C14" s="194">
        <f>'Normalized Therms'!P17</f>
        <v>23273158.627999999</v>
      </c>
      <c r="D14" s="11">
        <v>-5.8169999999999999E-2</v>
      </c>
      <c r="E14" s="11">
        <v>-5.8169999999999999E-2</v>
      </c>
      <c r="F14" s="171">
        <f t="shared" si="0"/>
        <v>-1353799.64</v>
      </c>
      <c r="G14" s="12">
        <f t="shared" si="1"/>
        <v>0</v>
      </c>
      <c r="H14" s="2">
        <f t="shared" si="2"/>
        <v>0</v>
      </c>
    </row>
    <row r="15" spans="1:8" x14ac:dyDescent="0.25">
      <c r="A15" t="s">
        <v>6</v>
      </c>
      <c r="C15" s="15">
        <f>SUM(C8:C14)</f>
        <v>944374962.06499994</v>
      </c>
      <c r="D15" s="9"/>
      <c r="E15" s="9"/>
      <c r="F15" s="172">
        <f>SUM(F8:F14)</f>
        <v>-55026563.030000009</v>
      </c>
      <c r="G15" s="16">
        <f>SUM(G8:G14)</f>
        <v>0</v>
      </c>
      <c r="H15" s="3">
        <f t="shared" si="2"/>
        <v>0</v>
      </c>
    </row>
  </sheetData>
  <mergeCells count="3">
    <mergeCell ref="A1:H1"/>
    <mergeCell ref="A2:H2"/>
    <mergeCell ref="A3:H3"/>
  </mergeCells>
  <pageMargins left="0.7" right="0.7" top="0.75" bottom="0.75" header="0.3" footer="0.3"/>
  <pageSetup orientation="landscape" blackAndWhite="1" r:id="rId1"/>
  <headerFooter>
    <oddFooter>&amp;L&amp;F
&amp;A&amp;C&amp;P&amp;R&amp;D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selection activeCell="L41" sqref="L41"/>
    </sheetView>
  </sheetViews>
  <sheetFormatPr defaultRowHeight="15" x14ac:dyDescent="0.25"/>
  <cols>
    <col min="1" max="1" width="40" bestFit="1" customWidth="1"/>
    <col min="3" max="3" width="16.5703125" bestFit="1" customWidth="1"/>
    <col min="4" max="5" width="10" bestFit="1" customWidth="1"/>
    <col min="6" max="6" width="15.7109375" bestFit="1" customWidth="1"/>
    <col min="7" max="7" width="9.7109375" bestFit="1" customWidth="1"/>
    <col min="8" max="8" width="7.85546875" bestFit="1" customWidth="1"/>
  </cols>
  <sheetData>
    <row r="1" spans="1:8" x14ac:dyDescent="0.25">
      <c r="A1" s="783" t="s">
        <v>0</v>
      </c>
      <c r="B1" s="783"/>
      <c r="C1" s="783"/>
      <c r="D1" s="783"/>
      <c r="E1" s="783"/>
      <c r="F1" s="783"/>
      <c r="G1" s="783"/>
      <c r="H1" s="783"/>
    </row>
    <row r="2" spans="1:8" x14ac:dyDescent="0.25">
      <c r="A2" s="783" t="s">
        <v>420</v>
      </c>
      <c r="B2" s="783"/>
      <c r="C2" s="783"/>
      <c r="D2" s="783"/>
      <c r="E2" s="783"/>
      <c r="F2" s="783"/>
      <c r="G2" s="783"/>
      <c r="H2" s="783"/>
    </row>
    <row r="3" spans="1:8" x14ac:dyDescent="0.25">
      <c r="A3" s="783" t="s">
        <v>433</v>
      </c>
      <c r="B3" s="783"/>
      <c r="C3" s="783"/>
      <c r="D3" s="783"/>
      <c r="E3" s="783"/>
      <c r="F3" s="783"/>
      <c r="G3" s="783"/>
      <c r="H3" s="783"/>
    </row>
    <row r="4" spans="1:8" x14ac:dyDescent="0.25">
      <c r="D4" s="4"/>
      <c r="E4" s="4"/>
    </row>
    <row r="5" spans="1:8" x14ac:dyDescent="0.25">
      <c r="A5" s="5"/>
      <c r="B5" s="5"/>
      <c r="C5" s="5" t="s">
        <v>15</v>
      </c>
      <c r="D5" s="5" t="s">
        <v>211</v>
      </c>
      <c r="E5" s="5" t="s">
        <v>1</v>
      </c>
      <c r="F5" s="5"/>
      <c r="G5" s="5" t="s">
        <v>50</v>
      </c>
      <c r="H5" s="5"/>
    </row>
    <row r="6" spans="1:8" x14ac:dyDescent="0.25">
      <c r="A6" s="5"/>
      <c r="B6" s="5" t="s">
        <v>17</v>
      </c>
      <c r="C6" s="5" t="s">
        <v>3</v>
      </c>
      <c r="D6" s="5" t="s">
        <v>50</v>
      </c>
      <c r="E6" s="5" t="s">
        <v>50</v>
      </c>
      <c r="F6" s="5" t="s">
        <v>15</v>
      </c>
      <c r="G6" s="5" t="s">
        <v>2</v>
      </c>
      <c r="H6" s="5" t="s">
        <v>20</v>
      </c>
    </row>
    <row r="7" spans="1:8" x14ac:dyDescent="0.25">
      <c r="A7" s="6" t="s">
        <v>4</v>
      </c>
      <c r="B7" s="6" t="s">
        <v>21</v>
      </c>
      <c r="C7" s="209" t="str">
        <f>'Exh. JAP-8 Page 1'!D8</f>
        <v>Jul 17 - Jun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8" x14ac:dyDescent="0.25">
      <c r="A8" t="s">
        <v>7</v>
      </c>
      <c r="B8" s="8" t="s">
        <v>30</v>
      </c>
      <c r="C8" s="194">
        <f>SUM('Normalized Therms'!P10,'Normalized Therms'!P12)</f>
        <v>603105848.20999992</v>
      </c>
      <c r="D8" s="11">
        <v>1.703E-2</v>
      </c>
      <c r="E8" s="11">
        <v>1.703E-2</v>
      </c>
      <c r="F8" s="171">
        <f>C8*D8</f>
        <v>10270892.595016299</v>
      </c>
      <c r="G8" s="12">
        <f>(E8-D8)*C8</f>
        <v>0</v>
      </c>
      <c r="H8" s="2">
        <f>G8/F8</f>
        <v>0</v>
      </c>
    </row>
    <row r="9" spans="1:8" x14ac:dyDescent="0.25">
      <c r="A9" t="s">
        <v>31</v>
      </c>
      <c r="B9" s="8">
        <v>16</v>
      </c>
      <c r="C9" s="211">
        <f>'Normalized Therms'!P11</f>
        <v>9592.0450000000001</v>
      </c>
      <c r="D9" s="11">
        <v>1.703E-2</v>
      </c>
      <c r="E9" s="11">
        <v>1.703E-2</v>
      </c>
      <c r="F9" s="171">
        <f t="shared" ref="F9:F14" si="0">C9*D9</f>
        <v>163.35252635000001</v>
      </c>
      <c r="G9" s="12">
        <f t="shared" ref="G9:G14" si="1">(E9-D9)*C9</f>
        <v>0</v>
      </c>
      <c r="H9" s="2">
        <f t="shared" ref="H9:H15" si="2">G9/F9</f>
        <v>0</v>
      </c>
    </row>
    <row r="10" spans="1:8" x14ac:dyDescent="0.25">
      <c r="A10" t="s">
        <v>8</v>
      </c>
      <c r="B10" s="8">
        <v>31</v>
      </c>
      <c r="C10" s="194">
        <f>'Normalized Therms'!P13</f>
        <v>228604732.46999997</v>
      </c>
      <c r="D10" s="11">
        <v>1.703E-2</v>
      </c>
      <c r="E10" s="11">
        <v>1.703E-2</v>
      </c>
      <c r="F10" s="171">
        <f t="shared" si="0"/>
        <v>3893138.5939640994</v>
      </c>
      <c r="G10" s="12">
        <f t="shared" si="1"/>
        <v>0</v>
      </c>
      <c r="H10" s="2">
        <f t="shared" si="2"/>
        <v>0</v>
      </c>
    </row>
    <row r="11" spans="1:8" x14ac:dyDescent="0.25">
      <c r="A11" t="s">
        <v>9</v>
      </c>
      <c r="B11" s="8">
        <v>41</v>
      </c>
      <c r="C11" s="194">
        <f>'Normalized Therms'!P14</f>
        <v>63966868.016999997</v>
      </c>
      <c r="D11" s="11">
        <v>1.703E-2</v>
      </c>
      <c r="E11" s="11">
        <v>1.703E-2</v>
      </c>
      <c r="F11" s="171">
        <f t="shared" si="0"/>
        <v>1089355.7623295099</v>
      </c>
      <c r="G11" s="12">
        <f t="shared" si="1"/>
        <v>0</v>
      </c>
      <c r="H11" s="2">
        <f t="shared" si="2"/>
        <v>0</v>
      </c>
    </row>
    <row r="12" spans="1:8" x14ac:dyDescent="0.25">
      <c r="A12" t="s">
        <v>10</v>
      </c>
      <c r="B12" s="8">
        <v>85</v>
      </c>
      <c r="C12" s="194">
        <f>'Normalized Therms'!P15</f>
        <v>16307789.425999999</v>
      </c>
      <c r="D12" s="11">
        <v>1.4930000000000001E-2</v>
      </c>
      <c r="E12" s="11">
        <v>1.4930000000000001E-2</v>
      </c>
      <c r="F12" s="171">
        <f t="shared" si="0"/>
        <v>243475.29613017998</v>
      </c>
      <c r="G12" s="12">
        <f t="shared" si="1"/>
        <v>0</v>
      </c>
      <c r="H12" s="2">
        <f t="shared" si="2"/>
        <v>0</v>
      </c>
    </row>
    <row r="13" spans="1:8" x14ac:dyDescent="0.25">
      <c r="A13" t="s">
        <v>11</v>
      </c>
      <c r="B13" s="8">
        <v>86</v>
      </c>
      <c r="C13" s="194">
        <f>'Normalized Therms'!P16</f>
        <v>9107268.5420000013</v>
      </c>
      <c r="D13" s="11">
        <v>1.4930000000000001E-2</v>
      </c>
      <c r="E13" s="11">
        <v>1.4930000000000001E-2</v>
      </c>
      <c r="F13" s="171">
        <f>C13*D13</f>
        <v>135971.51933206004</v>
      </c>
      <c r="G13" s="12">
        <f t="shared" si="1"/>
        <v>0</v>
      </c>
      <c r="H13" s="2">
        <f t="shared" si="2"/>
        <v>0</v>
      </c>
    </row>
    <row r="14" spans="1:8" x14ac:dyDescent="0.25">
      <c r="A14" t="s">
        <v>12</v>
      </c>
      <c r="B14" s="8">
        <v>87</v>
      </c>
      <c r="C14" s="194">
        <f>'Normalized Therms'!P17</f>
        <v>23273158.627999999</v>
      </c>
      <c r="D14" s="11">
        <v>1.4930000000000001E-2</v>
      </c>
      <c r="E14" s="11">
        <v>1.4930000000000001E-2</v>
      </c>
      <c r="F14" s="171">
        <f t="shared" si="0"/>
        <v>347468.25831603998</v>
      </c>
      <c r="G14" s="12">
        <f t="shared" si="1"/>
        <v>0</v>
      </c>
      <c r="H14" s="2">
        <f t="shared" si="2"/>
        <v>0</v>
      </c>
    </row>
    <row r="15" spans="1:8" x14ac:dyDescent="0.25">
      <c r="A15" t="s">
        <v>6</v>
      </c>
      <c r="C15" s="15">
        <f>SUM(C8:C14)</f>
        <v>944375257.33799994</v>
      </c>
      <c r="D15" s="9"/>
      <c r="E15" s="9"/>
      <c r="F15" s="172">
        <f>SUM(F8:F14)</f>
        <v>15980465.377614539</v>
      </c>
      <c r="G15" s="16">
        <f>SUM(G8:G14)</f>
        <v>0</v>
      </c>
      <c r="H15" s="3">
        <f t="shared" si="2"/>
        <v>0</v>
      </c>
    </row>
    <row r="16" spans="1:8" x14ac:dyDescent="0.25">
      <c r="A16" s="17"/>
      <c r="B16" s="18"/>
      <c r="C16" s="21"/>
      <c r="D16" s="20"/>
      <c r="E16" s="20"/>
      <c r="F16" s="20"/>
      <c r="G16" s="23"/>
      <c r="H16" s="24"/>
    </row>
  </sheetData>
  <mergeCells count="3">
    <mergeCell ref="A1:H1"/>
    <mergeCell ref="A2:H2"/>
    <mergeCell ref="A3:H3"/>
  </mergeCells>
  <pageMargins left="0.7" right="0.7" top="0.75" bottom="0.75" header="0.3" footer="0.3"/>
  <pageSetup orientation="landscape" blackAndWhite="1" r:id="rId1"/>
  <headerFooter>
    <oddFooter>&amp;L&amp;F
&amp;A&amp;C&amp;P&amp;R&amp;D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2"/>
  <sheetViews>
    <sheetView zoomScaleNormal="100" workbookViewId="0">
      <selection activeCell="E47" sqref="E47"/>
    </sheetView>
  </sheetViews>
  <sheetFormatPr defaultColWidth="9.140625" defaultRowHeight="12.75" x14ac:dyDescent="0.2"/>
  <cols>
    <col min="1" max="1" width="3.5703125" style="82" customWidth="1"/>
    <col min="2" max="2" width="17.85546875" style="82" customWidth="1"/>
    <col min="3" max="3" width="8.7109375" style="82" bestFit="1" customWidth="1"/>
    <col min="4" max="4" width="18.7109375" style="82" customWidth="1"/>
    <col min="5" max="6" width="12.85546875" style="82" customWidth="1"/>
    <col min="7" max="7" width="15.42578125" style="82" bestFit="1" customWidth="1"/>
    <col min="8" max="8" width="16.5703125" style="82" bestFit="1" customWidth="1"/>
    <col min="9" max="9" width="15.42578125" style="82" bestFit="1" customWidth="1"/>
    <col min="10" max="10" width="15.42578125" style="82" customWidth="1"/>
    <col min="11" max="11" width="11.85546875" style="82" bestFit="1" customWidth="1"/>
    <col min="12" max="12" width="11.28515625" style="82" bestFit="1" customWidth="1"/>
    <col min="13" max="13" width="10.5703125" style="82" customWidth="1"/>
    <col min="14" max="16384" width="9.140625" style="82"/>
  </cols>
  <sheetData>
    <row r="1" spans="1:10" ht="15" customHeight="1" x14ac:dyDescent="0.2">
      <c r="A1" s="783" t="s">
        <v>0</v>
      </c>
      <c r="B1" s="783"/>
      <c r="C1" s="783"/>
      <c r="D1" s="783"/>
      <c r="E1" s="783"/>
      <c r="F1" s="783"/>
      <c r="G1" s="783"/>
      <c r="H1" s="783"/>
      <c r="I1" s="783"/>
      <c r="J1" s="81"/>
    </row>
    <row r="2" spans="1:10" ht="15" customHeight="1" x14ac:dyDescent="0.2">
      <c r="A2" s="783" t="s">
        <v>421</v>
      </c>
      <c r="B2" s="783"/>
      <c r="C2" s="783"/>
      <c r="D2" s="783"/>
      <c r="E2" s="783"/>
      <c r="F2" s="783"/>
      <c r="G2" s="783"/>
      <c r="H2" s="783"/>
      <c r="I2" s="783"/>
      <c r="J2" s="81"/>
    </row>
    <row r="3" spans="1:10" ht="15" customHeight="1" x14ac:dyDescent="0.2">
      <c r="A3" s="783" t="s">
        <v>463</v>
      </c>
      <c r="B3" s="783"/>
      <c r="C3" s="783"/>
      <c r="D3" s="783"/>
      <c r="E3" s="783"/>
      <c r="F3" s="783"/>
      <c r="G3" s="783"/>
      <c r="H3" s="783"/>
      <c r="I3" s="783"/>
      <c r="J3" s="81"/>
    </row>
    <row r="5" spans="1:10" ht="15" x14ac:dyDescent="0.25">
      <c r="D5" s="5" t="s">
        <v>15</v>
      </c>
      <c r="E5" s="83"/>
      <c r="F5" s="83"/>
      <c r="G5" s="83" t="s">
        <v>116</v>
      </c>
      <c r="H5" s="83" t="s">
        <v>116</v>
      </c>
      <c r="I5" s="83" t="s">
        <v>1</v>
      </c>
    </row>
    <row r="6" spans="1:10" ht="15" x14ac:dyDescent="0.25">
      <c r="C6" s="83" t="s">
        <v>17</v>
      </c>
      <c r="D6" s="5" t="s">
        <v>3</v>
      </c>
      <c r="E6" s="83" t="s">
        <v>211</v>
      </c>
      <c r="F6" s="83" t="s">
        <v>73</v>
      </c>
      <c r="G6" s="83" t="s">
        <v>2</v>
      </c>
      <c r="H6" s="83" t="s">
        <v>2</v>
      </c>
      <c r="I6" s="83" t="s">
        <v>2</v>
      </c>
    </row>
    <row r="7" spans="1:10" ht="15" x14ac:dyDescent="0.25">
      <c r="A7" s="786" t="s">
        <v>117</v>
      </c>
      <c r="B7" s="786"/>
      <c r="C7" s="85" t="s">
        <v>21</v>
      </c>
      <c r="D7" s="209" t="str">
        <f>'Exh. JAP-8 Page 1'!D8</f>
        <v>Jul 17 - Jun 18</v>
      </c>
      <c r="E7" s="85" t="s">
        <v>249</v>
      </c>
      <c r="F7" s="164" t="s">
        <v>17</v>
      </c>
      <c r="G7" s="85" t="s">
        <v>209</v>
      </c>
      <c r="H7" s="164" t="s">
        <v>210</v>
      </c>
      <c r="I7" s="164" t="s">
        <v>212</v>
      </c>
    </row>
    <row r="8" spans="1:10" ht="15" x14ac:dyDescent="0.25">
      <c r="A8" s="82" t="s">
        <v>7</v>
      </c>
      <c r="C8" s="83" t="s">
        <v>75</v>
      </c>
      <c r="D8" s="147">
        <f>SUM('Normalized Therms'!P10,'Normalized Therms'!P12)</f>
        <v>603105848.20999992</v>
      </c>
      <c r="E8" s="144">
        <v>5.3699999999999998E-3</v>
      </c>
      <c r="F8" s="144">
        <v>5.3699999999999998E-3</v>
      </c>
      <c r="G8" s="86">
        <f>D8*(E8)</f>
        <v>3238678.4048876995</v>
      </c>
      <c r="H8" s="86">
        <f>D8*(F8)</f>
        <v>3238678.4048876995</v>
      </c>
      <c r="I8" s="167">
        <f>H8-G8</f>
        <v>0</v>
      </c>
    </row>
    <row r="9" spans="1:10" ht="15" x14ac:dyDescent="0.25">
      <c r="C9" s="83"/>
      <c r="D9" s="148"/>
      <c r="E9" s="144"/>
      <c r="F9" s="144"/>
      <c r="G9" s="86"/>
      <c r="H9" s="86"/>
      <c r="I9" s="167"/>
    </row>
    <row r="10" spans="1:10" ht="15" x14ac:dyDescent="0.25">
      <c r="A10" s="82" t="s">
        <v>76</v>
      </c>
      <c r="C10" s="84">
        <v>31</v>
      </c>
      <c r="D10" s="149">
        <f>'Normalized Therms'!P13</f>
        <v>228604732.46999997</v>
      </c>
      <c r="E10" s="144">
        <v>4.28E-3</v>
      </c>
      <c r="F10" s="144">
        <v>4.28E-3</v>
      </c>
      <c r="G10" s="86">
        <f>D10*(E10)</f>
        <v>978428.2549715999</v>
      </c>
      <c r="H10" s="86">
        <f>D10*(F10)</f>
        <v>978428.2549715999</v>
      </c>
      <c r="I10" s="167">
        <f t="shared" ref="I10:I47" si="0">H10-G10</f>
        <v>0</v>
      </c>
    </row>
    <row r="11" spans="1:10" ht="15" x14ac:dyDescent="0.25">
      <c r="A11" s="82" t="s">
        <v>76</v>
      </c>
      <c r="C11" s="84" t="s">
        <v>33</v>
      </c>
      <c r="D11" s="149">
        <f>'Normalized Therms'!P18</f>
        <v>43413.770000000004</v>
      </c>
      <c r="E11" s="144">
        <v>4.28E-3</v>
      </c>
      <c r="F11" s="144">
        <v>4.28E-3</v>
      </c>
      <c r="G11" s="86">
        <f>D11*(E11)</f>
        <v>185.81093560000002</v>
      </c>
      <c r="H11" s="86">
        <f>D11*(F11)</f>
        <v>185.81093560000002</v>
      </c>
      <c r="I11" s="167">
        <f t="shared" si="0"/>
        <v>0</v>
      </c>
    </row>
    <row r="12" spans="1:10" ht="15" x14ac:dyDescent="0.25">
      <c r="C12" s="83"/>
      <c r="D12" s="148"/>
      <c r="E12" s="144"/>
      <c r="F12" s="144"/>
      <c r="G12" s="86"/>
      <c r="H12" s="86"/>
      <c r="I12" s="167"/>
    </row>
    <row r="13" spans="1:10" ht="15" x14ac:dyDescent="0.25">
      <c r="A13" s="82" t="s">
        <v>77</v>
      </c>
      <c r="C13" s="83">
        <v>41</v>
      </c>
      <c r="D13" s="149">
        <f>'Normalized Therms'!P14</f>
        <v>63966868.016999997</v>
      </c>
      <c r="E13" s="144">
        <v>2.2499999999999998E-3</v>
      </c>
      <c r="F13" s="144">
        <v>2.2499999999999998E-3</v>
      </c>
      <c r="G13" s="86">
        <f>D13*(E13)</f>
        <v>143925.45303824998</v>
      </c>
      <c r="H13" s="86">
        <f>D13*(F13)</f>
        <v>143925.45303824998</v>
      </c>
      <c r="I13" s="167">
        <f t="shared" si="0"/>
        <v>0</v>
      </c>
    </row>
    <row r="14" spans="1:10" ht="15" x14ac:dyDescent="0.25">
      <c r="A14" s="82" t="s">
        <v>77</v>
      </c>
      <c r="C14" s="83" t="s">
        <v>35</v>
      </c>
      <c r="D14" s="166">
        <f>'Normalized Therms'!P19</f>
        <v>19254249.518999998</v>
      </c>
      <c r="E14" s="144">
        <v>2.2499999999999998E-3</v>
      </c>
      <c r="F14" s="144">
        <v>2.2499999999999998E-3</v>
      </c>
      <c r="G14" s="86">
        <f>D14*(E14)</f>
        <v>43322.061417749988</v>
      </c>
      <c r="H14" s="86">
        <f>D14*(F14)</f>
        <v>43322.061417749988</v>
      </c>
      <c r="I14" s="167">
        <f t="shared" si="0"/>
        <v>0</v>
      </c>
    </row>
    <row r="15" spans="1:10" ht="15" x14ac:dyDescent="0.25">
      <c r="C15" s="83"/>
      <c r="D15" s="87"/>
      <c r="E15" s="144"/>
      <c r="F15" s="144"/>
      <c r="G15" s="86"/>
      <c r="H15" s="86"/>
      <c r="I15" s="167"/>
    </row>
    <row r="16" spans="1:10" ht="15" x14ac:dyDescent="0.25">
      <c r="A16" s="82" t="s">
        <v>10</v>
      </c>
      <c r="C16" s="83">
        <v>85</v>
      </c>
      <c r="D16" s="88"/>
      <c r="E16" s="144"/>
      <c r="F16" s="144"/>
      <c r="G16" s="86"/>
      <c r="H16" s="86"/>
      <c r="I16" s="167"/>
    </row>
    <row r="17" spans="1:10" ht="15" x14ac:dyDescent="0.25">
      <c r="B17" s="82" t="s">
        <v>88</v>
      </c>
      <c r="C17" s="83"/>
      <c r="D17" s="88">
        <f>'Normalized Therms'!$P$15*'12ME Jun18 Bill Freq'!N43</f>
        <v>7796583.8329999996</v>
      </c>
      <c r="E17" s="145">
        <v>1.5299999999999999E-3</v>
      </c>
      <c r="F17" s="145">
        <v>1.5299999999999999E-3</v>
      </c>
      <c r="G17" s="86"/>
      <c r="H17" s="86"/>
      <c r="I17" s="167"/>
      <c r="J17" s="152"/>
    </row>
    <row r="18" spans="1:10" ht="15" x14ac:dyDescent="0.25">
      <c r="B18" s="82" t="s">
        <v>89</v>
      </c>
      <c r="C18" s="83"/>
      <c r="D18" s="88">
        <f>'Normalized Therms'!$P$15*'12ME Jun18 Bill Freq'!N44</f>
        <v>4282488.4919999996</v>
      </c>
      <c r="E18" s="145">
        <v>9.5E-4</v>
      </c>
      <c r="F18" s="145">
        <v>9.5E-4</v>
      </c>
      <c r="G18" s="86"/>
      <c r="H18" s="86"/>
      <c r="I18" s="167"/>
      <c r="J18" s="152"/>
    </row>
    <row r="19" spans="1:10" ht="15" x14ac:dyDescent="0.25">
      <c r="B19" s="82" t="s">
        <v>90</v>
      </c>
      <c r="C19" s="83"/>
      <c r="D19" s="88">
        <f>'Normalized Therms'!$P$15*'12ME Jun18 Bill Freq'!N45</f>
        <v>4228717.1009999998</v>
      </c>
      <c r="E19" s="145">
        <v>5.2999999999999998E-4</v>
      </c>
      <c r="F19" s="145">
        <v>5.2999999999999998E-4</v>
      </c>
      <c r="G19" s="86"/>
      <c r="H19" s="86"/>
      <c r="I19" s="167"/>
      <c r="J19" s="152"/>
    </row>
    <row r="20" spans="1:10" ht="15" x14ac:dyDescent="0.25">
      <c r="B20" s="82" t="s">
        <v>6</v>
      </c>
      <c r="C20" s="83"/>
      <c r="D20" s="89">
        <f>SUM(D17:D19)</f>
        <v>16307789.425999999</v>
      </c>
      <c r="E20" s="144"/>
      <c r="F20" s="144"/>
      <c r="G20" s="174">
        <f>SUMPRODUCT(D17:D19,E17:E19)</f>
        <v>18238.357395419996</v>
      </c>
      <c r="H20" s="174">
        <f>SUMPRODUCT(D17:D19,F17:F19)</f>
        <v>18238.357395419996</v>
      </c>
      <c r="I20" s="167">
        <f t="shared" si="0"/>
        <v>0</v>
      </c>
    </row>
    <row r="21" spans="1:10" ht="15" x14ac:dyDescent="0.25">
      <c r="C21" s="83"/>
      <c r="D21" s="87"/>
      <c r="E21" s="144"/>
      <c r="F21" s="144"/>
      <c r="G21" s="86"/>
      <c r="H21" s="86"/>
      <c r="I21" s="167"/>
    </row>
    <row r="22" spans="1:10" ht="15" x14ac:dyDescent="0.25">
      <c r="A22" s="82" t="s">
        <v>10</v>
      </c>
      <c r="C22" s="83">
        <v>86</v>
      </c>
      <c r="D22" s="149">
        <f>'Normalized Therms'!P16</f>
        <v>9107268.5420000013</v>
      </c>
      <c r="E22" s="144">
        <v>2.1900000000000001E-3</v>
      </c>
      <c r="F22" s="144">
        <v>2.1900000000000001E-3</v>
      </c>
      <c r="G22" s="86">
        <f>D22*(E22)</f>
        <v>19944.918106980003</v>
      </c>
      <c r="H22" s="86">
        <f>D22*(F22)</f>
        <v>19944.918106980003</v>
      </c>
      <c r="I22" s="167">
        <f t="shared" si="0"/>
        <v>0</v>
      </c>
    </row>
    <row r="23" spans="1:10" ht="15" x14ac:dyDescent="0.25">
      <c r="A23" s="82" t="s">
        <v>10</v>
      </c>
      <c r="C23" s="83" t="s">
        <v>39</v>
      </c>
      <c r="D23" s="166">
        <f>'Normalized Therms'!P21</f>
        <v>354636.7</v>
      </c>
      <c r="E23" s="144">
        <v>2.1900000000000001E-3</v>
      </c>
      <c r="F23" s="144">
        <v>2.1900000000000001E-3</v>
      </c>
      <c r="G23" s="86">
        <f>D23*(E23)</f>
        <v>776.65437300000008</v>
      </c>
      <c r="H23" s="86">
        <f>D23*(F23)</f>
        <v>776.65437300000008</v>
      </c>
      <c r="I23" s="167">
        <f t="shared" si="0"/>
        <v>0</v>
      </c>
    </row>
    <row r="24" spans="1:10" ht="15" x14ac:dyDescent="0.25">
      <c r="C24" s="83"/>
      <c r="D24" s="87"/>
      <c r="E24" s="144"/>
      <c r="F24" s="144"/>
      <c r="G24" s="86"/>
      <c r="H24" s="86"/>
      <c r="I24" s="167"/>
    </row>
    <row r="25" spans="1:10" ht="15" x14ac:dyDescent="0.25">
      <c r="A25" s="82" t="s">
        <v>10</v>
      </c>
      <c r="C25" s="83">
        <v>87</v>
      </c>
      <c r="D25" s="87"/>
      <c r="E25" s="144"/>
      <c r="F25" s="144"/>
      <c r="G25" s="86"/>
      <c r="H25" s="86"/>
      <c r="I25" s="167"/>
    </row>
    <row r="26" spans="1:10" ht="15" x14ac:dyDescent="0.25">
      <c r="B26" s="82" t="s">
        <v>88</v>
      </c>
      <c r="C26" s="83"/>
      <c r="D26" s="88">
        <f>'Normalized Therms'!$P$17*'12ME Jun18 Bill Freq'!N56</f>
        <v>1503311.6719999998</v>
      </c>
      <c r="E26" s="145">
        <v>1.5299999999999999E-3</v>
      </c>
      <c r="F26" s="145">
        <v>1.5299999999999999E-3</v>
      </c>
      <c r="G26" s="86"/>
      <c r="H26" s="86"/>
      <c r="I26" s="167"/>
    </row>
    <row r="27" spans="1:10" ht="15" x14ac:dyDescent="0.25">
      <c r="B27" s="82" t="s">
        <v>89</v>
      </c>
      <c r="C27" s="83"/>
      <c r="D27" s="88">
        <f>'Normalized Therms'!$P$17*'12ME Jun18 Bill Freq'!N57</f>
        <v>1455588.43</v>
      </c>
      <c r="E27" s="145">
        <v>9.5E-4</v>
      </c>
      <c r="F27" s="145">
        <v>9.5E-4</v>
      </c>
      <c r="G27" s="86"/>
      <c r="H27" s="86"/>
      <c r="I27" s="167"/>
    </row>
    <row r="28" spans="1:10" ht="15" x14ac:dyDescent="0.25">
      <c r="B28" s="82" t="s">
        <v>99</v>
      </c>
      <c r="C28" s="83"/>
      <c r="D28" s="88">
        <f>'Normalized Therms'!$P$17*'12ME Jun18 Bill Freq'!N58</f>
        <v>2640466.9439999997</v>
      </c>
      <c r="E28" s="145">
        <v>6.2E-4</v>
      </c>
      <c r="F28" s="145">
        <v>6.2E-4</v>
      </c>
      <c r="G28" s="86"/>
      <c r="H28" s="86"/>
      <c r="I28" s="167"/>
      <c r="J28" s="91"/>
    </row>
    <row r="29" spans="1:10" ht="15" x14ac:dyDescent="0.25">
      <c r="B29" s="82" t="s">
        <v>100</v>
      </c>
      <c r="C29" s="83"/>
      <c r="D29" s="88">
        <f>'Normalized Therms'!$P$17*'12ME Jun18 Bill Freq'!N59</f>
        <v>3226287.8670000001</v>
      </c>
      <c r="E29" s="145">
        <v>4.2000000000000002E-4</v>
      </c>
      <c r="F29" s="145">
        <v>4.2000000000000002E-4</v>
      </c>
      <c r="G29" s="86"/>
      <c r="H29" s="86"/>
      <c r="I29" s="167"/>
    </row>
    <row r="30" spans="1:10" ht="15" x14ac:dyDescent="0.25">
      <c r="B30" s="82" t="s">
        <v>101</v>
      </c>
      <c r="C30" s="83"/>
      <c r="D30" s="88">
        <f>'Normalized Therms'!$P$17*'12ME Jun18 Bill Freq'!N60</f>
        <v>3759593.1549999998</v>
      </c>
      <c r="E30" s="145">
        <v>3.1E-4</v>
      </c>
      <c r="F30" s="145">
        <v>3.1E-4</v>
      </c>
      <c r="G30" s="86"/>
      <c r="H30" s="86"/>
      <c r="I30" s="167"/>
      <c r="J30" s="92"/>
    </row>
    <row r="31" spans="1:10" ht="15" x14ac:dyDescent="0.25">
      <c r="B31" s="82" t="s">
        <v>102</v>
      </c>
      <c r="C31" s="83"/>
      <c r="D31" s="88">
        <f>'Normalized Therms'!$P$17*'12ME Jun18 Bill Freq'!N61</f>
        <v>10687910.560000001</v>
      </c>
      <c r="E31" s="145">
        <v>2.5000000000000001E-4</v>
      </c>
      <c r="F31" s="145">
        <v>2.5000000000000001E-4</v>
      </c>
      <c r="G31" s="86"/>
      <c r="H31" s="86"/>
      <c r="I31" s="167"/>
    </row>
    <row r="32" spans="1:10" ht="15" x14ac:dyDescent="0.25">
      <c r="B32" s="82" t="s">
        <v>6</v>
      </c>
      <c r="C32" s="83"/>
      <c r="D32" s="89">
        <f>SUM(D26:D31)</f>
        <v>23273158.627999999</v>
      </c>
      <c r="E32" s="144"/>
      <c r="F32" s="144"/>
      <c r="G32" s="121">
        <f>SUMPRODUCT(D26:D31,E26:E31)</f>
        <v>10512.457794129999</v>
      </c>
      <c r="H32" s="174">
        <f>SUMPRODUCT(D26:D31,F26:F31)</f>
        <v>10512.457794129999</v>
      </c>
      <c r="I32" s="167">
        <f t="shared" si="0"/>
        <v>0</v>
      </c>
    </row>
    <row r="33" spans="1:10" ht="15" x14ac:dyDescent="0.25">
      <c r="C33" s="83"/>
      <c r="D33" s="89"/>
      <c r="E33" s="144"/>
      <c r="F33" s="144"/>
      <c r="G33" s="90"/>
      <c r="H33" s="86"/>
      <c r="I33" s="167"/>
      <c r="J33" s="93"/>
    </row>
    <row r="34" spans="1:10" ht="15" x14ac:dyDescent="0.25">
      <c r="A34" s="82" t="s">
        <v>118</v>
      </c>
      <c r="C34" s="83" t="s">
        <v>37</v>
      </c>
      <c r="D34" s="89"/>
      <c r="E34" s="144"/>
      <c r="F34" s="144"/>
      <c r="G34" s="90"/>
      <c r="H34" s="86"/>
      <c r="I34" s="167"/>
      <c r="J34" s="93"/>
    </row>
    <row r="35" spans="1:10" ht="15" x14ac:dyDescent="0.25">
      <c r="B35" s="82" t="s">
        <v>88</v>
      </c>
      <c r="C35" s="83"/>
      <c r="D35" s="94">
        <f>'Normalized Therms'!$P$20*'12ME Jun18 Bill Freq'!N13</f>
        <v>28192306.539999999</v>
      </c>
      <c r="E35" s="145">
        <v>1.5299999999999999E-3</v>
      </c>
      <c r="F35" s="145">
        <v>1.5299999999999999E-3</v>
      </c>
      <c r="G35" s="90"/>
      <c r="H35" s="86"/>
      <c r="I35" s="167"/>
      <c r="J35" s="93"/>
    </row>
    <row r="36" spans="1:10" ht="15" x14ac:dyDescent="0.25">
      <c r="B36" s="82" t="s">
        <v>89</v>
      </c>
      <c r="C36" s="83"/>
      <c r="D36" s="94">
        <f>'Normalized Therms'!$P$20*'12ME Jun18 Bill Freq'!N14</f>
        <v>19024750.539999999</v>
      </c>
      <c r="E36" s="145">
        <v>9.5E-4</v>
      </c>
      <c r="F36" s="145">
        <v>9.5E-4</v>
      </c>
      <c r="G36" s="90"/>
      <c r="H36" s="86"/>
      <c r="I36" s="167"/>
      <c r="J36" s="95"/>
    </row>
    <row r="37" spans="1:10" ht="15" x14ac:dyDescent="0.25">
      <c r="B37" s="82" t="s">
        <v>90</v>
      </c>
      <c r="C37" s="83"/>
      <c r="D37" s="94">
        <f>'Normalized Therms'!$P$20*'12ME Jun18 Bill Freq'!N15</f>
        <v>29365530.040000003</v>
      </c>
      <c r="E37" s="145">
        <v>5.2999999999999998E-4</v>
      </c>
      <c r="F37" s="145">
        <v>5.2999999999999998E-4</v>
      </c>
      <c r="G37" s="90"/>
      <c r="H37" s="86"/>
      <c r="I37" s="167"/>
      <c r="J37" s="93"/>
    </row>
    <row r="38" spans="1:10" ht="15" x14ac:dyDescent="0.25">
      <c r="B38" s="82" t="s">
        <v>6</v>
      </c>
      <c r="C38" s="83"/>
      <c r="D38" s="89">
        <f>SUM(D35:D37)</f>
        <v>76582587.120000005</v>
      </c>
      <c r="E38" s="144"/>
      <c r="F38" s="144"/>
      <c r="G38" s="121">
        <f>SUMPRODUCT(D35:D37,E35:E37)</f>
        <v>76771.472940399995</v>
      </c>
      <c r="H38" s="174">
        <f>SUMPRODUCT(D35:D37,F35:F37)</f>
        <v>76771.472940399995</v>
      </c>
      <c r="I38" s="167">
        <f t="shared" si="0"/>
        <v>0</v>
      </c>
      <c r="J38" s="93"/>
    </row>
    <row r="39" spans="1:10" ht="15" x14ac:dyDescent="0.25">
      <c r="C39" s="83"/>
      <c r="D39" s="89"/>
      <c r="E39" s="144"/>
      <c r="F39" s="144"/>
      <c r="G39" s="90"/>
      <c r="H39" s="86"/>
      <c r="I39" s="167"/>
      <c r="J39" s="93"/>
    </row>
    <row r="40" spans="1:10" ht="15" x14ac:dyDescent="0.25">
      <c r="A40" s="82" t="s">
        <v>118</v>
      </c>
      <c r="C40" s="83" t="s">
        <v>41</v>
      </c>
      <c r="D40" s="89"/>
      <c r="E40" s="144"/>
      <c r="F40" s="144"/>
      <c r="G40" s="90"/>
      <c r="H40" s="86"/>
      <c r="I40" s="167"/>
    </row>
    <row r="41" spans="1:10" ht="15" x14ac:dyDescent="0.25">
      <c r="B41" s="82" t="s">
        <v>88</v>
      </c>
      <c r="C41" s="83"/>
      <c r="D41" s="94">
        <f>'Normalized Therms'!$P$22*'12ME Jun18 Bill Freq'!N26</f>
        <v>3000000</v>
      </c>
      <c r="E41" s="145">
        <v>1.5299999999999999E-3</v>
      </c>
      <c r="F41" s="145">
        <v>1.5299999999999999E-3</v>
      </c>
      <c r="G41" s="90"/>
      <c r="H41" s="86"/>
      <c r="I41" s="167"/>
    </row>
    <row r="42" spans="1:10" ht="15" x14ac:dyDescent="0.25">
      <c r="B42" s="82" t="s">
        <v>89</v>
      </c>
      <c r="C42" s="83"/>
      <c r="D42" s="94">
        <f>'Normalized Therms'!$P$22*'12ME Jun18 Bill Freq'!N27</f>
        <v>3000000</v>
      </c>
      <c r="E42" s="145">
        <v>9.5E-4</v>
      </c>
      <c r="F42" s="145">
        <v>9.5E-4</v>
      </c>
      <c r="G42" s="90"/>
      <c r="H42" s="86"/>
      <c r="I42" s="167"/>
    </row>
    <row r="43" spans="1:10" ht="15" x14ac:dyDescent="0.25">
      <c r="B43" s="82" t="s">
        <v>99</v>
      </c>
      <c r="C43" s="83"/>
      <c r="D43" s="94">
        <f>'Normalized Therms'!$P$22*'12ME Jun18 Bill Freq'!N28</f>
        <v>6000000</v>
      </c>
      <c r="E43" s="145">
        <v>6.2E-4</v>
      </c>
      <c r="F43" s="145">
        <v>6.2E-4</v>
      </c>
      <c r="G43" s="90"/>
      <c r="H43" s="86"/>
      <c r="I43" s="167"/>
    </row>
    <row r="44" spans="1:10" ht="15" x14ac:dyDescent="0.25">
      <c r="B44" s="82" t="s">
        <v>100</v>
      </c>
      <c r="C44" s="83"/>
      <c r="D44" s="94">
        <f>'Normalized Therms'!$P$22*'12ME Jun18 Bill Freq'!N29</f>
        <v>11777991.879999999</v>
      </c>
      <c r="E44" s="145">
        <v>4.2000000000000002E-4</v>
      </c>
      <c r="F44" s="145">
        <v>4.2000000000000002E-4</v>
      </c>
      <c r="G44" s="90"/>
      <c r="H44" s="86"/>
      <c r="I44" s="167"/>
    </row>
    <row r="45" spans="1:10" ht="15" x14ac:dyDescent="0.25">
      <c r="B45" s="82" t="s">
        <v>101</v>
      </c>
      <c r="C45" s="83"/>
      <c r="D45" s="94">
        <f>'Normalized Therms'!$P$22*'12ME Jun18 Bill Freq'!N30</f>
        <v>26253593.519999996</v>
      </c>
      <c r="E45" s="145">
        <v>3.1E-4</v>
      </c>
      <c r="F45" s="145">
        <v>3.1E-4</v>
      </c>
      <c r="G45" s="90"/>
      <c r="H45" s="86"/>
      <c r="I45" s="167"/>
    </row>
    <row r="46" spans="1:10" ht="15" x14ac:dyDescent="0.25">
      <c r="B46" s="82" t="s">
        <v>102</v>
      </c>
      <c r="C46" s="83"/>
      <c r="D46" s="94">
        <f>'Normalized Therms'!$P$22*'12ME Jun18 Bill Freq'!N31</f>
        <v>53852735.850000001</v>
      </c>
      <c r="E46" s="145">
        <v>2.5000000000000001E-4</v>
      </c>
      <c r="F46" s="145">
        <v>2.5000000000000001E-4</v>
      </c>
      <c r="G46" s="90"/>
      <c r="H46" s="86"/>
      <c r="I46" s="167"/>
      <c r="J46" s="93"/>
    </row>
    <row r="47" spans="1:10" ht="15" x14ac:dyDescent="0.25">
      <c r="B47" s="82" t="s">
        <v>6</v>
      </c>
      <c r="C47" s="83"/>
      <c r="D47" s="89">
        <f>SUM(D41:D46)</f>
        <v>103884321.25</v>
      </c>
      <c r="E47" s="144"/>
      <c r="F47" s="144"/>
      <c r="G47" s="121">
        <f>SUMPRODUCT(D41:D46,E41:E46)</f>
        <v>37708.554543300001</v>
      </c>
      <c r="H47" s="174">
        <f>SUMPRODUCT(D41:D46,F41:F46)</f>
        <v>37708.554543300001</v>
      </c>
      <c r="I47" s="167">
        <f t="shared" si="0"/>
        <v>0</v>
      </c>
      <c r="J47" s="93"/>
    </row>
    <row r="48" spans="1:10" ht="15" x14ac:dyDescent="0.25">
      <c r="D48" s="96"/>
      <c r="E48" s="146"/>
      <c r="F48" s="146"/>
      <c r="G48" s="97"/>
      <c r="H48" s="173"/>
      <c r="I48" s="167"/>
      <c r="J48" s="98"/>
    </row>
    <row r="49" spans="2:12" ht="15" x14ac:dyDescent="0.25">
      <c r="B49" s="82" t="s">
        <v>6</v>
      </c>
      <c r="D49" s="99">
        <f>D8+D10+D13+D20+D22+D32+D38+D47+D11+D14+D23</f>
        <v>1144484873.652</v>
      </c>
      <c r="E49" s="144"/>
      <c r="F49" s="144"/>
      <c r="G49" s="100">
        <f>G8+G10+G13+G20+G22+G32+G38+G47+G11+G14+G23</f>
        <v>4568492.4004041292</v>
      </c>
      <c r="H49" s="100">
        <f>H8+H10+H13+H20+H22+H32+H38+H47+H11+H14+H23</f>
        <v>4568492.4004041292</v>
      </c>
      <c r="I49" s="100">
        <f>I8+I10+I13+I20+I22+I32+I38+I47+I11+I14+I23</f>
        <v>0</v>
      </c>
      <c r="J49" s="101"/>
    </row>
    <row r="50" spans="2:12" x14ac:dyDescent="0.2">
      <c r="D50" s="98"/>
      <c r="E50" s="98"/>
      <c r="F50" s="98"/>
      <c r="G50" s="98"/>
      <c r="H50" s="98"/>
      <c r="J50" s="93"/>
    </row>
    <row r="51" spans="2:12" x14ac:dyDescent="0.2">
      <c r="D51" s="98"/>
      <c r="E51" s="98"/>
      <c r="F51" s="98"/>
      <c r="G51" s="102"/>
      <c r="H51" s="102"/>
    </row>
    <row r="52" spans="2:12" x14ac:dyDescent="0.2">
      <c r="L52" s="93"/>
    </row>
    <row r="53" spans="2:12" x14ac:dyDescent="0.2">
      <c r="B53" s="103"/>
      <c r="D53" s="104"/>
      <c r="E53" s="104"/>
      <c r="F53" s="104"/>
    </row>
    <row r="54" spans="2:12" x14ac:dyDescent="0.2">
      <c r="C54" s="105"/>
      <c r="D54" s="105"/>
    </row>
    <row r="55" spans="2:12" x14ac:dyDescent="0.2">
      <c r="C55" s="105"/>
      <c r="D55" s="106"/>
      <c r="E55" s="98"/>
      <c r="F55" s="98"/>
    </row>
    <row r="56" spans="2:12" x14ac:dyDescent="0.2">
      <c r="C56" s="105"/>
      <c r="D56" s="98"/>
      <c r="E56" s="105"/>
      <c r="F56" s="105"/>
    </row>
    <row r="57" spans="2:12" x14ac:dyDescent="0.2">
      <c r="C57" s="105"/>
      <c r="D57" s="98"/>
      <c r="E57" s="107"/>
      <c r="F57" s="108"/>
    </row>
    <row r="58" spans="2:12" x14ac:dyDescent="0.2">
      <c r="C58" s="104"/>
      <c r="D58" s="104"/>
      <c r="E58" s="107"/>
      <c r="F58" s="108"/>
    </row>
    <row r="59" spans="2:12" x14ac:dyDescent="0.2">
      <c r="E59" s="107"/>
      <c r="F59" s="108"/>
    </row>
    <row r="60" spans="2:12" x14ac:dyDescent="0.2">
      <c r="E60" s="98"/>
      <c r="F60" s="98"/>
    </row>
    <row r="61" spans="2:12" x14ac:dyDescent="0.2">
      <c r="E61" s="98"/>
      <c r="F61" s="98"/>
    </row>
    <row r="62" spans="2:12" x14ac:dyDescent="0.2">
      <c r="E62" s="98"/>
      <c r="F62" s="98"/>
    </row>
  </sheetData>
  <mergeCells count="4">
    <mergeCell ref="A7:B7"/>
    <mergeCell ref="A1:I1"/>
    <mergeCell ref="A2:I2"/>
    <mergeCell ref="A3:I3"/>
  </mergeCells>
  <printOptions horizontalCentered="1"/>
  <pageMargins left="0.75" right="0.75" top="1" bottom="1" header="0.5" footer="0.5"/>
  <pageSetup scale="65" orientation="landscape" blackAndWhite="1" horizontalDpi="300" verticalDpi="300" r:id="rId1"/>
  <headerFooter alignWithMargins="0">
    <oddFooter>&amp;L&amp;F 
&amp;A&amp;C&amp;P&amp;R&amp;D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9BEE985E9E72046AD1023F69CC62719" ma:contentTypeVersion="68" ma:contentTypeDescription="" ma:contentTypeScope="" ma:versionID="28623e06127f6e95eba33b0e9723d12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2018-11-07T08:00:00+00:00</OpenedDate>
    <SignificantOrder xmlns="dc463f71-b30c-4ab2-9473-d307f9d35888">false</SignificantOrder>
    <Date1 xmlns="dc463f71-b30c-4ab2-9473-d307f9d35888">2019-02-25T08:00:00+00:00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>ERF Filing</Nickname>
    <DocketNumber xmlns="dc463f71-b30c-4ab2-9473-d307f9d35888">180899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7A30F0EA-737D-422A-A6D1-DE0CE2A0E338}"/>
</file>

<file path=customXml/itemProps2.xml><?xml version="1.0" encoding="utf-8"?>
<ds:datastoreItem xmlns:ds="http://schemas.openxmlformats.org/officeDocument/2006/customXml" ds:itemID="{E182B310-C184-4BE5-9BD8-CF51525B2650}"/>
</file>

<file path=customXml/itemProps3.xml><?xml version="1.0" encoding="utf-8"?>
<ds:datastoreItem xmlns:ds="http://schemas.openxmlformats.org/officeDocument/2006/customXml" ds:itemID="{2A281CFC-B15A-4C2C-8897-BFA0554C1D05}"/>
</file>

<file path=customXml/itemProps4.xml><?xml version="1.0" encoding="utf-8"?>
<ds:datastoreItem xmlns:ds="http://schemas.openxmlformats.org/officeDocument/2006/customXml" ds:itemID="{BB99F364-D4BB-47DA-9AEC-16F9AA5304B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27</vt:i4>
      </vt:variant>
    </vt:vector>
  </HeadingPairs>
  <TitlesOfParts>
    <vt:vector size="56" baseType="lpstr">
      <vt:lpstr>Exh. JAP-8 Page 1</vt:lpstr>
      <vt:lpstr>Exh. JAP-8 Page 2</vt:lpstr>
      <vt:lpstr>Exh. JAP-8 Page 3</vt:lpstr>
      <vt:lpstr>Exh. JAP-8 Page 4</vt:lpstr>
      <vt:lpstr>Work Papers--&gt;</vt:lpstr>
      <vt:lpstr>Rider Revenue Calculation ==&gt;</vt:lpstr>
      <vt:lpstr>Schedule 106 Revenue</vt:lpstr>
      <vt:lpstr>Schedule 120 Revenue</vt:lpstr>
      <vt:lpstr>Schedule 129 Revenue</vt:lpstr>
      <vt:lpstr>Schedule 132 Revenue</vt:lpstr>
      <vt:lpstr>Schedule 140 Revenue</vt:lpstr>
      <vt:lpstr>Schedule 141 Revenue</vt:lpstr>
      <vt:lpstr>Sch 142 Revenue (Decoupling)</vt:lpstr>
      <vt:lpstr>Sch 142 Revenue (Rate Plan)</vt:lpstr>
      <vt:lpstr>Schedule X Revenue</vt:lpstr>
      <vt:lpstr>Schedule 149 Revenue</vt:lpstr>
      <vt:lpstr>Forecast==&gt;</vt:lpstr>
      <vt:lpstr>Normalized Therms</vt:lpstr>
      <vt:lpstr>Data==&gt;</vt:lpstr>
      <vt:lpstr>12ME Jun18 Bill Freq</vt:lpstr>
      <vt:lpstr>12ME Jun18 Norm Therms</vt:lpstr>
      <vt:lpstr>12ME Jun18 Cal Bill Freq</vt:lpstr>
      <vt:lpstr>12ME Jun18 Weather Adj</vt:lpstr>
      <vt:lpstr>12ME Jun18 Data</vt:lpstr>
      <vt:lpstr>12ME Jun18 Rentals</vt:lpstr>
      <vt:lpstr>Rate Design Res</vt:lpstr>
      <vt:lpstr>Rate Design C&amp;I</vt:lpstr>
      <vt:lpstr>Rate Design Int &amp; Trans</vt:lpstr>
      <vt:lpstr>Rate Design Rental</vt:lpstr>
      <vt:lpstr>'12ME Jun18 Bill Freq'!Print_Area</vt:lpstr>
      <vt:lpstr>'12ME Jun18 Cal Bill Freq'!Print_Area</vt:lpstr>
      <vt:lpstr>'12ME Jun18 Norm Therms'!Print_Area</vt:lpstr>
      <vt:lpstr>'Exh. JAP-8 Page 1'!Print_Area</vt:lpstr>
      <vt:lpstr>'Exh. JAP-8 Page 2'!Print_Area</vt:lpstr>
      <vt:lpstr>'Exh. JAP-8 Page 3'!Print_Area</vt:lpstr>
      <vt:lpstr>'Exh. JAP-8 Page 4'!Print_Area</vt:lpstr>
      <vt:lpstr>'Rate Design C&amp;I'!Print_Area</vt:lpstr>
      <vt:lpstr>'Rate Design Int &amp; Trans'!Print_Area</vt:lpstr>
      <vt:lpstr>'Rate Design Rental'!Print_Area</vt:lpstr>
      <vt:lpstr>'Rate Design Res'!Print_Area</vt:lpstr>
      <vt:lpstr>'Schedule 129 Revenue'!Print_Area</vt:lpstr>
      <vt:lpstr>'Schedule 140 Revenue'!Print_Area</vt:lpstr>
      <vt:lpstr>'Schedule 141 Revenue'!Print_Area</vt:lpstr>
      <vt:lpstr>'Schedule 149 Revenue'!Print_Area</vt:lpstr>
      <vt:lpstr>'Schedule X Revenue'!Print_Area</vt:lpstr>
      <vt:lpstr>'12ME Jun18 Bill Freq'!Print_Titles</vt:lpstr>
      <vt:lpstr>'12ME Jun18 Cal Bill Freq'!Print_Titles</vt:lpstr>
      <vt:lpstr>'12ME Jun18 Norm Therms'!Print_Titles</vt:lpstr>
      <vt:lpstr>'12ME Jun18 Weather Adj'!Print_Titles</vt:lpstr>
      <vt:lpstr>'Rate Design C&amp;I'!Print_Titles</vt:lpstr>
      <vt:lpstr>'Rate Design Int &amp; Trans'!Print_Titles</vt:lpstr>
      <vt:lpstr>'Rate Design Res'!Print_Titles</vt:lpstr>
      <vt:lpstr>'Sch 142 Revenue (Decoupling)'!Print_Titles</vt:lpstr>
      <vt:lpstr>'Sch 142 Revenue (Rate Plan)'!Print_Titles</vt:lpstr>
      <vt:lpstr>'Schedule 141 Revenue'!Print_Titles</vt:lpstr>
      <vt:lpstr>'Schedule X Revenue'!Print_Titles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KXu</dc:creator>
  <cp:lastModifiedBy>Paul Schmidt</cp:lastModifiedBy>
  <cp:lastPrinted>2019-01-18T01:06:06Z</cp:lastPrinted>
  <dcterms:created xsi:type="dcterms:W3CDTF">2015-03-25T23:20:22Z</dcterms:created>
  <dcterms:modified xsi:type="dcterms:W3CDTF">2019-02-25T21:41:27Z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0x0101006E56B4D1795A2E4DB2F0B01679ED314A0019BEE985E9E72046AD1023F69CC62719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