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00" activeTab="0"/>
  </bookViews>
  <sheets>
    <sheet name="Calcs" sheetId="1" r:id="rId1"/>
    <sheet name="population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DSM Revenue Summary" sheetId="8" r:id="rId8"/>
  </sheets>
  <externalReferences>
    <externalReference r:id="rId11"/>
  </externalReference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<sst xmlns="http://schemas.openxmlformats.org/spreadsheetml/2006/main" count="244" uniqueCount="155">
  <si>
    <t>Limited Income DSM</t>
  </si>
  <si>
    <t>% Limited Income DSM to Usage</t>
  </si>
  <si>
    <t>Table K3  2007 % Limited Income DSM Savings to Usage</t>
  </si>
  <si>
    <t>Schedule 191 LIRAP Funding</t>
  </si>
  <si>
    <t>Revision</t>
  </si>
  <si>
    <t>Effective Date</t>
  </si>
  <si>
    <t>Surcharge</t>
  </si>
  <si>
    <t>LI Customers</t>
  </si>
  <si>
    <t>LIHEAP</t>
  </si>
  <si>
    <t>DSM</t>
  </si>
  <si>
    <t>LIRAP</t>
  </si>
  <si>
    <t>Combined</t>
  </si>
  <si>
    <t>Average Customer Usage</t>
  </si>
  <si>
    <t>LIHEAP/LIRAP</t>
  </si>
  <si>
    <t xml:space="preserve">Limited Income DSM </t>
  </si>
  <si>
    <t>Schedule 101 (Raw)</t>
  </si>
  <si>
    <t>Annual</t>
  </si>
  <si>
    <t>Monthly</t>
  </si>
  <si>
    <t>Schedule 101</t>
  </si>
  <si>
    <t>2007 101 residential usage</t>
  </si>
  <si>
    <t>LI usage</t>
  </si>
  <si>
    <t>non LI 101 residential usage</t>
  </si>
  <si>
    <t>2007 residential DSM savings</t>
  </si>
  <si>
    <t>residential DSM expenditures</t>
  </si>
  <si>
    <t>residential customers</t>
  </si>
  <si>
    <t>LI customers</t>
  </si>
  <si>
    <t>non-LI residential customers</t>
  </si>
  <si>
    <t>$ per non-LI residential customer</t>
  </si>
  <si>
    <t>LI DSM expenditures</t>
  </si>
  <si>
    <t>$ per LI customers</t>
  </si>
  <si>
    <t>2005-2006</t>
  </si>
  <si>
    <t>2006-2007</t>
  </si>
  <si>
    <t>2007-2008</t>
  </si>
  <si>
    <t>WA LIRAP Distribution by Year</t>
  </si>
  <si>
    <t>WA LIHEAP Distribution by Heating Year</t>
  </si>
  <si>
    <t>Table K11-C Limited Income Customer Annual Averages</t>
  </si>
  <si>
    <t>Number of Limited Income Gas Customers</t>
  </si>
  <si>
    <t>LI DSM savings</t>
  </si>
  <si>
    <t>Table K1 Limited Income Households in Avista's Territory</t>
  </si>
  <si>
    <t>Customer Type</t>
  </si>
  <si>
    <t>Threshold</t>
  </si>
  <si>
    <t>Gas-Only</t>
  </si>
  <si>
    <t>Combo
Gas-Electric</t>
  </si>
  <si>
    <t>Gas</t>
  </si>
  <si>
    <t>Electric-Only</t>
  </si>
  <si>
    <t>Total</t>
  </si>
  <si>
    <t>125% of Poverty</t>
  </si>
  <si>
    <t>Total Avista Population</t>
  </si>
  <si>
    <t>% Limited Income</t>
  </si>
  <si>
    <t>Participants</t>
  </si>
  <si>
    <t>Proportion of LI Population</t>
  </si>
  <si>
    <t>Table K14-B Limited Income DSM/Bill Assistance Participation</t>
  </si>
  <si>
    <t>Limited Income Population Cost</t>
  </si>
  <si>
    <t>Average Limited Income Customer Cost</t>
  </si>
  <si>
    <t>Decoupling Deferral Recovery</t>
  </si>
  <si>
    <t>Table C9-E WA DSM Expenditures by Customer Class</t>
  </si>
  <si>
    <t>Limited
Income</t>
  </si>
  <si>
    <t>Residential</t>
  </si>
  <si>
    <t>Limited Income</t>
  </si>
  <si>
    <t>Schedule 101 Residential</t>
  </si>
  <si>
    <t>Per Customer</t>
  </si>
  <si>
    <t>Customers</t>
  </si>
  <si>
    <t>2004/2005 DSM Expenditures</t>
  </si>
  <si>
    <t>Table C1-C DSM Savings (therms) by Customer Class</t>
  </si>
  <si>
    <t>Average Annual Usage per LI Customer (therms)</t>
  </si>
  <si>
    <t>Limited Income Usage (therms)</t>
  </si>
  <si>
    <t>Limited Income DSM Savings (therms)</t>
  </si>
  <si>
    <t>Table K-18 LIRAP &amp; LIHEAP Participant Annual DSM &amp; Decoupling Surcharges</t>
  </si>
  <si>
    <t>Average
Schedule 159
Decoupling
Cost</t>
  </si>
  <si>
    <t>Average
LI DSM
Savings
(therms)</t>
  </si>
  <si>
    <t>Average
Schedule 191
DSM
Cost</t>
  </si>
  <si>
    <t>Average
LI DSM
Cost
Savings</t>
  </si>
  <si>
    <t>Usage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</si>
  <si>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</si>
  <si>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</si>
  <si>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</si>
  <si>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</si>
  <si>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</si>
  <si>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</si>
  <si>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</si>
  <si>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</si>
  <si>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</si>
  <si>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</si>
  <si>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</si>
  <si>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</si>
  <si>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12 Month Total</t>
  </si>
  <si>
    <t>RevClsDesc</t>
  </si>
  <si>
    <t>Sch 191 Surcharge</t>
  </si>
  <si>
    <t>Sch 191 Revenue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</si>
  <si>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</si>
  <si>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</si>
  <si>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</si>
  <si>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</si>
  <si>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</si>
  <si>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</si>
  <si>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</si>
  <si>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</si>
  <si>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</si>
  <si>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</si>
  <si>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</si>
  <si>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</si>
  <si>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</si>
  <si>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</si>
  <si>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</si>
  <si>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</si>
  <si>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</si>
  <si>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</si>
  <si>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</si>
  <si>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</si>
  <si>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</si>
  <si>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</si>
  <si>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</si>
  <si>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</si>
  <si>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</si>
  <si>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</si>
  <si>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</si>
  <si>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</si>
  <si>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</si>
  <si>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</si>
  <si>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</si>
  <si>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</si>
  <si>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</si>
  <si>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</si>
  <si>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</si>
  <si>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</si>
  <si>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</si>
  <si>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</si>
  <si>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</si>
  <si>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</si>
  <si>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</si>
  <si>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</si>
  <si>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</si>
  <si>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</si>
  <si>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</si>
  <si>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</si>
  <si>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</si>
  <si>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</si>
  <si>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Table K11-B WA Schedule 191 DSM Tariff Revenue</t>
  </si>
  <si>
    <t>WA Schedule 191 DSM Tariff Surcharge History</t>
  </si>
  <si>
    <t>Third</t>
  </si>
  <si>
    <t>Fourth</t>
  </si>
  <si>
    <t>Fifth</t>
  </si>
  <si>
    <t>Sixth</t>
  </si>
  <si>
    <t>Seventh</t>
  </si>
  <si>
    <t>111/112</t>
  </si>
  <si>
    <t>121/122</t>
  </si>
  <si>
    <t>131/132</t>
  </si>
  <si>
    <t>Table K13-B DSM Savings (therms)</t>
  </si>
  <si>
    <t>2007/2008 DSM Expenditures</t>
  </si>
  <si>
    <t>K-13A Data - DSM Expenditures</t>
  </si>
  <si>
    <t>Table K-13A DSM Expenditures</t>
  </si>
  <si>
    <t>2006/2007</t>
  </si>
  <si>
    <t>2004/2005</t>
  </si>
  <si>
    <t>2007/2008</t>
  </si>
  <si>
    <t>Decoupling Cost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</si>
</sst>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#,###,###,##0"/>
    <numFmt numFmtId="175" formatCode="_(&quot;$&quot;* #,##0_);_(&quot;$&quot;* \(#,##0\);_(&quot;$&quot;* &quot;-&quot;??_);_(@_)"/>
    <numFmt numFmtId="176" formatCode="#,###,###,###,##0"/>
    <numFmt numFmtId="177" formatCode="_(&quot;$&quot;* #,##0.0_);_(&quot;$&quot;* \(#,##0.0\);_(&quot;$&quot;* &quot;-&quot;??_);_(@_)"/>
    <numFmt numFmtId="178" formatCode="&quot;$&quot;#,##0.0_);\(&quot;$&quot;#,##0.0\)"/>
    <numFmt numFmtId="179" formatCode="0.0"/>
    <numFmt numFmtId="180" formatCode="_(* #,##0.0_);_(* \(#,##0.0\);_(* &quot;-&quot;?_);_(@_)"/>
    <numFmt numFmtId="181" formatCode="&quot;$&quot;#,##0"/>
    <numFmt numFmtId="182" formatCode="&quot;$&quot;#,##0.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???_);_(@_)"/>
    <numFmt numFmtId="189" formatCode="_(&quot;$&quot;* #,##0.000000_);_(&quot;$&quot;* \(#,##0.000000\);_(&quot;$&quot;* &quot;-&quot;??_);_(@_)"/>
    <numFmt numFmtId="190" formatCode="#,###,###,##0.0"/>
    <numFmt numFmtId="191" formatCode="#,###,###,##0.00"/>
    <numFmt numFmtId="192" formatCode="#,###,###,##0.000"/>
    <numFmt numFmtId="193" formatCode="#,###,###,##0.0000"/>
    <numFmt numFmtId="194" formatCode="#,###,###,##0.00000"/>
    <numFmt numFmtId="195" formatCode="[$-409]dddd\,\ mmmm\ dd\,\ yyyy"/>
    <numFmt numFmtId="196" formatCode="[$-409]mmmm\ d\,\ yyyy;@"/>
    <numFmt numFmtId="197" formatCode="mm/dd/yy;@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0"/>
    </font>
    <font>
      <sz val="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2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/>
    </xf>
    <xf numFmtId="10" fontId="1" fillId="3" borderId="4" xfId="23" applyNumberFormat="1" applyFont="1" applyFill="1" applyBorder="1" applyAlignment="1">
      <alignment horizontal="center"/>
    </xf>
    <xf numFmtId="3" fontId="1" fillId="3" borderId="3" xfId="15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68" fontId="1" fillId="2" borderId="3" xfId="17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68" fontId="1" fillId="3" borderId="3" xfId="17" applyNumberFormat="1" applyFont="1" applyFill="1" applyBorder="1" applyAlignment="1">
      <alignment horizontal="center"/>
    </xf>
    <xf numFmtId="169" fontId="1" fillId="2" borderId="3" xfId="17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169" fontId="1" fillId="3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4" fontId="8" fillId="0" borderId="11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/>
    </xf>
    <xf numFmtId="10" fontId="0" fillId="0" borderId="0" xfId="23" applyNumberFormat="1" applyAlignment="1">
      <alignment/>
    </xf>
    <xf numFmtId="175" fontId="1" fillId="3" borderId="8" xfId="17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75" fontId="1" fillId="3" borderId="2" xfId="0" applyNumberFormat="1" applyFont="1" applyFill="1" applyBorder="1" applyAlignment="1">
      <alignment/>
    </xf>
    <xf numFmtId="175" fontId="1" fillId="3" borderId="8" xfId="0" applyNumberFormat="1" applyFont="1" applyFill="1" applyBorder="1" applyAlignment="1">
      <alignment/>
    </xf>
    <xf numFmtId="175" fontId="1" fillId="3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75" fontId="1" fillId="0" borderId="2" xfId="17" applyNumberFormat="1" applyFont="1" applyFill="1" applyBorder="1" applyAlignment="1">
      <alignment/>
    </xf>
    <xf numFmtId="175" fontId="1" fillId="0" borderId="8" xfId="17" applyNumberFormat="1" applyFont="1" applyFill="1" applyBorder="1" applyAlignment="1">
      <alignment/>
    </xf>
    <xf numFmtId="175" fontId="1" fillId="0" borderId="4" xfId="17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 horizontal="center"/>
    </xf>
    <xf numFmtId="7" fontId="0" fillId="0" borderId="4" xfId="17" applyNumberForma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7" fontId="1" fillId="3" borderId="2" xfId="17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5" fontId="6" fillId="3" borderId="1" xfId="0" applyNumberFormat="1" applyFont="1" applyFill="1" applyBorder="1" applyAlignment="1">
      <alignment horizontal="center"/>
    </xf>
    <xf numFmtId="165" fontId="1" fillId="3" borderId="0" xfId="15" applyNumberFormat="1" applyFont="1" applyFill="1" applyBorder="1" applyAlignment="1">
      <alignment horizontal="right"/>
    </xf>
    <xf numFmtId="165" fontId="1" fillId="3" borderId="3" xfId="15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5" fontId="0" fillId="2" borderId="0" xfId="15" applyNumberFormat="1" applyFont="1" applyFill="1" applyBorder="1" applyAlignment="1">
      <alignment horizontal="right" vertical="top" wrapText="1"/>
    </xf>
    <xf numFmtId="165" fontId="0" fillId="2" borderId="3" xfId="15" applyNumberFormat="1" applyFont="1" applyFill="1" applyBorder="1" applyAlignment="1">
      <alignment horizontal="right" vertical="top" wrapText="1"/>
    </xf>
    <xf numFmtId="5" fontId="6" fillId="3" borderId="2" xfId="0" applyNumberFormat="1" applyFont="1" applyFill="1" applyBorder="1" applyAlignment="1">
      <alignment horizontal="center"/>
    </xf>
    <xf numFmtId="166" fontId="1" fillId="3" borderId="8" xfId="23" applyNumberFormat="1" applyFont="1" applyFill="1" applyBorder="1" applyAlignment="1">
      <alignment horizontal="right"/>
    </xf>
    <xf numFmtId="166" fontId="1" fillId="3" borderId="4" xfId="23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/>
    </xf>
    <xf numFmtId="166" fontId="1" fillId="3" borderId="8" xfId="0" applyNumberFormat="1" applyFont="1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165" fontId="1" fillId="2" borderId="0" xfId="15" applyNumberFormat="1" applyFont="1" applyFill="1" applyBorder="1" applyAlignment="1">
      <alignment/>
    </xf>
    <xf numFmtId="165" fontId="1" fillId="2" borderId="3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7" fontId="1" fillId="2" borderId="0" xfId="0" applyNumberFormat="1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7" fontId="1" fillId="3" borderId="8" xfId="0" applyNumberFormat="1" applyFont="1" applyFill="1" applyBorder="1" applyAlignment="1">
      <alignment horizontal="center"/>
    </xf>
    <xf numFmtId="5" fontId="1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6" fillId="3" borderId="0" xfId="21" applyFont="1" applyFill="1" applyBorder="1" applyAlignment="1">
      <alignment horizontal="center"/>
      <protection/>
    </xf>
    <xf numFmtId="181" fontId="1" fillId="3" borderId="0" xfId="17" applyNumberFormat="1" applyFont="1" applyFill="1" applyBorder="1" applyAlignment="1">
      <alignment horizontal="right"/>
    </xf>
    <xf numFmtId="175" fontId="1" fillId="3" borderId="3" xfId="17" applyNumberFormat="1" applyFont="1" applyFill="1" applyBorder="1" applyAlignment="1">
      <alignment/>
    </xf>
    <xf numFmtId="0" fontId="6" fillId="3" borderId="1" xfId="21" applyFont="1" applyFill="1" applyBorder="1" applyAlignment="1">
      <alignment horizontal="center" vertical="center"/>
      <protection/>
    </xf>
    <xf numFmtId="0" fontId="2" fillId="3" borderId="0" xfId="21" applyFont="1" applyFill="1" applyBorder="1" applyAlignment="1">
      <alignment horizontal="center"/>
      <protection/>
    </xf>
    <xf numFmtId="175" fontId="9" fillId="3" borderId="0" xfId="17" applyNumberFormat="1" applyFont="1" applyFill="1" applyBorder="1" applyAlignment="1">
      <alignment horizontal="left"/>
    </xf>
    <xf numFmtId="175" fontId="1" fillId="3" borderId="0" xfId="17" applyNumberFormat="1" applyFont="1" applyFill="1" applyBorder="1" applyAlignment="1">
      <alignment/>
    </xf>
    <xf numFmtId="0" fontId="6" fillId="0" borderId="1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/>
      <protection/>
    </xf>
    <xf numFmtId="181" fontId="1" fillId="3" borderId="8" xfId="17" applyNumberFormat="1" applyFont="1" applyFill="1" applyBorder="1" applyAlignment="1">
      <alignment horizontal="right"/>
    </xf>
    <xf numFmtId="175" fontId="1" fillId="3" borderId="4" xfId="17" applyNumberFormat="1" applyFont="1" applyFill="1" applyBorder="1" applyAlignment="1">
      <alignment/>
    </xf>
    <xf numFmtId="0" fontId="6" fillId="2" borderId="0" xfId="21" applyFont="1" applyFill="1" applyBorder="1" applyAlignment="1">
      <alignment horizontal="center" vertical="center"/>
      <protection/>
    </xf>
    <xf numFmtId="0" fontId="6" fillId="3" borderId="13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81" fontId="1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 horizontal="center"/>
    </xf>
    <xf numFmtId="181" fontId="1" fillId="3" borderId="8" xfId="0" applyNumberFormat="1" applyFont="1" applyFill="1" applyBorder="1" applyAlignment="1">
      <alignment horizontal="center"/>
    </xf>
    <xf numFmtId="182" fontId="1" fillId="3" borderId="8" xfId="0" applyNumberFormat="1" applyFont="1" applyFill="1" applyBorder="1" applyAlignment="1">
      <alignment horizontal="center"/>
    </xf>
    <xf numFmtId="182" fontId="1" fillId="2" borderId="3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center"/>
    </xf>
    <xf numFmtId="165" fontId="1" fillId="3" borderId="8" xfId="15" applyNumberFormat="1" applyFont="1" applyFill="1" applyBorder="1" applyAlignment="1">
      <alignment horizontal="center"/>
    </xf>
    <xf numFmtId="0" fontId="1" fillId="2" borderId="1" xfId="21" applyFont="1" applyFill="1" applyBorder="1" applyAlignment="1">
      <alignment/>
      <protection/>
    </xf>
    <xf numFmtId="0" fontId="1" fillId="2" borderId="0" xfId="21" applyFont="1" applyFill="1" applyBorder="1" applyAlignment="1">
      <alignment/>
      <protection/>
    </xf>
    <xf numFmtId="0" fontId="6" fillId="2" borderId="9" xfId="21" applyFont="1" applyFill="1" applyBorder="1" applyAlignment="1">
      <alignment horizontal="center"/>
      <protection/>
    </xf>
    <xf numFmtId="0" fontId="6" fillId="2" borderId="10" xfId="21" applyFont="1" applyFill="1" applyBorder="1" applyAlignment="1">
      <alignment horizontal="center"/>
      <protection/>
    </xf>
    <xf numFmtId="165" fontId="1" fillId="3" borderId="0" xfId="15" applyNumberFormat="1" applyFont="1" applyFill="1" applyBorder="1" applyAlignment="1">
      <alignment/>
    </xf>
    <xf numFmtId="0" fontId="6" fillId="3" borderId="0" xfId="21" applyFont="1" applyFill="1" applyBorder="1" applyAlignment="1">
      <alignment horizontal="center" wrapText="1"/>
      <protection/>
    </xf>
    <xf numFmtId="3" fontId="1" fillId="2" borderId="0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183" fontId="1" fillId="2" borderId="0" xfId="0" applyNumberFormat="1" applyFont="1" applyFill="1" applyBorder="1" applyAlignment="1">
      <alignment horizontal="center"/>
    </xf>
    <xf numFmtId="183" fontId="1" fillId="3" borderId="8" xfId="0" applyNumberFormat="1" applyFont="1" applyFill="1" applyBorder="1" applyAlignment="1">
      <alignment horizontal="center"/>
    </xf>
    <xf numFmtId="183" fontId="1" fillId="2" borderId="3" xfId="0" applyNumberFormat="1" applyFont="1" applyFill="1" applyBorder="1" applyAlignment="1">
      <alignment horizontal="center"/>
    </xf>
    <xf numFmtId="183" fontId="1" fillId="3" borderId="4" xfId="0" applyNumberFormat="1" applyFont="1" applyFill="1" applyBorder="1" applyAlignment="1">
      <alignment horizontal="center"/>
    </xf>
    <xf numFmtId="0" fontId="0" fillId="0" borderId="0" xfId="22" applyFill="1">
      <alignment/>
      <protection/>
    </xf>
    <xf numFmtId="0" fontId="0" fillId="0" borderId="0" xfId="22">
      <alignment/>
      <protection/>
    </xf>
    <xf numFmtId="0" fontId="7" fillId="2" borderId="1" xfId="22" applyFont="1" applyFill="1" applyBorder="1" applyAlignment="1">
      <alignment/>
      <protection/>
    </xf>
    <xf numFmtId="0" fontId="1" fillId="2" borderId="0" xfId="22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/>
      <protection/>
    </xf>
    <xf numFmtId="0" fontId="1" fillId="3" borderId="0" xfId="22" applyFont="1" applyFill="1" applyBorder="1" applyAlignment="1">
      <alignment horizontal="center"/>
      <protection/>
    </xf>
    <xf numFmtId="0" fontId="10" fillId="0" borderId="14" xfId="22" applyFont="1" applyFill="1" applyBorder="1" applyAlignment="1">
      <alignment horizontal="right" vertical="top"/>
      <protection/>
    </xf>
    <xf numFmtId="0" fontId="8" fillId="0" borderId="15" xfId="22" applyFont="1" applyFill="1" applyBorder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7" fillId="2" borderId="2" xfId="22" applyFont="1" applyFill="1" applyBorder="1" applyAlignment="1">
      <alignment/>
      <protection/>
    </xf>
    <xf numFmtId="0" fontId="1" fillId="2" borderId="8" xfId="22" applyFont="1" applyFill="1" applyBorder="1" applyAlignment="1">
      <alignment horizont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right" vertical="top"/>
      <protection/>
    </xf>
    <xf numFmtId="0" fontId="8" fillId="0" borderId="11" xfId="22" applyFont="1" applyFill="1" applyBorder="1" applyAlignment="1">
      <alignment horizontal="left" vertical="top"/>
      <protection/>
    </xf>
    <xf numFmtId="0" fontId="8" fillId="0" borderId="11" xfId="22" applyFont="1" applyFill="1" applyBorder="1" applyAlignment="1">
      <alignment horizontal="center" vertical="top"/>
      <protection/>
    </xf>
    <xf numFmtId="0" fontId="1" fillId="0" borderId="11" xfId="22" applyFont="1" applyFill="1" applyBorder="1" applyAlignment="1">
      <alignment horizontal="left" vertical="top"/>
      <protection/>
    </xf>
    <xf numFmtId="10" fontId="1" fillId="0" borderId="11" xfId="23" applyNumberFormat="1" applyFont="1" applyFill="1" applyBorder="1" applyAlignment="1">
      <alignment horizontal="right" vertical="top"/>
    </xf>
    <xf numFmtId="0" fontId="10" fillId="0" borderId="11" xfId="22" applyFont="1" applyFill="1" applyBorder="1" applyAlignment="1">
      <alignment horizontal="right" vertical="top"/>
      <protection/>
    </xf>
    <xf numFmtId="174" fontId="8" fillId="0" borderId="11" xfId="22" applyNumberFormat="1" applyFont="1" applyFill="1" applyBorder="1" applyAlignment="1">
      <alignment horizontal="right" vertical="top"/>
      <protection/>
    </xf>
    <xf numFmtId="169" fontId="8" fillId="0" borderId="11" xfId="17" applyNumberFormat="1" applyFont="1" applyFill="1" applyBorder="1" applyAlignment="1">
      <alignment horizontal="right" vertical="top"/>
    </xf>
    <xf numFmtId="44" fontId="8" fillId="0" borderId="11" xfId="17" applyNumberFormat="1" applyFont="1" applyFill="1" applyBorder="1" applyAlignment="1">
      <alignment horizontal="right" vertical="top"/>
    </xf>
    <xf numFmtId="175" fontId="8" fillId="0" borderId="11" xfId="17" applyNumberFormat="1" applyFont="1" applyFill="1" applyBorder="1" applyAlignment="1">
      <alignment horizontal="right" vertical="top"/>
    </xf>
    <xf numFmtId="44" fontId="7" fillId="2" borderId="1" xfId="22" applyNumberFormat="1" applyFont="1" applyFill="1" applyBorder="1" applyAlignment="1">
      <alignment/>
      <protection/>
    </xf>
    <xf numFmtId="44" fontId="0" fillId="0" borderId="0" xfId="22" applyNumberFormat="1" applyFill="1">
      <alignment/>
      <protection/>
    </xf>
    <xf numFmtId="44" fontId="0" fillId="0" borderId="0" xfId="22" applyNumberFormat="1">
      <alignment/>
      <protection/>
    </xf>
    <xf numFmtId="44" fontId="7" fillId="3" borderId="1" xfId="22" applyNumberFormat="1" applyFont="1" applyFill="1" applyBorder="1" applyAlignment="1">
      <alignment/>
      <protection/>
    </xf>
    <xf numFmtId="44" fontId="7" fillId="2" borderId="2" xfId="22" applyNumberFormat="1" applyFont="1" applyFill="1" applyBorder="1" applyAlignment="1">
      <alignment/>
      <protection/>
    </xf>
    <xf numFmtId="0" fontId="8" fillId="0" borderId="0" xfId="22" applyFont="1" applyFill="1" applyBorder="1" applyAlignment="1">
      <alignment horizontal="center" vertical="top"/>
      <protection/>
    </xf>
    <xf numFmtId="175" fontId="8" fillId="0" borderId="0" xfId="17" applyNumberFormat="1" applyFont="1" applyFill="1" applyBorder="1" applyAlignment="1">
      <alignment horizontal="right" vertical="top"/>
    </xf>
    <xf numFmtId="194" fontId="8" fillId="0" borderId="11" xfId="22" applyNumberFormat="1" applyFont="1" applyFill="1" applyBorder="1" applyAlignment="1">
      <alignment horizontal="right" vertical="top"/>
      <protection/>
    </xf>
    <xf numFmtId="174" fontId="8" fillId="0" borderId="11" xfId="22" applyNumberFormat="1" applyFont="1" applyFill="1" applyBorder="1" applyAlignment="1">
      <alignment horizontal="center" vertical="top"/>
      <protection/>
    </xf>
    <xf numFmtId="44" fontId="8" fillId="0" borderId="11" xfId="22" applyNumberFormat="1" applyFont="1" applyFill="1" applyBorder="1" applyAlignment="1">
      <alignment horizontal="right" vertical="top"/>
      <protection/>
    </xf>
    <xf numFmtId="44" fontId="0" fillId="0" borderId="0" xfId="17" applyNumberFormat="1" applyFill="1" applyAlignment="1">
      <alignment/>
    </xf>
    <xf numFmtId="0" fontId="1" fillId="2" borderId="1" xfId="22" applyFont="1" applyFill="1" applyBorder="1" applyAlignment="1">
      <alignment/>
      <protection/>
    </xf>
    <xf numFmtId="0" fontId="6" fillId="2" borderId="9" xfId="22" applyFont="1" applyFill="1" applyBorder="1" applyAlignment="1">
      <alignment horizontal="center"/>
      <protection/>
    </xf>
    <xf numFmtId="0" fontId="6" fillId="2" borderId="10" xfId="22" applyFont="1" applyFill="1" applyBorder="1" applyAlignment="1">
      <alignment horizontal="center"/>
      <protection/>
    </xf>
    <xf numFmtId="0" fontId="6" fillId="3" borderId="1" xfId="22" applyFont="1" applyFill="1" applyBorder="1" applyAlignment="1">
      <alignment/>
      <protection/>
    </xf>
    <xf numFmtId="7" fontId="1" fillId="3" borderId="0" xfId="17" applyNumberFormat="1" applyFont="1" applyFill="1" applyBorder="1" applyAlignment="1">
      <alignment/>
    </xf>
    <xf numFmtId="7" fontId="1" fillId="3" borderId="3" xfId="17" applyNumberFormat="1" applyFont="1" applyFill="1" applyBorder="1" applyAlignment="1">
      <alignment/>
    </xf>
    <xf numFmtId="0" fontId="6" fillId="2" borderId="1" xfId="22" applyFont="1" applyFill="1" applyBorder="1" applyAlignment="1">
      <alignment/>
      <protection/>
    </xf>
    <xf numFmtId="7" fontId="1" fillId="2" borderId="0" xfId="17" applyNumberFormat="1" applyFont="1" applyFill="1" applyBorder="1" applyAlignment="1">
      <alignment/>
    </xf>
    <xf numFmtId="7" fontId="1" fillId="2" borderId="3" xfId="17" applyNumberFormat="1" applyFont="1" applyFill="1" applyBorder="1" applyAlignment="1">
      <alignment/>
    </xf>
    <xf numFmtId="0" fontId="6" fillId="3" borderId="2" xfId="22" applyFont="1" applyFill="1" applyBorder="1" applyAlignment="1">
      <alignment/>
      <protection/>
    </xf>
    <xf numFmtId="7" fontId="1" fillId="3" borderId="8" xfId="17" applyNumberFormat="1" applyFont="1" applyFill="1" applyBorder="1" applyAlignment="1">
      <alignment/>
    </xf>
    <xf numFmtId="7" fontId="1" fillId="3" borderId="4" xfId="17" applyNumberFormat="1" applyFont="1" applyFill="1" applyBorder="1" applyAlignment="1">
      <alignment/>
    </xf>
    <xf numFmtId="0" fontId="6" fillId="2" borderId="1" xfId="22" applyFont="1" applyFill="1" applyBorder="1" applyAlignment="1">
      <alignment horizontal="right"/>
      <protection/>
    </xf>
    <xf numFmtId="197" fontId="6" fillId="2" borderId="0" xfId="22" applyNumberFormat="1" applyFont="1" applyFill="1" applyBorder="1" applyAlignment="1">
      <alignment horizontal="center"/>
      <protection/>
    </xf>
    <xf numFmtId="14" fontId="6" fillId="2" borderId="0" xfId="22" applyNumberFormat="1" applyFont="1" applyFill="1" applyBorder="1" applyAlignment="1">
      <alignment horizontal="center"/>
      <protection/>
    </xf>
    <xf numFmtId="14" fontId="6" fillId="2" borderId="3" xfId="22" applyNumberFormat="1" applyFont="1" applyFill="1" applyBorder="1" applyAlignment="1">
      <alignment horizontal="center"/>
      <protection/>
    </xf>
    <xf numFmtId="0" fontId="6" fillId="3" borderId="5" xfId="22" applyFont="1" applyFill="1" applyBorder="1" applyAlignment="1">
      <alignment horizontal="right"/>
      <protection/>
    </xf>
    <xf numFmtId="196" fontId="6" fillId="3" borderId="6" xfId="22" applyNumberFormat="1" applyFont="1" applyFill="1" applyBorder="1" applyAlignment="1">
      <alignment horizontal="center"/>
      <protection/>
    </xf>
    <xf numFmtId="0" fontId="6" fillId="3" borderId="6" xfId="22" applyFont="1" applyFill="1" applyBorder="1" applyAlignment="1">
      <alignment horizontal="center"/>
      <protection/>
    </xf>
    <xf numFmtId="0" fontId="6" fillId="3" borderId="7" xfId="22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169" fontId="1" fillId="2" borderId="0" xfId="17" applyNumberFormat="1" applyFont="1" applyFill="1" applyBorder="1" applyAlignment="1">
      <alignment/>
    </xf>
    <xf numFmtId="169" fontId="1" fillId="2" borderId="3" xfId="17" applyNumberFormat="1" applyFont="1" applyFill="1" applyBorder="1" applyAlignment="1">
      <alignment/>
    </xf>
    <xf numFmtId="0" fontId="6" fillId="3" borderId="1" xfId="22" applyFont="1" applyFill="1" applyBorder="1" applyAlignment="1">
      <alignment horizontal="center"/>
      <protection/>
    </xf>
    <xf numFmtId="169" fontId="1" fillId="3" borderId="0" xfId="17" applyNumberFormat="1" applyFont="1" applyFill="1" applyBorder="1" applyAlignment="1">
      <alignment/>
    </xf>
    <xf numFmtId="169" fontId="1" fillId="3" borderId="3" xfId="17" applyNumberFormat="1" applyFont="1" applyFill="1" applyBorder="1" applyAlignment="1">
      <alignment/>
    </xf>
    <xf numFmtId="0" fontId="6" fillId="3" borderId="2" xfId="22" applyFont="1" applyFill="1" applyBorder="1" applyAlignment="1">
      <alignment horizontal="center"/>
      <protection/>
    </xf>
    <xf numFmtId="169" fontId="1" fillId="3" borderId="8" xfId="17" applyNumberFormat="1" applyFont="1" applyFill="1" applyBorder="1" applyAlignment="1">
      <alignment/>
    </xf>
    <xf numFmtId="169" fontId="1" fillId="3" borderId="4" xfId="17" applyNumberFormat="1" applyFont="1" applyFill="1" applyBorder="1" applyAlignment="1">
      <alignment/>
    </xf>
    <xf numFmtId="3" fontId="1" fillId="3" borderId="8" xfId="21" applyNumberFormat="1" applyFont="1" applyFill="1" applyBorder="1" applyAlignment="1">
      <alignment horizontal="center"/>
      <protection/>
    </xf>
    <xf numFmtId="5" fontId="1" fillId="2" borderId="0" xfId="0" applyNumberFormat="1" applyFont="1" applyFill="1" applyBorder="1" applyAlignment="1">
      <alignment horizontal="center"/>
    </xf>
    <xf numFmtId="5" fontId="1" fillId="3" borderId="8" xfId="0" applyNumberFormat="1" applyFont="1" applyFill="1" applyBorder="1" applyAlignment="1">
      <alignment horizontal="center"/>
    </xf>
    <xf numFmtId="7" fontId="1" fillId="2" borderId="3" xfId="0" applyNumberFormat="1" applyFont="1" applyFill="1" applyBorder="1" applyAlignment="1">
      <alignment horizontal="center"/>
    </xf>
    <xf numFmtId="7" fontId="1" fillId="3" borderId="4" xfId="0" applyNumberFormat="1" applyFont="1" applyFill="1" applyBorder="1" applyAlignment="1">
      <alignment horizontal="center"/>
    </xf>
    <xf numFmtId="3" fontId="1" fillId="2" borderId="0" xfId="15" applyNumberFormat="1" applyFont="1" applyFill="1" applyBorder="1" applyAlignment="1">
      <alignment horizontal="center"/>
    </xf>
    <xf numFmtId="3" fontId="1" fillId="3" borderId="8" xfId="15" applyNumberFormat="1" applyFont="1" applyFill="1" applyBorder="1" applyAlignment="1">
      <alignment horizontal="center"/>
    </xf>
    <xf numFmtId="9" fontId="0" fillId="0" borderId="0" xfId="23" applyAlignment="1">
      <alignment/>
    </xf>
    <xf numFmtId="5" fontId="1" fillId="2" borderId="0" xfId="0" applyNumberFormat="1" applyFont="1" applyFill="1" applyBorder="1" applyAlignment="1">
      <alignment/>
    </xf>
    <xf numFmtId="5" fontId="1" fillId="2" borderId="3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21" applyFont="1" applyFill="1" applyBorder="1" applyAlignment="1">
      <alignment horizontal="center" vertical="center"/>
      <protection/>
    </xf>
    <xf numFmtId="0" fontId="2" fillId="2" borderId="20" xfId="21" applyFont="1" applyFill="1" applyBorder="1" applyAlignment="1">
      <alignment horizontal="center" vertical="center"/>
      <protection/>
    </xf>
    <xf numFmtId="0" fontId="2" fillId="2" borderId="21" xfId="21" applyFont="1" applyFill="1" applyBorder="1" applyAlignment="1">
      <alignment horizontal="center" vertical="center"/>
      <protection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21" applyFont="1" applyFill="1" applyBorder="1" applyAlignment="1">
      <alignment horizontal="center"/>
      <protection/>
    </xf>
    <xf numFmtId="0" fontId="2" fillId="2" borderId="20" xfId="21" applyFont="1" applyFill="1" applyBorder="1" applyAlignment="1">
      <alignment horizontal="center"/>
      <protection/>
    </xf>
    <xf numFmtId="0" fontId="2" fillId="2" borderId="21" xfId="2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1" xfId="21" applyFont="1" applyFill="1" applyBorder="1" applyAlignment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20" xfId="22" applyFont="1" applyFill="1" applyBorder="1" applyAlignment="1">
      <alignment horizontal="center"/>
      <protection/>
    </xf>
    <xf numFmtId="0" fontId="2" fillId="2" borderId="21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M Costs" xfId="21"/>
    <cellStyle name="Normal_LI DSM Revenue 2004-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 CI"/>
      <sheetName val="2005"/>
      <sheetName val="2005 CI"/>
      <sheetName val="2006"/>
      <sheetName val="2006 CI"/>
      <sheetName val="2007"/>
      <sheetName val="2007 CI"/>
      <sheetName val="2008"/>
      <sheetName val="2008 CI"/>
      <sheetName val="2006 WA DSMV"/>
      <sheetName val="2006 ID DSMV"/>
      <sheetName val="2007 WA DSMV"/>
      <sheetName val="2007 ID DSMV"/>
      <sheetName val="2008 WA DSMV"/>
      <sheetName val="2008 ID DSMV"/>
      <sheetName val="2004 Costs"/>
      <sheetName val="2005 Costs"/>
      <sheetName val="2006 Costs"/>
      <sheetName val="2007 Costs"/>
      <sheetName val="2008 Costs"/>
      <sheetName val="DSM Costs"/>
      <sheetName val="WC Therms"/>
      <sheetName val="Savings-Costs"/>
      <sheetName val="Incidental kWh"/>
      <sheetName val="Verified DSM Savings"/>
      <sheetName val="DLM Data"/>
      <sheetName val="2004 DLM"/>
      <sheetName val="2005 DLM"/>
      <sheetName val="2006 DLM"/>
      <sheetName val="2007 DLM"/>
      <sheetName val="2008 DLM"/>
      <sheetName val="DSM LM Summary"/>
      <sheetName val="Limited Income"/>
      <sheetName val="WA Gas DSM"/>
      <sheetName val="DSM Revenue"/>
      <sheetName val="DSM Tariff Rider"/>
      <sheetName val="Claimed DSM Savings"/>
    </sheetNames>
    <sheetDataSet>
      <sheetData sheetId="25">
        <row r="93">
          <cell r="E93">
            <v>57503.196498261685</v>
          </cell>
          <cell r="F93">
            <v>58549.189819061045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4"/>
  <sheetViews>
    <sheetView tabSelected="1" workbookViewId="0" topLeftCell="A1">
      <selection activeCell="U24" sqref="U24"/>
    </sheetView>
  </sheetViews>
  <sheetFormatPr defaultColWidth="9.140625" defaultRowHeight="12.75"/>
  <cols>
    <col min="2" max="2" width="24.57421875" style="0" customWidth="1"/>
    <col min="3" max="3" width="11.8515625" style="0" customWidth="1"/>
    <col min="4" max="4" width="12.421875" style="0" customWidth="1"/>
    <col min="5" max="5" width="13.28125" style="0" customWidth="1"/>
    <col min="6" max="6" width="10.8515625" style="0" customWidth="1"/>
    <col min="7" max="7" width="12.57421875" style="0" customWidth="1"/>
    <col min="8" max="8" width="12.00390625" style="0" customWidth="1"/>
    <col min="9" max="9" width="19.28125" style="0" customWidth="1"/>
    <col min="10" max="11" width="11.28125" style="0" customWidth="1"/>
    <col min="12" max="12" width="10.140625" style="0" customWidth="1"/>
    <col min="13" max="13" width="7.00390625" style="0" customWidth="1"/>
    <col min="14" max="14" width="10.7109375" style="0" bestFit="1" customWidth="1"/>
    <col min="16" max="16" width="26.140625" style="0" customWidth="1"/>
    <col min="17" max="17" width="13.00390625" style="0" customWidth="1"/>
    <col min="18" max="18" width="8.28125" style="0" customWidth="1"/>
    <col min="19" max="19" width="7.7109375" style="0" customWidth="1"/>
    <col min="20" max="23" width="13.57421875" style="0" customWidth="1"/>
    <col min="24" max="24" width="17.421875" style="0" bestFit="1" customWidth="1"/>
    <col min="25" max="25" width="7.7109375" style="0" bestFit="1" customWidth="1"/>
    <col min="26" max="26" width="8.28125" style="0" bestFit="1" customWidth="1"/>
    <col min="27" max="27" width="8.7109375" style="0" bestFit="1" customWidth="1"/>
    <col min="28" max="28" width="8.8515625" style="0" bestFit="1" customWidth="1"/>
    <col min="29" max="29" width="8.7109375" style="0" bestFit="1" customWidth="1"/>
    <col min="31" max="31" width="13.8515625" style="0" bestFit="1" customWidth="1"/>
  </cols>
  <sheetData>
    <row r="1" ht="13.5" thickBot="1"/>
    <row r="2" spans="2:30" ht="13.5" thickTop="1">
      <c r="B2" s="208" t="s">
        <v>2</v>
      </c>
      <c r="C2" s="209"/>
      <c r="E2" s="210" t="s">
        <v>3</v>
      </c>
      <c r="F2" s="211"/>
      <c r="G2" s="212"/>
      <c r="P2" s="213" t="s">
        <v>12</v>
      </c>
      <c r="Q2" s="214"/>
      <c r="R2" s="215"/>
      <c r="T2" s="213" t="s">
        <v>35</v>
      </c>
      <c r="U2" s="214"/>
      <c r="V2" s="214"/>
      <c r="W2" s="215"/>
      <c r="Y2" s="204" t="s">
        <v>38</v>
      </c>
      <c r="Z2" s="205"/>
      <c r="AA2" s="205"/>
      <c r="AB2" s="205"/>
      <c r="AC2" s="205"/>
      <c r="AD2" s="206"/>
    </row>
    <row r="3" spans="2:30" ht="51" customHeight="1">
      <c r="B3" s="2" t="s">
        <v>36</v>
      </c>
      <c r="C3" s="6">
        <v>17648</v>
      </c>
      <c r="E3" s="7" t="s">
        <v>4</v>
      </c>
      <c r="F3" s="8" t="s">
        <v>5</v>
      </c>
      <c r="G3" s="9" t="s">
        <v>6</v>
      </c>
      <c r="P3" s="25"/>
      <c r="Q3" s="21" t="s">
        <v>16</v>
      </c>
      <c r="R3" s="22" t="s">
        <v>17</v>
      </c>
      <c r="T3" s="56" t="s">
        <v>70</v>
      </c>
      <c r="U3" s="58" t="s">
        <v>68</v>
      </c>
      <c r="V3" s="58" t="s">
        <v>69</v>
      </c>
      <c r="W3" s="59" t="s">
        <v>71</v>
      </c>
      <c r="Y3" s="60"/>
      <c r="Z3" s="207" t="s">
        <v>39</v>
      </c>
      <c r="AA3" s="207"/>
      <c r="AB3" s="207"/>
      <c r="AC3" s="207"/>
      <c r="AD3" s="61"/>
    </row>
    <row r="4" spans="2:30" ht="14.25" customHeight="1" thickBot="1">
      <c r="B4" s="1" t="s">
        <v>64</v>
      </c>
      <c r="C4" s="4">
        <v>696</v>
      </c>
      <c r="E4" s="10">
        <v>4</v>
      </c>
      <c r="F4" s="13">
        <v>38109</v>
      </c>
      <c r="G4" s="14">
        <f>0.79/1.75*0.02039</f>
        <v>0.00920462857142857</v>
      </c>
      <c r="P4" s="30" t="s">
        <v>13</v>
      </c>
      <c r="Q4" s="24">
        <v>696</v>
      </c>
      <c r="R4" s="4">
        <f>Q4/12</f>
        <v>58</v>
      </c>
      <c r="T4" s="57">
        <v>12.49</v>
      </c>
      <c r="U4" s="86">
        <f>((V8+W8)/C3)/2</f>
        <v>4.737874901896516</v>
      </c>
      <c r="V4" s="54">
        <f>AVERAGE(V7:W7)/C3</f>
        <v>3.287975586959506</v>
      </c>
      <c r="W4" s="55">
        <f>V4*1.14747</f>
        <v>3.7728533467684247</v>
      </c>
      <c r="Y4" s="60" t="s">
        <v>40</v>
      </c>
      <c r="Z4" s="62" t="s">
        <v>41</v>
      </c>
      <c r="AA4" s="62" t="s">
        <v>42</v>
      </c>
      <c r="AB4" s="62" t="s">
        <v>43</v>
      </c>
      <c r="AC4" s="62" t="s">
        <v>44</v>
      </c>
      <c r="AD4" s="63" t="s">
        <v>45</v>
      </c>
    </row>
    <row r="5" spans="2:30" ht="13.5" thickTop="1">
      <c r="B5" s="2" t="s">
        <v>65</v>
      </c>
      <c r="C5" s="6">
        <f>C3*C4</f>
        <v>12283008</v>
      </c>
      <c r="E5" s="11">
        <v>5</v>
      </c>
      <c r="F5" s="15">
        <v>38397</v>
      </c>
      <c r="G5" s="16">
        <f>0.79/1.75*0.01441</f>
        <v>0.006505085714285715</v>
      </c>
      <c r="P5" s="31" t="s">
        <v>0</v>
      </c>
      <c r="Q5" s="26">
        <f>R5*12</f>
        <v>696</v>
      </c>
      <c r="R5" s="27">
        <v>58</v>
      </c>
      <c r="Y5" s="64" t="s">
        <v>46</v>
      </c>
      <c r="Z5" s="65">
        <v>2324</v>
      </c>
      <c r="AA5" s="65">
        <v>15324</v>
      </c>
      <c r="AB5" s="65">
        <f>SUM(Z5:AA5)</f>
        <v>17648</v>
      </c>
      <c r="AC5" s="65">
        <v>13267</v>
      </c>
      <c r="AD5" s="66">
        <f>AB5+AC5</f>
        <v>30915</v>
      </c>
    </row>
    <row r="6" spans="2:30" ht="14.25" customHeight="1" thickBot="1">
      <c r="B6" s="1" t="s">
        <v>66</v>
      </c>
      <c r="C6" s="4">
        <v>58549.189819061045</v>
      </c>
      <c r="E6" s="10">
        <v>7</v>
      </c>
      <c r="F6" s="13">
        <v>39448</v>
      </c>
      <c r="G6" s="17">
        <v>0.00808</v>
      </c>
      <c r="P6" s="32" t="s">
        <v>18</v>
      </c>
      <c r="Q6" s="28">
        <v>828</v>
      </c>
      <c r="R6" s="29">
        <f>Q6/12</f>
        <v>69</v>
      </c>
      <c r="V6">
        <v>2006</v>
      </c>
      <c r="W6">
        <v>2007</v>
      </c>
      <c r="Y6" s="67" t="s">
        <v>47</v>
      </c>
      <c r="Z6" s="68">
        <v>15986</v>
      </c>
      <c r="AA6" s="68">
        <v>95067</v>
      </c>
      <c r="AB6" s="68">
        <f>Z6+AA6</f>
        <v>111053</v>
      </c>
      <c r="AC6" s="68">
        <v>67510</v>
      </c>
      <c r="AD6" s="69">
        <f>AB6+AC6</f>
        <v>178563</v>
      </c>
    </row>
    <row r="7" spans="2:30" ht="14.25" thickBot="1" thickTop="1">
      <c r="B7" s="3" t="s">
        <v>1</v>
      </c>
      <c r="C7" s="5">
        <f>C6/C5</f>
        <v>0.004766681729675748</v>
      </c>
      <c r="E7" s="12">
        <v>8</v>
      </c>
      <c r="F7" s="18">
        <v>39814</v>
      </c>
      <c r="G7" s="19">
        <v>0.00962</v>
      </c>
      <c r="U7" t="s">
        <v>37</v>
      </c>
      <c r="V7" s="194">
        <f>'[1]Verified DSM Savings'!$E$93</f>
        <v>57503.196498261685</v>
      </c>
      <c r="W7" s="194">
        <f>'[1]Verified DSM Savings'!$F$93</f>
        <v>58549.189819061045</v>
      </c>
      <c r="Y7" s="70" t="s">
        <v>48</v>
      </c>
      <c r="Z7" s="71">
        <f>Z5/Z6</f>
        <v>0.14537720505442261</v>
      </c>
      <c r="AA7" s="71">
        <f>AA5/AA6</f>
        <v>0.16119158067468206</v>
      </c>
      <c r="AB7" s="71">
        <f>AB5/AB6</f>
        <v>0.15891511260389182</v>
      </c>
      <c r="AC7" s="71">
        <f>AC5/AC6</f>
        <v>0.19651903421715303</v>
      </c>
      <c r="AD7" s="72">
        <f>AD5/AD6</f>
        <v>0.1731321718385108</v>
      </c>
    </row>
    <row r="8" spans="21:23" ht="13.5" thickTop="1">
      <c r="U8" t="s">
        <v>154</v>
      </c>
      <c r="V8" s="202">
        <v>95654.87882672058</v>
      </c>
      <c r="W8" s="203">
        <v>71573.15371061883</v>
      </c>
    </row>
    <row r="11" spans="16:18" ht="12.75">
      <c r="P11" t="s">
        <v>14</v>
      </c>
      <c r="Q11">
        <v>665</v>
      </c>
      <c r="R11" s="20">
        <f>Q11/12</f>
        <v>55.416666666666664</v>
      </c>
    </row>
    <row r="12" spans="2:18" ht="12.75">
      <c r="B12" t="s">
        <v>19</v>
      </c>
      <c r="C12" s="33">
        <v>97612859</v>
      </c>
      <c r="P12" t="s">
        <v>15</v>
      </c>
      <c r="Q12">
        <v>834</v>
      </c>
      <c r="R12" s="20">
        <f>Q12/12</f>
        <v>69.5</v>
      </c>
    </row>
    <row r="13" spans="2:3" ht="13.5" thickBot="1">
      <c r="B13" t="s">
        <v>20</v>
      </c>
      <c r="C13" s="20">
        <f>C5</f>
        <v>12283008</v>
      </c>
    </row>
    <row r="14" spans="2:11" ht="13.5" thickTop="1">
      <c r="B14" t="s">
        <v>21</v>
      </c>
      <c r="C14" s="34">
        <f>C12-C13</f>
        <v>85329851</v>
      </c>
      <c r="I14" s="219" t="s">
        <v>33</v>
      </c>
      <c r="J14" s="220"/>
      <c r="K14" s="221"/>
    </row>
    <row r="15" spans="2:11" ht="13.5" thickBot="1">
      <c r="B15" t="s">
        <v>22</v>
      </c>
      <c r="C15">
        <v>220466.11209649502</v>
      </c>
      <c r="I15" s="44">
        <v>2006</v>
      </c>
      <c r="J15" s="45">
        <v>2007</v>
      </c>
      <c r="K15" s="46">
        <v>2008</v>
      </c>
    </row>
    <row r="16" spans="3:21" ht="14.25" thickBot="1" thickTop="1">
      <c r="C16" s="35">
        <f>C15/C14</f>
        <v>0.0025836926879960805</v>
      </c>
      <c r="I16" s="47">
        <v>1580220.887086763</v>
      </c>
      <c r="J16" s="48">
        <v>1768787.4231629046</v>
      </c>
      <c r="K16" s="49">
        <v>973780.91</v>
      </c>
      <c r="P16" s="216" t="s">
        <v>51</v>
      </c>
      <c r="Q16" s="217"/>
      <c r="R16" s="217"/>
      <c r="S16" s="217"/>
      <c r="T16" s="217"/>
      <c r="U16" s="218"/>
    </row>
    <row r="17" spans="16:21" ht="13.5" thickTop="1">
      <c r="P17" s="78"/>
      <c r="Q17" s="79" t="s">
        <v>7</v>
      </c>
      <c r="R17" s="79" t="s">
        <v>8</v>
      </c>
      <c r="S17" s="79" t="s">
        <v>10</v>
      </c>
      <c r="T17" s="79" t="s">
        <v>9</v>
      </c>
      <c r="U17" s="80" t="s">
        <v>11</v>
      </c>
    </row>
    <row r="18" spans="16:21" ht="13.5" thickBot="1">
      <c r="P18" s="23" t="s">
        <v>49</v>
      </c>
      <c r="Q18" s="76">
        <f>C3</f>
        <v>17648</v>
      </c>
      <c r="R18" s="76">
        <v>2664</v>
      </c>
      <c r="S18" s="76">
        <v>2740</v>
      </c>
      <c r="T18" s="76">
        <v>215</v>
      </c>
      <c r="U18" s="77">
        <v>5560</v>
      </c>
    </row>
    <row r="19" spans="2:21" ht="14.25" thickBot="1" thickTop="1">
      <c r="B19" t="s">
        <v>23</v>
      </c>
      <c r="C19" s="36">
        <v>652530.2427158923</v>
      </c>
      <c r="I19" s="219" t="s">
        <v>34</v>
      </c>
      <c r="J19" s="220"/>
      <c r="K19" s="221"/>
      <c r="P19" s="43" t="s">
        <v>50</v>
      </c>
      <c r="Q19" s="73"/>
      <c r="R19" s="74">
        <f>R18/$Q$18</f>
        <v>0.15095194922937444</v>
      </c>
      <c r="S19" s="74">
        <f>S18/$Q$18</f>
        <v>0.15525838621940163</v>
      </c>
      <c r="T19" s="74">
        <f>T18/$Q$18</f>
        <v>0.012182683590208522</v>
      </c>
      <c r="U19" s="75">
        <f>U18/$Q$18</f>
        <v>0.31504986400725293</v>
      </c>
    </row>
    <row r="20" spans="2:11" ht="13.5" thickTop="1">
      <c r="B20" t="s">
        <v>24</v>
      </c>
      <c r="C20" s="37">
        <v>127843.66666666699</v>
      </c>
      <c r="I20" s="50" t="s">
        <v>30</v>
      </c>
      <c r="J20" s="41" t="s">
        <v>31</v>
      </c>
      <c r="K20" s="42" t="s">
        <v>32</v>
      </c>
    </row>
    <row r="21" spans="2:11" ht="13.5" thickBot="1">
      <c r="B21" t="s">
        <v>25</v>
      </c>
      <c r="C21" s="20">
        <f>C3</f>
        <v>17648</v>
      </c>
      <c r="I21" s="51">
        <v>6545962</v>
      </c>
      <c r="J21" s="52">
        <v>6355767</v>
      </c>
      <c r="K21" s="53">
        <v>5996084</v>
      </c>
    </row>
    <row r="22" spans="2:3" ht="13.5" thickTop="1">
      <c r="B22" t="s">
        <v>26</v>
      </c>
      <c r="C22" s="38">
        <f>C20-C21</f>
        <v>110195.66666666699</v>
      </c>
    </row>
    <row r="23" spans="2:3" ht="12.75">
      <c r="B23" t="s">
        <v>27</v>
      </c>
      <c r="C23" s="39">
        <f>C19/C22</f>
        <v>5.921559916595847</v>
      </c>
    </row>
    <row r="24" spans="2:21" ht="12.75">
      <c r="B24" t="s">
        <v>28</v>
      </c>
      <c r="C24" s="39">
        <v>372581.10361691035</v>
      </c>
      <c r="U24">
        <f>(12.49+12.49+5.16)/3</f>
        <v>10.046666666666667</v>
      </c>
    </row>
    <row r="25" spans="2:3" ht="12.75">
      <c r="B25" t="s">
        <v>29</v>
      </c>
      <c r="C25" s="40">
        <f>C24/C21</f>
        <v>21.111803242118672</v>
      </c>
    </row>
    <row r="26" ht="13.5" thickBot="1"/>
    <row r="27" spans="2:4" ht="13.5" thickTop="1">
      <c r="B27" s="225" t="s">
        <v>67</v>
      </c>
      <c r="C27" s="226"/>
      <c r="D27" s="227"/>
    </row>
    <row r="28" spans="2:4" ht="63.75">
      <c r="B28" s="81" t="s">
        <v>6</v>
      </c>
      <c r="C28" s="82" t="s">
        <v>53</v>
      </c>
      <c r="D28" s="83" t="s">
        <v>52</v>
      </c>
    </row>
    <row r="29" spans="2:4" ht="12.75">
      <c r="B29" s="88" t="s">
        <v>9</v>
      </c>
      <c r="C29" s="84">
        <f>(5.16+12.49+12.49)/3</f>
        <v>10.046666666666667</v>
      </c>
      <c r="D29" s="85">
        <f>C3*C29</f>
        <v>177303.57333333333</v>
      </c>
    </row>
    <row r="30" spans="2:4" ht="13.5" thickBot="1">
      <c r="B30" s="89" t="s">
        <v>54</v>
      </c>
      <c r="C30" s="86">
        <f>U4</f>
        <v>4.737874901896516</v>
      </c>
      <c r="D30" s="87">
        <f>C3*C30</f>
        <v>83614.01626866971</v>
      </c>
    </row>
    <row r="31" ht="13.5" thickTop="1"/>
    <row r="33" ht="13.5" thickBot="1"/>
    <row r="34" spans="2:8" ht="13.5" thickTop="1">
      <c r="B34" s="228" t="s">
        <v>55</v>
      </c>
      <c r="C34" s="229"/>
      <c r="D34" s="229"/>
      <c r="E34" s="229"/>
      <c r="F34" s="229"/>
      <c r="G34" s="229"/>
      <c r="H34" s="230"/>
    </row>
    <row r="35" spans="2:8" ht="12.75">
      <c r="B35" s="90"/>
      <c r="C35" s="91"/>
      <c r="D35" s="92">
        <v>2004</v>
      </c>
      <c r="E35" s="92">
        <v>2005</v>
      </c>
      <c r="F35" s="92">
        <v>2006</v>
      </c>
      <c r="G35" s="92">
        <v>2007</v>
      </c>
      <c r="H35" s="93">
        <v>2008</v>
      </c>
    </row>
    <row r="36" spans="2:8" ht="12.75">
      <c r="B36" s="97" t="s">
        <v>58</v>
      </c>
      <c r="C36" s="94" t="s">
        <v>45</v>
      </c>
      <c r="D36" s="95">
        <v>184784.45250946374</v>
      </c>
      <c r="E36" s="95">
        <v>496534.38190702896</v>
      </c>
      <c r="F36" s="95">
        <v>492477.44707876054</v>
      </c>
      <c r="G36" s="95">
        <v>436032.11083609745</v>
      </c>
      <c r="H36" s="96">
        <v>536337.6680131555</v>
      </c>
    </row>
    <row r="37" spans="2:8" ht="12.75">
      <c r="B37" s="101"/>
      <c r="C37" s="98"/>
      <c r="D37" s="99"/>
      <c r="E37" s="100"/>
      <c r="F37" s="100"/>
      <c r="G37" s="100"/>
      <c r="H37" s="96"/>
    </row>
    <row r="38" spans="2:8" ht="13.5" thickBot="1">
      <c r="B38" s="106" t="s">
        <v>57</v>
      </c>
      <c r="C38" s="102" t="s">
        <v>45</v>
      </c>
      <c r="D38" s="103">
        <v>61529.679492219606</v>
      </c>
      <c r="E38" s="103">
        <v>256695.85939960947</v>
      </c>
      <c r="F38" s="103">
        <v>270688.5348004139</v>
      </c>
      <c r="G38" s="103">
        <v>630622.9847200247</v>
      </c>
      <c r="H38" s="104">
        <v>2198470.644299651</v>
      </c>
    </row>
    <row r="39" spans="2:8" ht="14.25" thickBot="1" thickTop="1">
      <c r="B39" s="107"/>
      <c r="C39" s="94"/>
      <c r="D39" s="95"/>
      <c r="E39" s="95"/>
      <c r="F39" s="95"/>
      <c r="G39" s="95"/>
      <c r="H39" s="100"/>
    </row>
    <row r="40" spans="2:8" ht="13.5" thickTop="1">
      <c r="B40" s="222" t="s">
        <v>149</v>
      </c>
      <c r="C40" s="223"/>
      <c r="D40" s="223"/>
      <c r="E40" s="223"/>
      <c r="F40" s="223"/>
      <c r="G40" s="223"/>
      <c r="H40" s="224"/>
    </row>
    <row r="41" spans="2:8" ht="12.75" customHeight="1">
      <c r="B41" s="108"/>
      <c r="C41" s="231" t="s">
        <v>62</v>
      </c>
      <c r="D41" s="231"/>
      <c r="E41" s="231"/>
      <c r="F41" s="231" t="s">
        <v>148</v>
      </c>
      <c r="G41" s="231"/>
      <c r="H41" s="232"/>
    </row>
    <row r="42" spans="2:8" ht="12.75">
      <c r="B42" s="108"/>
      <c r="C42" s="116" t="s">
        <v>61</v>
      </c>
      <c r="D42" s="116" t="s">
        <v>45</v>
      </c>
      <c r="E42" s="116" t="s">
        <v>60</v>
      </c>
      <c r="F42" s="116"/>
      <c r="G42" s="116" t="s">
        <v>45</v>
      </c>
      <c r="H42" s="117" t="s">
        <v>60</v>
      </c>
    </row>
    <row r="43" spans="2:9" ht="12.75">
      <c r="B43" s="23" t="str">
        <f>B36</f>
        <v>Limited Income</v>
      </c>
      <c r="C43" s="118">
        <v>17648</v>
      </c>
      <c r="D43" s="110">
        <f>AVERAGE(D36:E36)</f>
        <v>340659.41720824636</v>
      </c>
      <c r="E43" s="111">
        <f>D43/C43</f>
        <v>19.303004148246053</v>
      </c>
      <c r="F43" s="111"/>
      <c r="G43" s="110">
        <f>AVERAGE(G36:H36)</f>
        <v>486184.8894246265</v>
      </c>
      <c r="H43" s="114">
        <f>G43/C43</f>
        <v>27.549007786980194</v>
      </c>
      <c r="I43" s="201">
        <f>(H43-E43)/E43</f>
        <v>0.42718758051364797</v>
      </c>
    </row>
    <row r="44" spans="2:9" ht="13.5" thickBot="1">
      <c r="B44" s="43" t="s">
        <v>59</v>
      </c>
      <c r="C44" s="119">
        <f>111053-C43</f>
        <v>93405</v>
      </c>
      <c r="D44" s="112">
        <f>AVERAGE(D38:E38)</f>
        <v>159112.76944591454</v>
      </c>
      <c r="E44" s="113">
        <f>D44/C44</f>
        <v>1.703471649760875</v>
      </c>
      <c r="F44" s="113"/>
      <c r="G44" s="112">
        <f>AVERAGE(G38:H38)</f>
        <v>1414546.814509838</v>
      </c>
      <c r="H44" s="115">
        <f>G44/C44</f>
        <v>15.144230121619163</v>
      </c>
      <c r="I44" s="201">
        <f>(H44-E44)/E44</f>
        <v>7.890215533522402</v>
      </c>
    </row>
    <row r="45" ht="13.5" thickTop="1"/>
    <row r="47" ht="13.5" thickBot="1"/>
    <row r="48" spans="2:8" ht="13.5" thickTop="1">
      <c r="B48" s="228" t="s">
        <v>63</v>
      </c>
      <c r="C48" s="229"/>
      <c r="D48" s="229"/>
      <c r="E48" s="229"/>
      <c r="F48" s="229"/>
      <c r="G48" s="229"/>
      <c r="H48" s="230"/>
    </row>
    <row r="49" spans="2:8" ht="12.75">
      <c r="B49" s="120"/>
      <c r="C49" s="121"/>
      <c r="D49" s="122">
        <v>2004</v>
      </c>
      <c r="E49" s="122">
        <v>2005</v>
      </c>
      <c r="F49" s="122">
        <v>2006</v>
      </c>
      <c r="G49" s="122">
        <v>2007</v>
      </c>
      <c r="H49" s="123">
        <v>2008</v>
      </c>
    </row>
    <row r="50" spans="2:8" ht="12.75" customHeight="1">
      <c r="B50" s="233"/>
      <c r="C50" s="125" t="s">
        <v>56</v>
      </c>
      <c r="D50" s="124">
        <v>5011.5</v>
      </c>
      <c r="E50" s="124">
        <v>110788.07</v>
      </c>
      <c r="F50" s="124">
        <v>57503.196498261685</v>
      </c>
      <c r="G50" s="124">
        <v>58549.189819061045</v>
      </c>
      <c r="H50" s="124">
        <v>71982.8454008039</v>
      </c>
    </row>
    <row r="51" spans="2:8" ht="12.75">
      <c r="B51" s="233"/>
      <c r="C51" s="105" t="s">
        <v>57</v>
      </c>
      <c r="D51" s="76">
        <v>80033.8</v>
      </c>
      <c r="E51" s="76">
        <v>118170</v>
      </c>
      <c r="F51" s="76">
        <v>172403.69055352552</v>
      </c>
      <c r="G51" s="76">
        <v>221059.362096495</v>
      </c>
      <c r="H51" s="76">
        <v>552156.8879116469</v>
      </c>
    </row>
    <row r="53" ht="13.5" thickBot="1"/>
    <row r="54" spans="2:7" ht="13.5" thickTop="1">
      <c r="B54" s="222" t="s">
        <v>147</v>
      </c>
      <c r="C54" s="223"/>
      <c r="D54" s="223"/>
      <c r="E54" s="223"/>
      <c r="F54" s="223"/>
      <c r="G54" s="224"/>
    </row>
    <row r="55" spans="2:7" ht="12.75">
      <c r="B55" s="108"/>
      <c r="C55" s="109"/>
      <c r="D55" s="231" t="s">
        <v>152</v>
      </c>
      <c r="E55" s="231"/>
      <c r="F55" s="231" t="s">
        <v>153</v>
      </c>
      <c r="G55" s="232"/>
    </row>
    <row r="56" spans="2:7" ht="12.75">
      <c r="B56" s="108"/>
      <c r="C56" s="116" t="s">
        <v>61</v>
      </c>
      <c r="D56" s="116" t="s">
        <v>45</v>
      </c>
      <c r="E56" s="116" t="s">
        <v>60</v>
      </c>
      <c r="F56" s="116" t="s">
        <v>45</v>
      </c>
      <c r="G56" s="117" t="s">
        <v>60</v>
      </c>
    </row>
    <row r="57" spans="2:8" ht="12.75">
      <c r="B57" s="23" t="s">
        <v>58</v>
      </c>
      <c r="C57" s="199">
        <v>17648</v>
      </c>
      <c r="D57" s="126">
        <f>AVERAGE(D50:E50)</f>
        <v>57899.785</v>
      </c>
      <c r="E57" s="128">
        <f>D57/C57</f>
        <v>3.2808128399818677</v>
      </c>
      <c r="F57" s="126">
        <f>AVERAGE(G50:H50)</f>
        <v>65266.017609932474</v>
      </c>
      <c r="G57" s="130">
        <f>F57/C57</f>
        <v>3.6982104266734175</v>
      </c>
      <c r="H57" s="201">
        <f>(G57-E57)/E57</f>
        <v>0.1272238335588374</v>
      </c>
    </row>
    <row r="58" spans="2:8" ht="13.5" thickBot="1">
      <c r="B58" s="43" t="s">
        <v>59</v>
      </c>
      <c r="C58" s="200">
        <f>111053-C57</f>
        <v>93405</v>
      </c>
      <c r="D58" s="127">
        <f>AVERAGE(D51:E51)</f>
        <v>99101.9</v>
      </c>
      <c r="E58" s="129">
        <f>D58/C58</f>
        <v>1.0609913816176864</v>
      </c>
      <c r="F58" s="127">
        <f>AVERAGE(G51:H51)</f>
        <v>386608.1250040709</v>
      </c>
      <c r="G58" s="131">
        <f>F58/C58</f>
        <v>4.139051710337465</v>
      </c>
      <c r="H58" s="201">
        <f>(G58-E58)/E58</f>
        <v>2.901117183465412</v>
      </c>
    </row>
    <row r="59" ht="14.25" thickBot="1" thickTop="1"/>
    <row r="60" spans="2:7" ht="13.5" thickTop="1">
      <c r="B60" s="222" t="s">
        <v>150</v>
      </c>
      <c r="C60" s="223"/>
      <c r="D60" s="223"/>
      <c r="E60" s="223"/>
      <c r="F60" s="223"/>
      <c r="G60" s="224"/>
    </row>
    <row r="61" spans="2:7" ht="12.75">
      <c r="B61" s="108"/>
      <c r="C61" s="109"/>
      <c r="D61" s="231" t="s">
        <v>152</v>
      </c>
      <c r="E61" s="231"/>
      <c r="F61" s="231" t="s">
        <v>151</v>
      </c>
      <c r="G61" s="232"/>
    </row>
    <row r="62" spans="2:7" ht="12.75">
      <c r="B62" s="108"/>
      <c r="C62" s="116" t="s">
        <v>61</v>
      </c>
      <c r="D62" s="116" t="s">
        <v>45</v>
      </c>
      <c r="E62" s="116" t="s">
        <v>60</v>
      </c>
      <c r="F62" s="116" t="s">
        <v>45</v>
      </c>
      <c r="G62" s="117" t="s">
        <v>60</v>
      </c>
    </row>
    <row r="63" spans="2:7" ht="12.75">
      <c r="B63" s="23" t="s">
        <v>58</v>
      </c>
      <c r="C63" s="199">
        <v>17648</v>
      </c>
      <c r="D63" s="195">
        <f>AVERAGE(D36:E36)</f>
        <v>340659.41720824636</v>
      </c>
      <c r="E63" s="84">
        <f>D63/C63</f>
        <v>19.303004148246053</v>
      </c>
      <c r="F63" s="195">
        <f>AVERAGE(G36:H36)</f>
        <v>486184.8894246265</v>
      </c>
      <c r="G63" s="197">
        <f>F63/C63</f>
        <v>27.549007786980194</v>
      </c>
    </row>
    <row r="64" spans="2:7" ht="13.5" thickBot="1">
      <c r="B64" s="43" t="s">
        <v>59</v>
      </c>
      <c r="C64" s="200">
        <f>111053-C63</f>
        <v>93405</v>
      </c>
      <c r="D64" s="196">
        <f>AVERAGE(D38:E38)</f>
        <v>159112.76944591454</v>
      </c>
      <c r="E64" s="86">
        <f>D64/C64</f>
        <v>1.703471649760875</v>
      </c>
      <c r="F64" s="196">
        <f>AVERAGE(G38:H38)</f>
        <v>1414546.814509838</v>
      </c>
      <c r="G64" s="198">
        <f>F64/C64</f>
        <v>15.144230121619163</v>
      </c>
    </row>
    <row r="65" ht="13.5" thickTop="1"/>
  </sheetData>
  <mergeCells count="22">
    <mergeCell ref="D61:E61"/>
    <mergeCell ref="F61:G61"/>
    <mergeCell ref="B60:G60"/>
    <mergeCell ref="C41:E41"/>
    <mergeCell ref="F41:H41"/>
    <mergeCell ref="D55:E55"/>
    <mergeCell ref="F55:G55"/>
    <mergeCell ref="B50:B51"/>
    <mergeCell ref="B48:H48"/>
    <mergeCell ref="B54:G54"/>
    <mergeCell ref="P16:U16"/>
    <mergeCell ref="P2:R2"/>
    <mergeCell ref="I14:K14"/>
    <mergeCell ref="B40:H40"/>
    <mergeCell ref="I19:K19"/>
    <mergeCell ref="B27:D27"/>
    <mergeCell ref="B34:H34"/>
    <mergeCell ref="Y2:AD2"/>
    <mergeCell ref="Z3:AC3"/>
    <mergeCell ref="B2:C2"/>
    <mergeCell ref="E2:G2"/>
    <mergeCell ref="T2:W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2" width="9.57421875" style="0" customWidth="1"/>
    <col min="3" max="3" width="12.00390625" style="0" customWidth="1"/>
    <col min="4" max="4" width="11.28125" style="0" bestFit="1" customWidth="1"/>
    <col min="5" max="5" width="10.421875" style="0" bestFit="1" customWidth="1"/>
    <col min="6" max="6" width="11.57421875" style="0" bestFit="1" customWidth="1"/>
  </cols>
  <sheetData>
    <row r="1" ht="13.5" thickBot="1"/>
    <row r="2" spans="1:6" ht="13.5" thickTop="1">
      <c r="A2" s="204" t="s">
        <v>38</v>
      </c>
      <c r="B2" s="205"/>
      <c r="C2" s="205"/>
      <c r="D2" s="205"/>
      <c r="E2" s="205"/>
      <c r="F2" s="206"/>
    </row>
    <row r="3" spans="1:6" ht="12.75" customHeight="1">
      <c r="A3" s="60"/>
      <c r="B3" s="207" t="s">
        <v>39</v>
      </c>
      <c r="C3" s="207"/>
      <c r="D3" s="207"/>
      <c r="E3" s="207"/>
      <c r="F3" s="61"/>
    </row>
    <row r="4" spans="1:6" ht="25.5">
      <c r="A4" s="60" t="s">
        <v>40</v>
      </c>
      <c r="B4" s="62" t="s">
        <v>41</v>
      </c>
      <c r="C4" s="62" t="s">
        <v>42</v>
      </c>
      <c r="D4" s="62" t="s">
        <v>43</v>
      </c>
      <c r="E4" s="62" t="s">
        <v>44</v>
      </c>
      <c r="F4" s="63" t="s">
        <v>45</v>
      </c>
    </row>
    <row r="5" spans="1:6" ht="12.75">
      <c r="A5" s="64" t="s">
        <v>46</v>
      </c>
      <c r="B5" s="65">
        <v>2324</v>
      </c>
      <c r="C5" s="65">
        <v>15324</v>
      </c>
      <c r="D5" s="65">
        <f>SUM(B5:C5)</f>
        <v>17648</v>
      </c>
      <c r="E5" s="65">
        <v>13267</v>
      </c>
      <c r="F5" s="66">
        <f>D5+E5</f>
        <v>30915</v>
      </c>
    </row>
    <row r="6" spans="1:6" ht="13.5" customHeight="1">
      <c r="A6" s="67" t="s">
        <v>47</v>
      </c>
      <c r="B6" s="68">
        <v>15986</v>
      </c>
      <c r="C6" s="68">
        <v>95067</v>
      </c>
      <c r="D6" s="68">
        <f>B6+C6</f>
        <v>111053</v>
      </c>
      <c r="E6" s="68">
        <v>67510</v>
      </c>
      <c r="F6" s="69">
        <f>D6+E6</f>
        <v>178563</v>
      </c>
    </row>
    <row r="7" spans="1:6" ht="13.5" thickBot="1">
      <c r="A7" s="70" t="s">
        <v>48</v>
      </c>
      <c r="B7" s="71">
        <f>B5/B6</f>
        <v>0.14537720505442261</v>
      </c>
      <c r="C7" s="71">
        <f>C5/C6</f>
        <v>0.16119158067468206</v>
      </c>
      <c r="D7" s="71">
        <f>D5/D6</f>
        <v>0.15891511260389182</v>
      </c>
      <c r="E7" s="71">
        <f>E5/E6</f>
        <v>0.19651903421715303</v>
      </c>
      <c r="F7" s="72">
        <f>F5/F6</f>
        <v>0.1731321718385108</v>
      </c>
    </row>
    <row r="8" ht="13.5" thickTop="1"/>
  </sheetData>
  <mergeCells count="2">
    <mergeCell ref="A2:F2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zoomScaleSheetLayoutView="152" workbookViewId="0" topLeftCell="E6">
      <selection activeCell="J29" sqref="J29"/>
    </sheetView>
  </sheetViews>
  <sheetFormatPr defaultColWidth="9.140625" defaultRowHeight="12.75"/>
  <cols>
    <col min="1" max="1" width="20.8515625" style="132" customWidth="1"/>
    <col min="2" max="7" width="10.421875" style="132" customWidth="1"/>
    <col min="8" max="8" width="20.140625" style="132" bestFit="1" customWidth="1"/>
    <col min="9" max="13" width="10.421875" style="132" customWidth="1"/>
    <col min="14" max="14" width="17.140625" style="132" customWidth="1"/>
    <col min="15" max="16384" width="9.140625" style="133" customWidth="1"/>
  </cols>
  <sheetData>
    <row r="1" ht="12.75" hidden="1"/>
    <row r="2" ht="12.75" hidden="1"/>
    <row r="3" spans="8:9" ht="12.75">
      <c r="H3" s="134" t="s">
        <v>13</v>
      </c>
      <c r="I3" s="135">
        <v>696</v>
      </c>
    </row>
    <row r="4" spans="8:9" ht="12.75">
      <c r="H4" s="136" t="s">
        <v>0</v>
      </c>
      <c r="I4" s="137">
        <v>696</v>
      </c>
    </row>
    <row r="5" spans="1:14" ht="13.5" thickBot="1">
      <c r="A5" s="138"/>
      <c r="B5" s="139" t="s">
        <v>72</v>
      </c>
      <c r="C5" s="140"/>
      <c r="D5" s="140"/>
      <c r="E5" s="140"/>
      <c r="F5" s="140"/>
      <c r="G5" s="140"/>
      <c r="H5" s="141" t="s">
        <v>18</v>
      </c>
      <c r="I5" s="142">
        <v>828</v>
      </c>
      <c r="J5" s="140"/>
      <c r="K5" s="140"/>
      <c r="L5" s="140"/>
      <c r="M5" s="140"/>
      <c r="N5" s="143"/>
    </row>
    <row r="6" spans="1:14" ht="13.5" thickTop="1">
      <c r="A6" s="144"/>
      <c r="B6" s="145" t="s">
        <v>73</v>
      </c>
      <c r="C6" s="145" t="s">
        <v>74</v>
      </c>
      <c r="D6" s="145" t="s">
        <v>75</v>
      </c>
      <c r="E6" s="145" t="s">
        <v>76</v>
      </c>
      <c r="F6" s="145" t="s">
        <v>77</v>
      </c>
      <c r="G6" s="145" t="s">
        <v>78</v>
      </c>
      <c r="H6" s="145" t="s">
        <v>79</v>
      </c>
      <c r="I6" s="145" t="s">
        <v>80</v>
      </c>
      <c r="J6" s="145" t="s">
        <v>81</v>
      </c>
      <c r="K6" s="145" t="s">
        <v>82</v>
      </c>
      <c r="L6" s="145" t="s">
        <v>83</v>
      </c>
      <c r="M6" s="145" t="s">
        <v>84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I3</f>
        <v>696</v>
      </c>
    </row>
    <row r="9" spans="1:14" ht="12.75">
      <c r="A9" s="146" t="s">
        <v>87</v>
      </c>
      <c r="B9" s="151">
        <f aca="true" t="shared" si="1" ref="B9:M9">0.02039*0.96/1.75</f>
        <v>0.011185371428571428</v>
      </c>
      <c r="C9" s="151">
        <f t="shared" si="1"/>
        <v>0.011185371428571428</v>
      </c>
      <c r="D9" s="151">
        <f t="shared" si="1"/>
        <v>0.011185371428571428</v>
      </c>
      <c r="E9" s="151">
        <f t="shared" si="1"/>
        <v>0.011185371428571428</v>
      </c>
      <c r="F9" s="151">
        <f t="shared" si="1"/>
        <v>0.011185371428571428</v>
      </c>
      <c r="G9" s="151">
        <f t="shared" si="1"/>
        <v>0.011185371428571428</v>
      </c>
      <c r="H9" s="151">
        <f t="shared" si="1"/>
        <v>0.011185371428571428</v>
      </c>
      <c r="I9" s="151">
        <f t="shared" si="1"/>
        <v>0.011185371428571428</v>
      </c>
      <c r="J9" s="151">
        <f t="shared" si="1"/>
        <v>0.011185371428571428</v>
      </c>
      <c r="K9" s="151">
        <f t="shared" si="1"/>
        <v>0.011185371428571428</v>
      </c>
      <c r="L9" s="151">
        <f t="shared" si="1"/>
        <v>0.011185371428571428</v>
      </c>
      <c r="M9" s="151">
        <f t="shared" si="1"/>
        <v>0.011185371428571428</v>
      </c>
      <c r="N9" s="150"/>
    </row>
    <row r="10" spans="1:14" ht="12.75">
      <c r="A10" s="146" t="s">
        <v>88</v>
      </c>
      <c r="B10" s="152">
        <f aca="true" t="shared" si="2" ref="B10:M10">B8*B9</f>
        <v>1.4189956665401293</v>
      </c>
      <c r="C10" s="152">
        <f t="shared" si="2"/>
        <v>1.3439156933778251</v>
      </c>
      <c r="D10" s="152">
        <f t="shared" si="2"/>
        <v>0.9699880978204334</v>
      </c>
      <c r="E10" s="152">
        <f t="shared" si="2"/>
        <v>0.7180663343315329</v>
      </c>
      <c r="F10" s="152">
        <f t="shared" si="2"/>
        <v>0.44074307167029125</v>
      </c>
      <c r="G10" s="152">
        <f t="shared" si="2"/>
        <v>0.26323123477751337</v>
      </c>
      <c r="H10" s="152">
        <f t="shared" si="2"/>
        <v>0.17530377673148326</v>
      </c>
      <c r="I10" s="152">
        <f t="shared" si="2"/>
        <v>0.1417043153304915</v>
      </c>
      <c r="J10" s="152">
        <f t="shared" si="2"/>
        <v>0.1621955750431726</v>
      </c>
      <c r="K10" s="152">
        <f t="shared" si="2"/>
        <v>0.29708553582478997</v>
      </c>
      <c r="L10" s="152">
        <f t="shared" si="2"/>
        <v>0.6318241107313638</v>
      </c>
      <c r="M10" s="152">
        <f t="shared" si="2"/>
        <v>1.2219651021066882</v>
      </c>
      <c r="N10" s="153">
        <f>SUM(B10:M10)</f>
        <v>7.7850185142857145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I4</f>
        <v>696</v>
      </c>
    </row>
    <row r="12" spans="1:14" ht="12.75">
      <c r="A12" s="146" t="s">
        <v>87</v>
      </c>
      <c r="B12" s="151">
        <f aca="true" t="shared" si="4" ref="B12:M12">B9</f>
        <v>0.011185371428571428</v>
      </c>
      <c r="C12" s="151">
        <f t="shared" si="4"/>
        <v>0.011185371428571428</v>
      </c>
      <c r="D12" s="151">
        <f t="shared" si="4"/>
        <v>0.011185371428571428</v>
      </c>
      <c r="E12" s="151">
        <f t="shared" si="4"/>
        <v>0.011185371428571428</v>
      </c>
      <c r="F12" s="151">
        <f t="shared" si="4"/>
        <v>0.011185371428571428</v>
      </c>
      <c r="G12" s="151">
        <f t="shared" si="4"/>
        <v>0.011185371428571428</v>
      </c>
      <c r="H12" s="151">
        <f t="shared" si="4"/>
        <v>0.011185371428571428</v>
      </c>
      <c r="I12" s="151">
        <f t="shared" si="4"/>
        <v>0.011185371428571428</v>
      </c>
      <c r="J12" s="151">
        <f t="shared" si="4"/>
        <v>0.011185371428571428</v>
      </c>
      <c r="K12" s="151">
        <f t="shared" si="4"/>
        <v>0.011185371428571428</v>
      </c>
      <c r="L12" s="151">
        <f t="shared" si="4"/>
        <v>0.011185371428571428</v>
      </c>
      <c r="M12" s="151">
        <f t="shared" si="4"/>
        <v>0.011185371428571428</v>
      </c>
      <c r="N12" s="150"/>
    </row>
    <row r="13" spans="1:14" ht="12.75">
      <c r="A13" s="146" t="s">
        <v>88</v>
      </c>
      <c r="B13" s="152">
        <f aca="true" t="shared" si="5" ref="B13:M13">B11*B12</f>
        <v>1.4189956665401293</v>
      </c>
      <c r="C13" s="152">
        <f t="shared" si="5"/>
        <v>1.3439156933778251</v>
      </c>
      <c r="D13" s="152">
        <f t="shared" si="5"/>
        <v>0.9699880978204334</v>
      </c>
      <c r="E13" s="152">
        <f t="shared" si="5"/>
        <v>0.7180663343315329</v>
      </c>
      <c r="F13" s="152">
        <f t="shared" si="5"/>
        <v>0.44074307167029125</v>
      </c>
      <c r="G13" s="152">
        <f t="shared" si="5"/>
        <v>0.26323123477751337</v>
      </c>
      <c r="H13" s="152">
        <f t="shared" si="5"/>
        <v>0.17530377673148326</v>
      </c>
      <c r="I13" s="152">
        <f t="shared" si="5"/>
        <v>0.1417043153304915</v>
      </c>
      <c r="J13" s="152">
        <f t="shared" si="5"/>
        <v>0.1621955750431726</v>
      </c>
      <c r="K13" s="152">
        <f t="shared" si="5"/>
        <v>0.29708553582478997</v>
      </c>
      <c r="L13" s="152">
        <f t="shared" si="5"/>
        <v>0.6318241107313638</v>
      </c>
      <c r="M13" s="152">
        <f t="shared" si="5"/>
        <v>1.2219651021066882</v>
      </c>
      <c r="N13" s="153">
        <f>SUM(B13:M13)</f>
        <v>7.7850185142857145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I5</f>
        <v>828</v>
      </c>
    </row>
    <row r="15" spans="1:14" ht="13.5" thickTop="1">
      <c r="A15" s="146" t="s">
        <v>87</v>
      </c>
      <c r="B15" s="151">
        <f aca="true" t="shared" si="7" ref="B15:M15">B9</f>
        <v>0.011185371428571428</v>
      </c>
      <c r="C15" s="151">
        <f t="shared" si="7"/>
        <v>0.011185371428571428</v>
      </c>
      <c r="D15" s="151">
        <f t="shared" si="7"/>
        <v>0.011185371428571428</v>
      </c>
      <c r="E15" s="151">
        <f t="shared" si="7"/>
        <v>0.011185371428571428</v>
      </c>
      <c r="F15" s="151">
        <f t="shared" si="7"/>
        <v>0.011185371428571428</v>
      </c>
      <c r="G15" s="151">
        <f t="shared" si="7"/>
        <v>0.011185371428571428</v>
      </c>
      <c r="H15" s="151">
        <f t="shared" si="7"/>
        <v>0.011185371428571428</v>
      </c>
      <c r="I15" s="151">
        <f t="shared" si="7"/>
        <v>0.011185371428571428</v>
      </c>
      <c r="J15" s="151">
        <f t="shared" si="7"/>
        <v>0.011185371428571428</v>
      </c>
      <c r="K15" s="151">
        <f t="shared" si="7"/>
        <v>0.011185371428571428</v>
      </c>
      <c r="L15" s="151">
        <f t="shared" si="7"/>
        <v>0.011185371428571428</v>
      </c>
      <c r="M15" s="151">
        <f t="shared" si="7"/>
        <v>0.011185371428571428</v>
      </c>
      <c r="N15" s="150"/>
    </row>
    <row r="16" spans="1:14" ht="12.75">
      <c r="A16" s="146" t="s">
        <v>88</v>
      </c>
      <c r="B16" s="152">
        <f aca="true" t="shared" si="8" ref="B16:M16">B15*B14</f>
        <v>1.6881155343322227</v>
      </c>
      <c r="C16" s="152">
        <f t="shared" si="8"/>
        <v>1.5987962559149986</v>
      </c>
      <c r="D16" s="152">
        <f t="shared" si="8"/>
        <v>1.153951357751895</v>
      </c>
      <c r="E16" s="152">
        <f t="shared" si="8"/>
        <v>0.8542513287737202</v>
      </c>
      <c r="F16" s="152">
        <f t="shared" si="8"/>
        <v>0.5243322749181051</v>
      </c>
      <c r="G16" s="152">
        <f t="shared" si="8"/>
        <v>0.3131543999939383</v>
      </c>
      <c r="H16" s="152">
        <f t="shared" si="8"/>
        <v>0.2085510447322818</v>
      </c>
      <c r="I16" s="152">
        <f t="shared" si="8"/>
        <v>0.16857927168627437</v>
      </c>
      <c r="J16" s="152">
        <f t="shared" si="8"/>
        <v>0.1929568047927398</v>
      </c>
      <c r="K16" s="152">
        <f t="shared" si="8"/>
        <v>0.35342934434328466</v>
      </c>
      <c r="L16" s="152">
        <f t="shared" si="8"/>
        <v>0.7516528213873122</v>
      </c>
      <c r="M16" s="152">
        <f t="shared" si="8"/>
        <v>1.4537171042303705</v>
      </c>
      <c r="N16" s="153">
        <f>SUM(B16:M16)</f>
        <v>9.261487542857143</v>
      </c>
    </row>
    <row r="18" spans="1:14" s="156" customFormat="1" ht="12.75">
      <c r="A18" s="154" t="s">
        <v>13</v>
      </c>
      <c r="B18" s="155">
        <f aca="true" t="shared" si="9" ref="B18:M18">B10</f>
        <v>1.4189956665401293</v>
      </c>
      <c r="C18" s="155">
        <f t="shared" si="9"/>
        <v>1.3439156933778251</v>
      </c>
      <c r="D18" s="155">
        <f t="shared" si="9"/>
        <v>0.9699880978204334</v>
      </c>
      <c r="E18" s="155">
        <f t="shared" si="9"/>
        <v>0.7180663343315329</v>
      </c>
      <c r="F18" s="155">
        <f t="shared" si="9"/>
        <v>0.44074307167029125</v>
      </c>
      <c r="G18" s="155">
        <f t="shared" si="9"/>
        <v>0.26323123477751337</v>
      </c>
      <c r="H18" s="155">
        <f t="shared" si="9"/>
        <v>0.17530377673148326</v>
      </c>
      <c r="I18" s="155">
        <f t="shared" si="9"/>
        <v>0.1417043153304915</v>
      </c>
      <c r="J18" s="155">
        <f t="shared" si="9"/>
        <v>0.1621955750431726</v>
      </c>
      <c r="K18" s="155">
        <f t="shared" si="9"/>
        <v>0.29708553582478997</v>
      </c>
      <c r="L18" s="155">
        <f t="shared" si="9"/>
        <v>0.6318241107313638</v>
      </c>
      <c r="M18" s="155">
        <f t="shared" si="9"/>
        <v>1.2219651021066882</v>
      </c>
      <c r="N18" s="155">
        <f>SUM(A18:M18)</f>
        <v>7.7850185142857145</v>
      </c>
    </row>
    <row r="19" spans="1:14" s="156" customFormat="1" ht="12.75">
      <c r="A19" s="157" t="s">
        <v>0</v>
      </c>
      <c r="B19" s="155">
        <f aca="true" t="shared" si="10" ref="B19:M19">B13</f>
        <v>1.4189956665401293</v>
      </c>
      <c r="C19" s="155">
        <f t="shared" si="10"/>
        <v>1.3439156933778251</v>
      </c>
      <c r="D19" s="155">
        <f t="shared" si="10"/>
        <v>0.9699880978204334</v>
      </c>
      <c r="E19" s="155">
        <f t="shared" si="10"/>
        <v>0.7180663343315329</v>
      </c>
      <c r="F19" s="155">
        <f t="shared" si="10"/>
        <v>0.44074307167029125</v>
      </c>
      <c r="G19" s="155">
        <f t="shared" si="10"/>
        <v>0.26323123477751337</v>
      </c>
      <c r="H19" s="155">
        <f t="shared" si="10"/>
        <v>0.17530377673148326</v>
      </c>
      <c r="I19" s="155">
        <f t="shared" si="10"/>
        <v>0.1417043153304915</v>
      </c>
      <c r="J19" s="155">
        <f t="shared" si="10"/>
        <v>0.1621955750431726</v>
      </c>
      <c r="K19" s="155">
        <f t="shared" si="10"/>
        <v>0.29708553582478997</v>
      </c>
      <c r="L19" s="155">
        <f t="shared" si="10"/>
        <v>0.6318241107313638</v>
      </c>
      <c r="M19" s="155">
        <f t="shared" si="10"/>
        <v>1.2219651021066882</v>
      </c>
      <c r="N19" s="155">
        <f>SUM(A19:M19)</f>
        <v>7.7850185142857145</v>
      </c>
    </row>
    <row r="20" spans="1:14" s="156" customFormat="1" ht="13.5" thickBot="1">
      <c r="A20" s="158" t="s">
        <v>18</v>
      </c>
      <c r="B20" s="155">
        <f aca="true" t="shared" si="11" ref="B20:M20">B16</f>
        <v>1.6881155343322227</v>
      </c>
      <c r="C20" s="155">
        <f t="shared" si="11"/>
        <v>1.5987962559149986</v>
      </c>
      <c r="D20" s="155">
        <f t="shared" si="11"/>
        <v>1.153951357751895</v>
      </c>
      <c r="E20" s="155">
        <f t="shared" si="11"/>
        <v>0.8542513287737202</v>
      </c>
      <c r="F20" s="155">
        <f t="shared" si="11"/>
        <v>0.5243322749181051</v>
      </c>
      <c r="G20" s="155">
        <f t="shared" si="11"/>
        <v>0.3131543999939383</v>
      </c>
      <c r="H20" s="155">
        <f t="shared" si="11"/>
        <v>0.2085510447322818</v>
      </c>
      <c r="I20" s="155">
        <f t="shared" si="11"/>
        <v>0.16857927168627437</v>
      </c>
      <c r="J20" s="155">
        <f t="shared" si="11"/>
        <v>0.1929568047927398</v>
      </c>
      <c r="K20" s="155">
        <f t="shared" si="11"/>
        <v>0.35342934434328466</v>
      </c>
      <c r="L20" s="155">
        <f t="shared" si="11"/>
        <v>0.7516528213873122</v>
      </c>
      <c r="M20" s="155">
        <f t="shared" si="11"/>
        <v>1.4537171042303705</v>
      </c>
      <c r="N20" s="155">
        <f>SUM(A20:M20)</f>
        <v>9.261487542857143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55" workbookViewId="0" topLeftCell="B3">
      <selection activeCell="P9" sqref="P9"/>
    </sheetView>
  </sheetViews>
  <sheetFormatPr defaultColWidth="9.140625" defaultRowHeight="12.75"/>
  <cols>
    <col min="1" max="1" width="11.28125" style="132" customWidth="1"/>
    <col min="2" max="13" width="10.421875" style="132" customWidth="1"/>
    <col min="14" max="14" width="12.710937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89</v>
      </c>
      <c r="C6" s="145" t="s">
        <v>90</v>
      </c>
      <c r="D6" s="145" t="s">
        <v>91</v>
      </c>
      <c r="E6" s="145" t="s">
        <v>92</v>
      </c>
      <c r="F6" s="145" t="s">
        <v>93</v>
      </c>
      <c r="G6" s="145" t="s">
        <v>94</v>
      </c>
      <c r="H6" s="145" t="s">
        <v>95</v>
      </c>
      <c r="I6" s="145" t="s">
        <v>96</v>
      </c>
      <c r="J6" s="145" t="s">
        <v>97</v>
      </c>
      <c r="K6" s="145" t="s">
        <v>98</v>
      </c>
      <c r="L6" s="145" t="s">
        <v>99</v>
      </c>
      <c r="M6" s="145" t="s">
        <v>100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51">
        <f>0.02039*0.96/1.75</f>
        <v>0.011185371428571428</v>
      </c>
      <c r="C9" s="151">
        <f>(B9*13/28+D9*15/28)</f>
        <v>0.009427983673469387</v>
      </c>
      <c r="D9" s="151">
        <f>0.01441*0.96/1.75</f>
        <v>0.007904914285714285</v>
      </c>
      <c r="E9" s="151">
        <f aca="true" t="shared" si="1" ref="E9:M9">D9</f>
        <v>0.007904914285714285</v>
      </c>
      <c r="F9" s="151">
        <f t="shared" si="1"/>
        <v>0.007904914285714285</v>
      </c>
      <c r="G9" s="151">
        <f t="shared" si="1"/>
        <v>0.007904914285714285</v>
      </c>
      <c r="H9" s="151">
        <f t="shared" si="1"/>
        <v>0.007904914285714285</v>
      </c>
      <c r="I9" s="151">
        <f t="shared" si="1"/>
        <v>0.007904914285714285</v>
      </c>
      <c r="J9" s="151">
        <f t="shared" si="1"/>
        <v>0.007904914285714285</v>
      </c>
      <c r="K9" s="151">
        <f t="shared" si="1"/>
        <v>0.007904914285714285</v>
      </c>
      <c r="L9" s="151">
        <f t="shared" si="1"/>
        <v>0.007904914285714285</v>
      </c>
      <c r="M9" s="151">
        <f t="shared" si="1"/>
        <v>0.007904914285714285</v>
      </c>
      <c r="N9" s="150"/>
    </row>
    <row r="10" spans="1:14" ht="12.75">
      <c r="A10" s="146"/>
      <c r="B10" s="152">
        <f aca="true" t="shared" si="2" ref="B10:M10">B8*B9</f>
        <v>1.4189956665401293</v>
      </c>
      <c r="C10" s="152">
        <f t="shared" si="2"/>
        <v>1.1327666047209364</v>
      </c>
      <c r="D10" s="152">
        <f t="shared" si="2"/>
        <v>0.685508998999139</v>
      </c>
      <c r="E10" s="152">
        <f t="shared" si="2"/>
        <v>0.5074711072936434</v>
      </c>
      <c r="F10" s="152">
        <f t="shared" si="2"/>
        <v>0.31148149400534064</v>
      </c>
      <c r="G10" s="152">
        <f t="shared" si="2"/>
        <v>0.18603050971770313</v>
      </c>
      <c r="H10" s="152">
        <f t="shared" si="2"/>
        <v>0.12389050626290699</v>
      </c>
      <c r="I10" s="152">
        <f t="shared" si="2"/>
        <v>0.10014512917667397</v>
      </c>
      <c r="J10" s="152">
        <f t="shared" si="2"/>
        <v>0.11462669133752412</v>
      </c>
      <c r="K10" s="152">
        <f t="shared" si="2"/>
        <v>0.20995598681879468</v>
      </c>
      <c r="L10" s="152">
        <f t="shared" si="2"/>
        <v>0.4465220910073051</v>
      </c>
      <c r="M10" s="152">
        <f t="shared" si="2"/>
        <v>0.8635859304245892</v>
      </c>
      <c r="N10" s="153">
        <f>SUM(B10:M10)</f>
        <v>6.1009807163046865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'2004'!I4</f>
        <v>696</v>
      </c>
    </row>
    <row r="12" spans="1:14" ht="12.75">
      <c r="A12" s="146"/>
      <c r="B12" s="151">
        <f aca="true" t="shared" si="4" ref="B12:M12">B9</f>
        <v>0.011185371428571428</v>
      </c>
      <c r="C12" s="151">
        <f t="shared" si="4"/>
        <v>0.009427983673469387</v>
      </c>
      <c r="D12" s="151">
        <f t="shared" si="4"/>
        <v>0.007904914285714285</v>
      </c>
      <c r="E12" s="151">
        <f t="shared" si="4"/>
        <v>0.007904914285714285</v>
      </c>
      <c r="F12" s="151">
        <f t="shared" si="4"/>
        <v>0.007904914285714285</v>
      </c>
      <c r="G12" s="151">
        <f t="shared" si="4"/>
        <v>0.007904914285714285</v>
      </c>
      <c r="H12" s="151">
        <f t="shared" si="4"/>
        <v>0.007904914285714285</v>
      </c>
      <c r="I12" s="151">
        <f t="shared" si="4"/>
        <v>0.007904914285714285</v>
      </c>
      <c r="J12" s="151">
        <f t="shared" si="4"/>
        <v>0.007904914285714285</v>
      </c>
      <c r="K12" s="151">
        <f t="shared" si="4"/>
        <v>0.007904914285714285</v>
      </c>
      <c r="L12" s="151">
        <f t="shared" si="4"/>
        <v>0.007904914285714285</v>
      </c>
      <c r="M12" s="151">
        <f t="shared" si="4"/>
        <v>0.007904914285714285</v>
      </c>
      <c r="N12" s="150"/>
    </row>
    <row r="13" spans="1:14" ht="12.75">
      <c r="A13" s="146"/>
      <c r="B13" s="152">
        <f aca="true" t="shared" si="5" ref="B13:M13">B11*B12</f>
        <v>1.4189956665401293</v>
      </c>
      <c r="C13" s="152">
        <f t="shared" si="5"/>
        <v>1.1327666047209364</v>
      </c>
      <c r="D13" s="152">
        <f t="shared" si="5"/>
        <v>0.685508998999139</v>
      </c>
      <c r="E13" s="152">
        <f t="shared" si="5"/>
        <v>0.5074711072936434</v>
      </c>
      <c r="F13" s="152">
        <f t="shared" si="5"/>
        <v>0.31148149400534064</v>
      </c>
      <c r="G13" s="152">
        <f t="shared" si="5"/>
        <v>0.18603050971770313</v>
      </c>
      <c r="H13" s="152">
        <f t="shared" si="5"/>
        <v>0.12389050626290699</v>
      </c>
      <c r="I13" s="152">
        <f t="shared" si="5"/>
        <v>0.10014512917667397</v>
      </c>
      <c r="J13" s="152">
        <f t="shared" si="5"/>
        <v>0.11462669133752412</v>
      </c>
      <c r="K13" s="152">
        <f t="shared" si="5"/>
        <v>0.20995598681879468</v>
      </c>
      <c r="L13" s="152">
        <f t="shared" si="5"/>
        <v>0.4465220910073051</v>
      </c>
      <c r="M13" s="152">
        <f t="shared" si="5"/>
        <v>0.8635859304245892</v>
      </c>
      <c r="N13" s="153">
        <f>SUM(B13:M13)</f>
        <v>6.1009807163046865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'2004'!I5</f>
        <v>828</v>
      </c>
    </row>
    <row r="15" spans="1:14" ht="13.5" thickTop="1">
      <c r="A15" s="146"/>
      <c r="B15" s="151">
        <f aca="true" t="shared" si="7" ref="B15:M15">B9</f>
        <v>0.011185371428571428</v>
      </c>
      <c r="C15" s="151">
        <f t="shared" si="7"/>
        <v>0.009427983673469387</v>
      </c>
      <c r="D15" s="151">
        <f t="shared" si="7"/>
        <v>0.007904914285714285</v>
      </c>
      <c r="E15" s="151">
        <f t="shared" si="7"/>
        <v>0.007904914285714285</v>
      </c>
      <c r="F15" s="151">
        <f t="shared" si="7"/>
        <v>0.007904914285714285</v>
      </c>
      <c r="G15" s="151">
        <f t="shared" si="7"/>
        <v>0.007904914285714285</v>
      </c>
      <c r="H15" s="151">
        <f t="shared" si="7"/>
        <v>0.007904914285714285</v>
      </c>
      <c r="I15" s="151">
        <f t="shared" si="7"/>
        <v>0.007904914285714285</v>
      </c>
      <c r="J15" s="151">
        <f t="shared" si="7"/>
        <v>0.007904914285714285</v>
      </c>
      <c r="K15" s="151">
        <f t="shared" si="7"/>
        <v>0.007904914285714285</v>
      </c>
      <c r="L15" s="151">
        <f t="shared" si="7"/>
        <v>0.007904914285714285</v>
      </c>
      <c r="M15" s="151">
        <f t="shared" si="7"/>
        <v>0.007904914285714285</v>
      </c>
      <c r="N15" s="150"/>
    </row>
    <row r="16" spans="1:14" ht="12.75">
      <c r="A16" s="146"/>
      <c r="B16" s="152">
        <f aca="true" t="shared" si="8" ref="B16:M16">B14*B15</f>
        <v>1.6881155343322227</v>
      </c>
      <c r="C16" s="152">
        <f t="shared" si="8"/>
        <v>1.3476016504438726</v>
      </c>
      <c r="D16" s="152">
        <f t="shared" si="8"/>
        <v>0.8155193263955274</v>
      </c>
      <c r="E16" s="152">
        <f t="shared" si="8"/>
        <v>0.6037156276424378</v>
      </c>
      <c r="F16" s="152">
        <f t="shared" si="8"/>
        <v>0.3705555704546294</v>
      </c>
      <c r="G16" s="152">
        <f t="shared" si="8"/>
        <v>0.22131215811243993</v>
      </c>
      <c r="H16" s="152">
        <f t="shared" si="8"/>
        <v>0.14738698158863073</v>
      </c>
      <c r="I16" s="152">
        <f t="shared" si="8"/>
        <v>0.11913817091707765</v>
      </c>
      <c r="J16" s="152">
        <f t="shared" si="8"/>
        <v>0.1363662362463649</v>
      </c>
      <c r="K16" s="152">
        <f t="shared" si="8"/>
        <v>0.24977522569822125</v>
      </c>
      <c r="L16" s="152">
        <f t="shared" si="8"/>
        <v>0.5312073151638631</v>
      </c>
      <c r="M16" s="152">
        <f t="shared" si="8"/>
        <v>1.0273694689533908</v>
      </c>
      <c r="N16" s="153">
        <f>SUM(B16:M16)</f>
        <v>7.258063265948678</v>
      </c>
    </row>
    <row r="17" spans="1:14" ht="12.7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156" customFormat="1" ht="12.75">
      <c r="A18" s="154" t="s">
        <v>13</v>
      </c>
      <c r="B18" s="155">
        <f aca="true" t="shared" si="9" ref="B18:M18">B10</f>
        <v>1.4189956665401293</v>
      </c>
      <c r="C18" s="155">
        <f t="shared" si="9"/>
        <v>1.1327666047209364</v>
      </c>
      <c r="D18" s="155">
        <f t="shared" si="9"/>
        <v>0.685508998999139</v>
      </c>
      <c r="E18" s="155">
        <f t="shared" si="9"/>
        <v>0.5074711072936434</v>
      </c>
      <c r="F18" s="155">
        <f t="shared" si="9"/>
        <v>0.31148149400534064</v>
      </c>
      <c r="G18" s="155">
        <f t="shared" si="9"/>
        <v>0.18603050971770313</v>
      </c>
      <c r="H18" s="155">
        <f t="shared" si="9"/>
        <v>0.12389050626290699</v>
      </c>
      <c r="I18" s="155">
        <f t="shared" si="9"/>
        <v>0.10014512917667397</v>
      </c>
      <c r="J18" s="155">
        <f t="shared" si="9"/>
        <v>0.11462669133752412</v>
      </c>
      <c r="K18" s="155">
        <f t="shared" si="9"/>
        <v>0.20995598681879468</v>
      </c>
      <c r="L18" s="155">
        <f t="shared" si="9"/>
        <v>0.4465220910073051</v>
      </c>
      <c r="M18" s="155">
        <f t="shared" si="9"/>
        <v>0.8635859304245892</v>
      </c>
      <c r="N18" s="155">
        <f>SUM(B18:M18)</f>
        <v>6.1009807163046865</v>
      </c>
    </row>
    <row r="19" spans="1:14" s="156" customFormat="1" ht="12.75">
      <c r="A19" s="157" t="s">
        <v>0</v>
      </c>
      <c r="B19" s="155">
        <f aca="true" t="shared" si="10" ref="B19:M19">B13</f>
        <v>1.4189956665401293</v>
      </c>
      <c r="C19" s="155">
        <f t="shared" si="10"/>
        <v>1.1327666047209364</v>
      </c>
      <c r="D19" s="155">
        <f t="shared" si="10"/>
        <v>0.685508998999139</v>
      </c>
      <c r="E19" s="155">
        <f t="shared" si="10"/>
        <v>0.5074711072936434</v>
      </c>
      <c r="F19" s="155">
        <f t="shared" si="10"/>
        <v>0.31148149400534064</v>
      </c>
      <c r="G19" s="155">
        <f t="shared" si="10"/>
        <v>0.18603050971770313</v>
      </c>
      <c r="H19" s="155">
        <f t="shared" si="10"/>
        <v>0.12389050626290699</v>
      </c>
      <c r="I19" s="155">
        <f t="shared" si="10"/>
        <v>0.10014512917667397</v>
      </c>
      <c r="J19" s="155">
        <f t="shared" si="10"/>
        <v>0.11462669133752412</v>
      </c>
      <c r="K19" s="155">
        <f t="shared" si="10"/>
        <v>0.20995598681879468</v>
      </c>
      <c r="L19" s="155">
        <f t="shared" si="10"/>
        <v>0.4465220910073051</v>
      </c>
      <c r="M19" s="155">
        <f t="shared" si="10"/>
        <v>0.8635859304245892</v>
      </c>
      <c r="N19" s="155">
        <f>SUM(B19:M19)</f>
        <v>6.1009807163046865</v>
      </c>
    </row>
    <row r="20" spans="1:14" s="156" customFormat="1" ht="13.5" thickBot="1">
      <c r="A20" s="158" t="s">
        <v>18</v>
      </c>
      <c r="B20" s="155">
        <f aca="true" t="shared" si="11" ref="B20:M20">B16</f>
        <v>1.6881155343322227</v>
      </c>
      <c r="C20" s="155">
        <f t="shared" si="11"/>
        <v>1.3476016504438726</v>
      </c>
      <c r="D20" s="155">
        <f t="shared" si="11"/>
        <v>0.8155193263955274</v>
      </c>
      <c r="E20" s="155">
        <f t="shared" si="11"/>
        <v>0.6037156276424378</v>
      </c>
      <c r="F20" s="155">
        <f t="shared" si="11"/>
        <v>0.3705555704546294</v>
      </c>
      <c r="G20" s="155">
        <f t="shared" si="11"/>
        <v>0.22131215811243993</v>
      </c>
      <c r="H20" s="155">
        <f t="shared" si="11"/>
        <v>0.14738698158863073</v>
      </c>
      <c r="I20" s="155">
        <f t="shared" si="11"/>
        <v>0.11913817091707765</v>
      </c>
      <c r="J20" s="155">
        <f t="shared" si="11"/>
        <v>0.1363662362463649</v>
      </c>
      <c r="K20" s="155">
        <f t="shared" si="11"/>
        <v>0.24977522569822125</v>
      </c>
      <c r="L20" s="155">
        <f t="shared" si="11"/>
        <v>0.5312073151638631</v>
      </c>
      <c r="M20" s="155">
        <f t="shared" si="11"/>
        <v>1.0273694689533908</v>
      </c>
      <c r="N20" s="155">
        <f>SUM(B20:M20)</f>
        <v>7.258063265948678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62" workbookViewId="0" topLeftCell="D3">
      <selection activeCell="P9" sqref="P9"/>
    </sheetView>
  </sheetViews>
  <sheetFormatPr defaultColWidth="9.140625" defaultRowHeight="12.75"/>
  <cols>
    <col min="1" max="1" width="14.421875" style="132" customWidth="1"/>
    <col min="2" max="13" width="10.421875" style="132" customWidth="1"/>
    <col min="14" max="14" width="12.851562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101</v>
      </c>
      <c r="C6" s="145" t="s">
        <v>102</v>
      </c>
      <c r="D6" s="145" t="s">
        <v>103</v>
      </c>
      <c r="E6" s="145" t="s">
        <v>104</v>
      </c>
      <c r="F6" s="145" t="s">
        <v>105</v>
      </c>
      <c r="G6" s="145" t="s">
        <v>106</v>
      </c>
      <c r="H6" s="145" t="s">
        <v>107</v>
      </c>
      <c r="I6" s="145" t="s">
        <v>108</v>
      </c>
      <c r="J6" s="145" t="s">
        <v>109</v>
      </c>
      <c r="K6" s="145" t="s">
        <v>110</v>
      </c>
      <c r="L6" s="145" t="s">
        <v>111</v>
      </c>
      <c r="M6" s="145" t="s">
        <v>112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51">
        <f>0.01062*0.5/1.29</f>
        <v>0.004116279069767441</v>
      </c>
      <c r="C9" s="151">
        <f aca="true" t="shared" si="1" ref="C9:K9">B9</f>
        <v>0.004116279069767441</v>
      </c>
      <c r="D9" s="151">
        <f t="shared" si="1"/>
        <v>0.004116279069767441</v>
      </c>
      <c r="E9" s="151">
        <f t="shared" si="1"/>
        <v>0.004116279069767441</v>
      </c>
      <c r="F9" s="151">
        <f t="shared" si="1"/>
        <v>0.004116279069767441</v>
      </c>
      <c r="G9" s="151">
        <f t="shared" si="1"/>
        <v>0.004116279069767441</v>
      </c>
      <c r="H9" s="151">
        <f t="shared" si="1"/>
        <v>0.004116279069767441</v>
      </c>
      <c r="I9" s="151">
        <f t="shared" si="1"/>
        <v>0.004116279069767441</v>
      </c>
      <c r="J9" s="151">
        <f t="shared" si="1"/>
        <v>0.004116279069767441</v>
      </c>
      <c r="K9" s="151">
        <f t="shared" si="1"/>
        <v>0.004116279069767441</v>
      </c>
      <c r="L9" s="151">
        <v>0.01795</v>
      </c>
      <c r="M9" s="151">
        <f>L9</f>
        <v>0.01795</v>
      </c>
      <c r="N9" s="150"/>
    </row>
    <row r="10" spans="1:14" ht="12.75">
      <c r="A10" s="146"/>
      <c r="B10" s="152">
        <f aca="true" t="shared" si="2" ref="B10:M10">B8*B9</f>
        <v>0.5221983194362131</v>
      </c>
      <c r="C10" s="152">
        <f t="shared" si="2"/>
        <v>0.494568470569749</v>
      </c>
      <c r="D10" s="152">
        <f t="shared" si="2"/>
        <v>0.35696102990222545</v>
      </c>
      <c r="E10" s="152">
        <f t="shared" si="2"/>
        <v>0.26425241589773674</v>
      </c>
      <c r="F10" s="152">
        <f t="shared" si="2"/>
        <v>0.1621959085263152</v>
      </c>
      <c r="G10" s="152">
        <f t="shared" si="2"/>
        <v>0.0968705625148922</v>
      </c>
      <c r="H10" s="152">
        <f t="shared" si="2"/>
        <v>0.06451276755707613</v>
      </c>
      <c r="I10" s="152">
        <f t="shared" si="2"/>
        <v>0.052147978367592294</v>
      </c>
      <c r="J10" s="152">
        <f t="shared" si="2"/>
        <v>0.05968887622754389</v>
      </c>
      <c r="K10" s="152">
        <f t="shared" si="2"/>
        <v>0.10932913411552334</v>
      </c>
      <c r="L10" s="152">
        <f t="shared" si="2"/>
        <v>1.0139352868209992</v>
      </c>
      <c r="M10" s="152">
        <f t="shared" si="2"/>
        <v>1.960978562302106</v>
      </c>
      <c r="N10" s="153">
        <f>SUM(B10:M10)</f>
        <v>5.157639312237973</v>
      </c>
    </row>
    <row r="11" spans="1:14" ht="12.75">
      <c r="A11" s="136" t="s">
        <v>0</v>
      </c>
      <c r="B11" s="150">
        <f aca="true" t="shared" si="3" ref="B11:M11">$N$11*B7</f>
        <v>126.86173862009699</v>
      </c>
      <c r="C11" s="150">
        <f t="shared" si="3"/>
        <v>120.1494024547978</v>
      </c>
      <c r="D11" s="150">
        <f t="shared" si="3"/>
        <v>86.71934624743331</v>
      </c>
      <c r="E11" s="150">
        <f t="shared" si="3"/>
        <v>64.19691459662532</v>
      </c>
      <c r="F11" s="150">
        <f t="shared" si="3"/>
        <v>39.40352580017828</v>
      </c>
      <c r="G11" s="150">
        <f t="shared" si="3"/>
        <v>23.53352648666873</v>
      </c>
      <c r="H11" s="150">
        <f t="shared" si="3"/>
        <v>15.672593248329232</v>
      </c>
      <c r="I11" s="150">
        <f t="shared" si="3"/>
        <v>12.668717908511123</v>
      </c>
      <c r="J11" s="150">
        <f t="shared" si="3"/>
        <v>14.500687445109534</v>
      </c>
      <c r="K11" s="150">
        <f t="shared" si="3"/>
        <v>26.56018512411019</v>
      </c>
      <c r="L11" s="150">
        <f t="shared" si="3"/>
        <v>56.48664550534814</v>
      </c>
      <c r="M11" s="150">
        <f t="shared" si="3"/>
        <v>109.24671656279142</v>
      </c>
      <c r="N11" s="137">
        <f>'2004'!I4</f>
        <v>696</v>
      </c>
    </row>
    <row r="12" spans="1:14" ht="12.75">
      <c r="A12" s="146"/>
      <c r="B12" s="151">
        <f aca="true" t="shared" si="4" ref="B12:M12">B9</f>
        <v>0.004116279069767441</v>
      </c>
      <c r="C12" s="151">
        <f t="shared" si="4"/>
        <v>0.004116279069767441</v>
      </c>
      <c r="D12" s="151">
        <f t="shared" si="4"/>
        <v>0.004116279069767441</v>
      </c>
      <c r="E12" s="151">
        <f t="shared" si="4"/>
        <v>0.004116279069767441</v>
      </c>
      <c r="F12" s="151">
        <f t="shared" si="4"/>
        <v>0.004116279069767441</v>
      </c>
      <c r="G12" s="151">
        <f t="shared" si="4"/>
        <v>0.004116279069767441</v>
      </c>
      <c r="H12" s="151">
        <f t="shared" si="4"/>
        <v>0.004116279069767441</v>
      </c>
      <c r="I12" s="151">
        <f t="shared" si="4"/>
        <v>0.004116279069767441</v>
      </c>
      <c r="J12" s="151">
        <f t="shared" si="4"/>
        <v>0.004116279069767441</v>
      </c>
      <c r="K12" s="151">
        <f t="shared" si="4"/>
        <v>0.004116279069767441</v>
      </c>
      <c r="L12" s="151">
        <f t="shared" si="4"/>
        <v>0.01795</v>
      </c>
      <c r="M12" s="151">
        <f t="shared" si="4"/>
        <v>0.01795</v>
      </c>
      <c r="N12" s="150"/>
    </row>
    <row r="13" spans="1:14" ht="12.75">
      <c r="A13" s="146"/>
      <c r="B13" s="152">
        <f aca="true" t="shared" si="5" ref="B13:M13">B11*B12</f>
        <v>0.5221983194362131</v>
      </c>
      <c r="C13" s="152">
        <f t="shared" si="5"/>
        <v>0.494568470569749</v>
      </c>
      <c r="D13" s="152">
        <f t="shared" si="5"/>
        <v>0.35696102990222545</v>
      </c>
      <c r="E13" s="152">
        <f t="shared" si="5"/>
        <v>0.26425241589773674</v>
      </c>
      <c r="F13" s="152">
        <f t="shared" si="5"/>
        <v>0.1621959085263152</v>
      </c>
      <c r="G13" s="152">
        <f t="shared" si="5"/>
        <v>0.0968705625148922</v>
      </c>
      <c r="H13" s="152">
        <f t="shared" si="5"/>
        <v>0.06451276755707613</v>
      </c>
      <c r="I13" s="152">
        <f t="shared" si="5"/>
        <v>0.052147978367592294</v>
      </c>
      <c r="J13" s="152">
        <f t="shared" si="5"/>
        <v>0.05968887622754389</v>
      </c>
      <c r="K13" s="152">
        <f t="shared" si="5"/>
        <v>0.10932913411552334</v>
      </c>
      <c r="L13" s="152">
        <f t="shared" si="5"/>
        <v>1.0139352868209992</v>
      </c>
      <c r="M13" s="152">
        <f t="shared" si="5"/>
        <v>1.960978562302106</v>
      </c>
      <c r="N13" s="153">
        <f>SUM(B13:M13)</f>
        <v>5.157639312237973</v>
      </c>
    </row>
    <row r="14" spans="1:14" ht="13.5" thickBot="1">
      <c r="A14" s="141" t="s">
        <v>18</v>
      </c>
      <c r="B14" s="150">
        <f aca="true" t="shared" si="6" ref="B14:M14">$N$14*B7</f>
        <v>150.92172353080502</v>
      </c>
      <c r="C14" s="150">
        <f t="shared" si="6"/>
        <v>142.9363580927767</v>
      </c>
      <c r="D14" s="150">
        <f t="shared" si="6"/>
        <v>103.16611881160169</v>
      </c>
      <c r="E14" s="150">
        <f t="shared" si="6"/>
        <v>76.37219150288185</v>
      </c>
      <c r="F14" s="150">
        <f t="shared" si="6"/>
        <v>46.876608279522436</v>
      </c>
      <c r="G14" s="150">
        <f t="shared" si="6"/>
        <v>27.996781510002453</v>
      </c>
      <c r="H14" s="150">
        <f t="shared" si="6"/>
        <v>18.644981623012363</v>
      </c>
      <c r="I14" s="150">
        <f t="shared" si="6"/>
        <v>15.071405787711509</v>
      </c>
      <c r="J14" s="150">
        <f t="shared" si="6"/>
        <v>17.250817822630307</v>
      </c>
      <c r="K14" s="150">
        <f t="shared" si="6"/>
        <v>31.59746161316557</v>
      </c>
      <c r="L14" s="150">
        <f t="shared" si="6"/>
        <v>67.19962999774177</v>
      </c>
      <c r="M14" s="150">
        <f t="shared" si="6"/>
        <v>129.96592142814842</v>
      </c>
      <c r="N14" s="142">
        <f>'2004'!I5</f>
        <v>828</v>
      </c>
    </row>
    <row r="15" spans="1:14" ht="13.5" thickTop="1">
      <c r="A15" s="146"/>
      <c r="B15" s="151">
        <f aca="true" t="shared" si="7" ref="B15:M15">B9</f>
        <v>0.004116279069767441</v>
      </c>
      <c r="C15" s="151">
        <f t="shared" si="7"/>
        <v>0.004116279069767441</v>
      </c>
      <c r="D15" s="151">
        <f t="shared" si="7"/>
        <v>0.004116279069767441</v>
      </c>
      <c r="E15" s="151">
        <f t="shared" si="7"/>
        <v>0.004116279069767441</v>
      </c>
      <c r="F15" s="151">
        <f t="shared" si="7"/>
        <v>0.004116279069767441</v>
      </c>
      <c r="G15" s="151">
        <f t="shared" si="7"/>
        <v>0.004116279069767441</v>
      </c>
      <c r="H15" s="151">
        <f t="shared" si="7"/>
        <v>0.004116279069767441</v>
      </c>
      <c r="I15" s="151">
        <f t="shared" si="7"/>
        <v>0.004116279069767441</v>
      </c>
      <c r="J15" s="151">
        <f t="shared" si="7"/>
        <v>0.004116279069767441</v>
      </c>
      <c r="K15" s="151">
        <f t="shared" si="7"/>
        <v>0.004116279069767441</v>
      </c>
      <c r="L15" s="151">
        <f t="shared" si="7"/>
        <v>0.01795</v>
      </c>
      <c r="M15" s="151">
        <f t="shared" si="7"/>
        <v>0.01795</v>
      </c>
      <c r="N15" s="150"/>
    </row>
    <row r="16" spans="1:14" ht="12.75">
      <c r="A16" s="146"/>
      <c r="B16" s="152">
        <f aca="true" t="shared" si="8" ref="B16:M16">B14*B15</f>
        <v>0.6212359317430811</v>
      </c>
      <c r="C16" s="152">
        <f t="shared" si="8"/>
        <v>0.5883659391260807</v>
      </c>
      <c r="D16" s="152">
        <f t="shared" si="8"/>
        <v>0.42466053557333716</v>
      </c>
      <c r="E16" s="152">
        <f t="shared" si="8"/>
        <v>0.31436925339558336</v>
      </c>
      <c r="F16" s="152">
        <f t="shared" si="8"/>
        <v>0.19295720152268536</v>
      </c>
      <c r="G16" s="152">
        <f t="shared" si="8"/>
        <v>0.1152425657504752</v>
      </c>
      <c r="H16" s="152">
        <f t="shared" si="8"/>
        <v>0.07674794761100437</v>
      </c>
      <c r="I16" s="152">
        <f t="shared" si="8"/>
        <v>0.062038112195928766</v>
      </c>
      <c r="J16" s="152">
        <f t="shared" si="8"/>
        <v>0.07100918033966427</v>
      </c>
      <c r="K16" s="152">
        <f t="shared" si="8"/>
        <v>0.13006396989605362</v>
      </c>
      <c r="L16" s="152">
        <f t="shared" si="8"/>
        <v>1.2062333584594647</v>
      </c>
      <c r="M16" s="152">
        <f t="shared" si="8"/>
        <v>2.3328882896352643</v>
      </c>
      <c r="N16" s="153">
        <f>SUM(B16:M16)</f>
        <v>6.1358122852486225</v>
      </c>
    </row>
    <row r="18" spans="1:14" s="156" customFormat="1" ht="12.75">
      <c r="A18" s="154" t="s">
        <v>13</v>
      </c>
      <c r="B18" s="155">
        <f aca="true" t="shared" si="9" ref="B18:M18">B10</f>
        <v>0.5221983194362131</v>
      </c>
      <c r="C18" s="155">
        <f t="shared" si="9"/>
        <v>0.494568470569749</v>
      </c>
      <c r="D18" s="155">
        <f t="shared" si="9"/>
        <v>0.35696102990222545</v>
      </c>
      <c r="E18" s="155">
        <f t="shared" si="9"/>
        <v>0.26425241589773674</v>
      </c>
      <c r="F18" s="155">
        <f t="shared" si="9"/>
        <v>0.1621959085263152</v>
      </c>
      <c r="G18" s="155">
        <f t="shared" si="9"/>
        <v>0.0968705625148922</v>
      </c>
      <c r="H18" s="155">
        <f t="shared" si="9"/>
        <v>0.06451276755707613</v>
      </c>
      <c r="I18" s="155">
        <f t="shared" si="9"/>
        <v>0.052147978367592294</v>
      </c>
      <c r="J18" s="155">
        <f t="shared" si="9"/>
        <v>0.05968887622754389</v>
      </c>
      <c r="K18" s="155">
        <f t="shared" si="9"/>
        <v>0.10932913411552334</v>
      </c>
      <c r="L18" s="155">
        <f t="shared" si="9"/>
        <v>1.0139352868209992</v>
      </c>
      <c r="M18" s="155">
        <f t="shared" si="9"/>
        <v>1.960978562302106</v>
      </c>
      <c r="N18" s="155">
        <f>SUM(B18:M18)</f>
        <v>5.157639312237973</v>
      </c>
    </row>
    <row r="19" spans="1:14" s="156" customFormat="1" ht="12.75">
      <c r="A19" s="157" t="s">
        <v>0</v>
      </c>
      <c r="B19" s="155">
        <f aca="true" t="shared" si="10" ref="B19:M19">B13</f>
        <v>0.5221983194362131</v>
      </c>
      <c r="C19" s="155">
        <f t="shared" si="10"/>
        <v>0.494568470569749</v>
      </c>
      <c r="D19" s="155">
        <f t="shared" si="10"/>
        <v>0.35696102990222545</v>
      </c>
      <c r="E19" s="155">
        <f t="shared" si="10"/>
        <v>0.26425241589773674</v>
      </c>
      <c r="F19" s="155">
        <f t="shared" si="10"/>
        <v>0.1621959085263152</v>
      </c>
      <c r="G19" s="155">
        <f t="shared" si="10"/>
        <v>0.0968705625148922</v>
      </c>
      <c r="H19" s="155">
        <f t="shared" si="10"/>
        <v>0.06451276755707613</v>
      </c>
      <c r="I19" s="155">
        <f t="shared" si="10"/>
        <v>0.052147978367592294</v>
      </c>
      <c r="J19" s="155">
        <f t="shared" si="10"/>
        <v>0.05968887622754389</v>
      </c>
      <c r="K19" s="155">
        <f t="shared" si="10"/>
        <v>0.10932913411552334</v>
      </c>
      <c r="L19" s="155">
        <f t="shared" si="10"/>
        <v>1.0139352868209992</v>
      </c>
      <c r="M19" s="155">
        <f t="shared" si="10"/>
        <v>1.960978562302106</v>
      </c>
      <c r="N19" s="155">
        <f>SUM(B19:M19)</f>
        <v>5.157639312237973</v>
      </c>
    </row>
    <row r="20" spans="1:14" s="156" customFormat="1" ht="13.5" thickBot="1">
      <c r="A20" s="158" t="s">
        <v>18</v>
      </c>
      <c r="B20" s="155">
        <f aca="true" t="shared" si="11" ref="B20:M20">B16</f>
        <v>0.6212359317430811</v>
      </c>
      <c r="C20" s="155">
        <f t="shared" si="11"/>
        <v>0.5883659391260807</v>
      </c>
      <c r="D20" s="155">
        <f t="shared" si="11"/>
        <v>0.42466053557333716</v>
      </c>
      <c r="E20" s="155">
        <f t="shared" si="11"/>
        <v>0.31436925339558336</v>
      </c>
      <c r="F20" s="155">
        <f t="shared" si="11"/>
        <v>0.19295720152268536</v>
      </c>
      <c r="G20" s="155">
        <f t="shared" si="11"/>
        <v>0.1152425657504752</v>
      </c>
      <c r="H20" s="155">
        <f t="shared" si="11"/>
        <v>0.07674794761100437</v>
      </c>
      <c r="I20" s="155">
        <f t="shared" si="11"/>
        <v>0.062038112195928766</v>
      </c>
      <c r="J20" s="155">
        <f t="shared" si="11"/>
        <v>0.07100918033966427</v>
      </c>
      <c r="K20" s="155">
        <f t="shared" si="11"/>
        <v>0.13006396989605362</v>
      </c>
      <c r="L20" s="155">
        <f t="shared" si="11"/>
        <v>1.2062333584594647</v>
      </c>
      <c r="M20" s="155">
        <f t="shared" si="11"/>
        <v>2.3328882896352643</v>
      </c>
      <c r="N20" s="155">
        <f>SUM(B20:M20)</f>
        <v>6.1358122852486225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zoomScaleSheetLayoutView="99" workbookViewId="0" topLeftCell="B3">
      <selection activeCell="P9" sqref="P9"/>
    </sheetView>
  </sheetViews>
  <sheetFormatPr defaultColWidth="9.140625" defaultRowHeight="12.75"/>
  <cols>
    <col min="1" max="1" width="12.00390625" style="132" customWidth="1"/>
    <col min="2" max="13" width="10.421875" style="132" customWidth="1"/>
    <col min="14" max="14" width="13.421875" style="132" bestFit="1" customWidth="1"/>
    <col min="15" max="15" width="9.140625" style="132" customWidth="1"/>
    <col min="16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113</v>
      </c>
      <c r="C6" s="145" t="s">
        <v>114</v>
      </c>
      <c r="D6" s="145" t="s">
        <v>115</v>
      </c>
      <c r="E6" s="145" t="s">
        <v>116</v>
      </c>
      <c r="F6" s="145" t="s">
        <v>117</v>
      </c>
      <c r="G6" s="145" t="s">
        <v>118</v>
      </c>
      <c r="H6" s="145" t="s">
        <v>119</v>
      </c>
      <c r="I6" s="145" t="s">
        <v>120</v>
      </c>
      <c r="J6" s="145" t="s">
        <v>121</v>
      </c>
      <c r="K6" s="145" t="s">
        <v>122</v>
      </c>
      <c r="L6" s="145" t="s">
        <v>123</v>
      </c>
      <c r="M6" s="145" t="s">
        <v>124</v>
      </c>
      <c r="N6" s="146" t="s">
        <v>85</v>
      </c>
    </row>
    <row r="7" spans="1:15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9"/>
      <c r="O7" s="133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61">
        <v>0.01795</v>
      </c>
      <c r="C9" s="161">
        <v>0.01795</v>
      </c>
      <c r="D9" s="161">
        <v>0.01795</v>
      </c>
      <c r="E9" s="161">
        <v>0.01795</v>
      </c>
      <c r="F9" s="161">
        <v>0.01795</v>
      </c>
      <c r="G9" s="161">
        <v>0.01795</v>
      </c>
      <c r="H9" s="161">
        <v>0.01795</v>
      </c>
      <c r="I9" s="161">
        <v>0.01795</v>
      </c>
      <c r="J9" s="161">
        <v>0.01795</v>
      </c>
      <c r="K9" s="161">
        <v>0.01795</v>
      </c>
      <c r="L9" s="161">
        <v>0.01795</v>
      </c>
      <c r="M9" s="161">
        <v>0.01795</v>
      </c>
      <c r="N9" s="150"/>
    </row>
    <row r="10" spans="1:14" ht="12.75">
      <c r="A10" s="146"/>
      <c r="B10" s="152">
        <f aca="true" t="shared" si="1" ref="B10:M10">B8*B9</f>
        <v>2.277168208230741</v>
      </c>
      <c r="C10" s="152">
        <f t="shared" si="1"/>
        <v>2.1566817740636206</v>
      </c>
      <c r="D10" s="152">
        <f t="shared" si="1"/>
        <v>1.556612265141428</v>
      </c>
      <c r="E10" s="152">
        <f t="shared" si="1"/>
        <v>1.1523346170094246</v>
      </c>
      <c r="F10" s="152">
        <f t="shared" si="1"/>
        <v>0.7072932881132001</v>
      </c>
      <c r="G10" s="152">
        <f t="shared" si="1"/>
        <v>0.42242680043570374</v>
      </c>
      <c r="H10" s="152">
        <f t="shared" si="1"/>
        <v>0.28132304880750975</v>
      </c>
      <c r="I10" s="152">
        <f t="shared" si="1"/>
        <v>0.22740348645777467</v>
      </c>
      <c r="J10" s="152">
        <f t="shared" si="1"/>
        <v>0.2602873396397162</v>
      </c>
      <c r="K10" s="152">
        <f t="shared" si="1"/>
        <v>0.47675532297777795</v>
      </c>
      <c r="L10" s="152">
        <f t="shared" si="1"/>
        <v>1.0139352868209992</v>
      </c>
      <c r="M10" s="152">
        <f t="shared" si="1"/>
        <v>1.960978562302106</v>
      </c>
      <c r="N10" s="150"/>
    </row>
    <row r="11" spans="1:14" ht="12.75">
      <c r="A11" s="136" t="s">
        <v>0</v>
      </c>
      <c r="B11" s="150">
        <f aca="true" t="shared" si="2" ref="B11:M11">$N$11*B7</f>
        <v>126.86173862009699</v>
      </c>
      <c r="C11" s="150">
        <f t="shared" si="2"/>
        <v>120.1494024547978</v>
      </c>
      <c r="D11" s="150">
        <f t="shared" si="2"/>
        <v>86.71934624743331</v>
      </c>
      <c r="E11" s="150">
        <f t="shared" si="2"/>
        <v>64.19691459662532</v>
      </c>
      <c r="F11" s="150">
        <f t="shared" si="2"/>
        <v>39.40352580017828</v>
      </c>
      <c r="G11" s="150">
        <f t="shared" si="2"/>
        <v>23.53352648666873</v>
      </c>
      <c r="H11" s="150">
        <f t="shared" si="2"/>
        <v>15.672593248329232</v>
      </c>
      <c r="I11" s="150">
        <f t="shared" si="2"/>
        <v>12.668717908511123</v>
      </c>
      <c r="J11" s="150">
        <f t="shared" si="2"/>
        <v>14.500687445109534</v>
      </c>
      <c r="K11" s="150">
        <f t="shared" si="2"/>
        <v>26.56018512411019</v>
      </c>
      <c r="L11" s="150">
        <f t="shared" si="2"/>
        <v>56.48664550534814</v>
      </c>
      <c r="M11" s="150">
        <f t="shared" si="2"/>
        <v>109.24671656279142</v>
      </c>
      <c r="N11" s="137">
        <f>'2004'!I4</f>
        <v>696</v>
      </c>
    </row>
    <row r="12" spans="1:14" ht="12.75">
      <c r="A12" s="146"/>
      <c r="B12" s="161">
        <f aca="true" t="shared" si="3" ref="B12:M12">B9</f>
        <v>0.01795</v>
      </c>
      <c r="C12" s="161">
        <f t="shared" si="3"/>
        <v>0.01795</v>
      </c>
      <c r="D12" s="161">
        <f t="shared" si="3"/>
        <v>0.01795</v>
      </c>
      <c r="E12" s="161">
        <f t="shared" si="3"/>
        <v>0.01795</v>
      </c>
      <c r="F12" s="161">
        <f t="shared" si="3"/>
        <v>0.01795</v>
      </c>
      <c r="G12" s="161">
        <f t="shared" si="3"/>
        <v>0.01795</v>
      </c>
      <c r="H12" s="161">
        <f t="shared" si="3"/>
        <v>0.01795</v>
      </c>
      <c r="I12" s="161">
        <f t="shared" si="3"/>
        <v>0.01795</v>
      </c>
      <c r="J12" s="161">
        <f t="shared" si="3"/>
        <v>0.01795</v>
      </c>
      <c r="K12" s="161">
        <f t="shared" si="3"/>
        <v>0.01795</v>
      </c>
      <c r="L12" s="161">
        <f t="shared" si="3"/>
        <v>0.01795</v>
      </c>
      <c r="M12" s="161">
        <f t="shared" si="3"/>
        <v>0.01795</v>
      </c>
      <c r="N12" s="150"/>
    </row>
    <row r="13" spans="1:14" ht="12.75">
      <c r="A13" s="146"/>
      <c r="B13" s="152">
        <f aca="true" t="shared" si="4" ref="B13:M13">B11*B12</f>
        <v>2.277168208230741</v>
      </c>
      <c r="C13" s="152">
        <f t="shared" si="4"/>
        <v>2.1566817740636206</v>
      </c>
      <c r="D13" s="152">
        <f t="shared" si="4"/>
        <v>1.556612265141428</v>
      </c>
      <c r="E13" s="152">
        <f t="shared" si="4"/>
        <v>1.1523346170094246</v>
      </c>
      <c r="F13" s="152">
        <f t="shared" si="4"/>
        <v>0.7072932881132001</v>
      </c>
      <c r="G13" s="152">
        <f t="shared" si="4"/>
        <v>0.42242680043570374</v>
      </c>
      <c r="H13" s="152">
        <f t="shared" si="4"/>
        <v>0.28132304880750975</v>
      </c>
      <c r="I13" s="152">
        <f t="shared" si="4"/>
        <v>0.22740348645777467</v>
      </c>
      <c r="J13" s="152">
        <f t="shared" si="4"/>
        <v>0.2602873396397162</v>
      </c>
      <c r="K13" s="152">
        <f t="shared" si="4"/>
        <v>0.47675532297777795</v>
      </c>
      <c r="L13" s="152">
        <f t="shared" si="4"/>
        <v>1.0139352868209992</v>
      </c>
      <c r="M13" s="152">
        <f t="shared" si="4"/>
        <v>1.960978562302106</v>
      </c>
      <c r="N13" s="150"/>
    </row>
    <row r="14" spans="1:14" ht="13.5" thickBot="1">
      <c r="A14" s="141" t="s">
        <v>18</v>
      </c>
      <c r="B14" s="150">
        <f aca="true" t="shared" si="5" ref="B14:M14">$N$14*B7</f>
        <v>150.92172353080502</v>
      </c>
      <c r="C14" s="150">
        <f t="shared" si="5"/>
        <v>142.9363580927767</v>
      </c>
      <c r="D14" s="150">
        <f t="shared" si="5"/>
        <v>103.16611881160169</v>
      </c>
      <c r="E14" s="150">
        <f t="shared" si="5"/>
        <v>76.37219150288185</v>
      </c>
      <c r="F14" s="150">
        <f t="shared" si="5"/>
        <v>46.876608279522436</v>
      </c>
      <c r="G14" s="150">
        <f t="shared" si="5"/>
        <v>27.996781510002453</v>
      </c>
      <c r="H14" s="150">
        <f t="shared" si="5"/>
        <v>18.644981623012363</v>
      </c>
      <c r="I14" s="150">
        <f t="shared" si="5"/>
        <v>15.071405787711509</v>
      </c>
      <c r="J14" s="150">
        <f t="shared" si="5"/>
        <v>17.250817822630307</v>
      </c>
      <c r="K14" s="150">
        <f t="shared" si="5"/>
        <v>31.59746161316557</v>
      </c>
      <c r="L14" s="150">
        <f t="shared" si="5"/>
        <v>67.19962999774177</v>
      </c>
      <c r="M14" s="150">
        <f t="shared" si="5"/>
        <v>129.96592142814842</v>
      </c>
      <c r="N14" s="142">
        <f>'2004'!I5</f>
        <v>828</v>
      </c>
    </row>
    <row r="15" spans="1:14" ht="13.5" thickTop="1">
      <c r="A15" s="146"/>
      <c r="B15" s="161">
        <f aca="true" t="shared" si="6" ref="B15:M15">B9</f>
        <v>0.01795</v>
      </c>
      <c r="C15" s="161">
        <f t="shared" si="6"/>
        <v>0.01795</v>
      </c>
      <c r="D15" s="161">
        <f t="shared" si="6"/>
        <v>0.01795</v>
      </c>
      <c r="E15" s="161">
        <f t="shared" si="6"/>
        <v>0.01795</v>
      </c>
      <c r="F15" s="161">
        <f t="shared" si="6"/>
        <v>0.01795</v>
      </c>
      <c r="G15" s="161">
        <f t="shared" si="6"/>
        <v>0.01795</v>
      </c>
      <c r="H15" s="161">
        <f t="shared" si="6"/>
        <v>0.01795</v>
      </c>
      <c r="I15" s="161">
        <f t="shared" si="6"/>
        <v>0.01795</v>
      </c>
      <c r="J15" s="161">
        <f t="shared" si="6"/>
        <v>0.01795</v>
      </c>
      <c r="K15" s="161">
        <f t="shared" si="6"/>
        <v>0.01795</v>
      </c>
      <c r="L15" s="161">
        <f t="shared" si="6"/>
        <v>0.01795</v>
      </c>
      <c r="M15" s="161">
        <f t="shared" si="6"/>
        <v>0.01795</v>
      </c>
      <c r="N15" s="162"/>
    </row>
    <row r="16" spans="1:14" ht="12.75">
      <c r="A16" s="146"/>
      <c r="B16" s="152">
        <f aca="true" t="shared" si="7" ref="B16:M16">B14*B15</f>
        <v>2.7090449373779504</v>
      </c>
      <c r="C16" s="152">
        <f t="shared" si="7"/>
        <v>2.5657076277653417</v>
      </c>
      <c r="D16" s="152">
        <f t="shared" si="7"/>
        <v>1.8518318326682504</v>
      </c>
      <c r="E16" s="152">
        <f t="shared" si="7"/>
        <v>1.3708808374767292</v>
      </c>
      <c r="F16" s="152">
        <f t="shared" si="7"/>
        <v>0.8414351186174278</v>
      </c>
      <c r="G16" s="152">
        <f t="shared" si="7"/>
        <v>0.5025422281045441</v>
      </c>
      <c r="H16" s="152">
        <f t="shared" si="7"/>
        <v>0.33467742013307195</v>
      </c>
      <c r="I16" s="152">
        <f t="shared" si="7"/>
        <v>0.2705317338894216</v>
      </c>
      <c r="J16" s="152">
        <f t="shared" si="7"/>
        <v>0.309652179916214</v>
      </c>
      <c r="K16" s="152">
        <f t="shared" si="7"/>
        <v>0.567174435956322</v>
      </c>
      <c r="L16" s="152">
        <f t="shared" si="7"/>
        <v>1.2062333584594647</v>
      </c>
      <c r="M16" s="152">
        <f t="shared" si="7"/>
        <v>2.3328882896352643</v>
      </c>
      <c r="N16" s="150"/>
    </row>
    <row r="18" spans="1:15" s="156" customFormat="1" ht="12.75">
      <c r="A18" s="154" t="s">
        <v>13</v>
      </c>
      <c r="B18" s="155">
        <f aca="true" t="shared" si="8" ref="B18:M18">B10</f>
        <v>2.277168208230741</v>
      </c>
      <c r="C18" s="155">
        <f t="shared" si="8"/>
        <v>2.1566817740636206</v>
      </c>
      <c r="D18" s="155">
        <f t="shared" si="8"/>
        <v>1.556612265141428</v>
      </c>
      <c r="E18" s="155">
        <f t="shared" si="8"/>
        <v>1.1523346170094246</v>
      </c>
      <c r="F18" s="155">
        <f t="shared" si="8"/>
        <v>0.7072932881132001</v>
      </c>
      <c r="G18" s="155">
        <f t="shared" si="8"/>
        <v>0.42242680043570374</v>
      </c>
      <c r="H18" s="155">
        <f t="shared" si="8"/>
        <v>0.28132304880750975</v>
      </c>
      <c r="I18" s="155">
        <f t="shared" si="8"/>
        <v>0.22740348645777467</v>
      </c>
      <c r="J18" s="155">
        <f t="shared" si="8"/>
        <v>0.2602873396397162</v>
      </c>
      <c r="K18" s="155">
        <f t="shared" si="8"/>
        <v>0.47675532297777795</v>
      </c>
      <c r="L18" s="155">
        <f t="shared" si="8"/>
        <v>1.0139352868209992</v>
      </c>
      <c r="M18" s="155">
        <f t="shared" si="8"/>
        <v>1.960978562302106</v>
      </c>
      <c r="N18" s="155">
        <f>SUM(B18:M18)</f>
        <v>12.493200000000002</v>
      </c>
      <c r="O18" s="155"/>
    </row>
    <row r="19" spans="1:15" s="156" customFormat="1" ht="12.75">
      <c r="A19" s="157" t="s">
        <v>0</v>
      </c>
      <c r="B19" s="155">
        <f aca="true" t="shared" si="9" ref="B19:M19">B13</f>
        <v>2.277168208230741</v>
      </c>
      <c r="C19" s="155">
        <f t="shared" si="9"/>
        <v>2.1566817740636206</v>
      </c>
      <c r="D19" s="155">
        <f t="shared" si="9"/>
        <v>1.556612265141428</v>
      </c>
      <c r="E19" s="155">
        <f t="shared" si="9"/>
        <v>1.1523346170094246</v>
      </c>
      <c r="F19" s="155">
        <f t="shared" si="9"/>
        <v>0.7072932881132001</v>
      </c>
      <c r="G19" s="155">
        <f t="shared" si="9"/>
        <v>0.42242680043570374</v>
      </c>
      <c r="H19" s="155">
        <f t="shared" si="9"/>
        <v>0.28132304880750975</v>
      </c>
      <c r="I19" s="155">
        <f t="shared" si="9"/>
        <v>0.22740348645777467</v>
      </c>
      <c r="J19" s="155">
        <f t="shared" si="9"/>
        <v>0.2602873396397162</v>
      </c>
      <c r="K19" s="155">
        <f t="shared" si="9"/>
        <v>0.47675532297777795</v>
      </c>
      <c r="L19" s="155">
        <f t="shared" si="9"/>
        <v>1.0139352868209992</v>
      </c>
      <c r="M19" s="155">
        <f t="shared" si="9"/>
        <v>1.960978562302106</v>
      </c>
      <c r="N19" s="155">
        <f>SUM(B19:M19)</f>
        <v>12.493200000000002</v>
      </c>
      <c r="O19" s="155"/>
    </row>
    <row r="20" spans="1:15" s="156" customFormat="1" ht="13.5" thickBot="1">
      <c r="A20" s="158" t="s">
        <v>18</v>
      </c>
      <c r="B20" s="155">
        <f aca="true" t="shared" si="10" ref="B20:M20">B16</f>
        <v>2.7090449373779504</v>
      </c>
      <c r="C20" s="155">
        <f t="shared" si="10"/>
        <v>2.5657076277653417</v>
      </c>
      <c r="D20" s="155">
        <f t="shared" si="10"/>
        <v>1.8518318326682504</v>
      </c>
      <c r="E20" s="155">
        <f t="shared" si="10"/>
        <v>1.3708808374767292</v>
      </c>
      <c r="F20" s="155">
        <f t="shared" si="10"/>
        <v>0.8414351186174278</v>
      </c>
      <c r="G20" s="155">
        <f t="shared" si="10"/>
        <v>0.5025422281045441</v>
      </c>
      <c r="H20" s="155">
        <f t="shared" si="10"/>
        <v>0.33467742013307195</v>
      </c>
      <c r="I20" s="155">
        <f t="shared" si="10"/>
        <v>0.2705317338894216</v>
      </c>
      <c r="J20" s="155">
        <f t="shared" si="10"/>
        <v>0.309652179916214</v>
      </c>
      <c r="K20" s="155">
        <f t="shared" si="10"/>
        <v>0.567174435956322</v>
      </c>
      <c r="L20" s="155">
        <f t="shared" si="10"/>
        <v>1.2062333584594647</v>
      </c>
      <c r="M20" s="155">
        <f t="shared" si="10"/>
        <v>2.3328882896352643</v>
      </c>
      <c r="N20" s="155">
        <f>SUM(B20:M20)</f>
        <v>14.862599999999999</v>
      </c>
      <c r="O20" s="155"/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22" workbookViewId="0" topLeftCell="A3">
      <selection activeCell="P9" sqref="P9"/>
    </sheetView>
  </sheetViews>
  <sheetFormatPr defaultColWidth="9.140625" defaultRowHeight="12.75"/>
  <cols>
    <col min="1" max="1" width="17.140625" style="132" customWidth="1"/>
    <col min="2" max="13" width="10.421875" style="132" customWidth="1"/>
    <col min="14" max="14" width="12.7109375" style="132" bestFit="1" customWidth="1"/>
    <col min="15" max="16384" width="9.140625" style="133" customWidth="1"/>
  </cols>
  <sheetData>
    <row r="1" ht="12.75" hidden="1"/>
    <row r="2" ht="12.75" hidden="1"/>
    <row r="5" spans="1:14" ht="12.75">
      <c r="A5" s="138"/>
      <c r="B5" s="139" t="s">
        <v>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ht="12.75">
      <c r="A6" s="144"/>
      <c r="B6" s="145" t="s">
        <v>125</v>
      </c>
      <c r="C6" s="145" t="s">
        <v>126</v>
      </c>
      <c r="D6" s="145" t="s">
        <v>127</v>
      </c>
      <c r="E6" s="145" t="s">
        <v>128</v>
      </c>
      <c r="F6" s="145" t="s">
        <v>129</v>
      </c>
      <c r="G6" s="145" t="s">
        <v>130</v>
      </c>
      <c r="H6" s="145" t="s">
        <v>131</v>
      </c>
      <c r="I6" s="145" t="s">
        <v>132</v>
      </c>
      <c r="J6" s="145" t="s">
        <v>133</v>
      </c>
      <c r="K6" s="145" t="s">
        <v>134</v>
      </c>
      <c r="L6" s="145" t="s">
        <v>135</v>
      </c>
      <c r="M6" s="145" t="s">
        <v>136</v>
      </c>
      <c r="N6" s="146" t="s">
        <v>85</v>
      </c>
    </row>
    <row r="7" spans="1:14" ht="12.75">
      <c r="A7" s="147" t="s">
        <v>86</v>
      </c>
      <c r="B7" s="148">
        <v>0.18227261295990946</v>
      </c>
      <c r="C7" s="148">
        <v>0.1726284518028704</v>
      </c>
      <c r="D7" s="148">
        <v>0.1245967618497605</v>
      </c>
      <c r="E7" s="148">
        <v>0.09223694625951914</v>
      </c>
      <c r="F7" s="148">
        <v>0.056614261207152704</v>
      </c>
      <c r="G7" s="148">
        <v>0.03381253805555852</v>
      </c>
      <c r="H7" s="148">
        <v>0.02251809374759947</v>
      </c>
      <c r="I7" s="148">
        <v>0.018202180903033223</v>
      </c>
      <c r="J7" s="148">
        <v>0.020834321041824044</v>
      </c>
      <c r="K7" s="148">
        <v>0.038161185523146825</v>
      </c>
      <c r="L7" s="148">
        <v>0.08115897342722435</v>
      </c>
      <c r="M7" s="148">
        <v>0.15696367322240146</v>
      </c>
      <c r="N7" s="148"/>
    </row>
    <row r="8" spans="1:14" ht="12.75">
      <c r="A8" s="134" t="s">
        <v>13</v>
      </c>
      <c r="B8" s="150">
        <f aca="true" t="shared" si="0" ref="B8:M8">$N$8*B7</f>
        <v>126.86173862009699</v>
      </c>
      <c r="C8" s="150">
        <f t="shared" si="0"/>
        <v>120.1494024547978</v>
      </c>
      <c r="D8" s="150">
        <f t="shared" si="0"/>
        <v>86.71934624743331</v>
      </c>
      <c r="E8" s="150">
        <f t="shared" si="0"/>
        <v>64.19691459662532</v>
      </c>
      <c r="F8" s="150">
        <f t="shared" si="0"/>
        <v>39.40352580017828</v>
      </c>
      <c r="G8" s="150">
        <f t="shared" si="0"/>
        <v>23.53352648666873</v>
      </c>
      <c r="H8" s="150">
        <f t="shared" si="0"/>
        <v>15.672593248329232</v>
      </c>
      <c r="I8" s="150">
        <f t="shared" si="0"/>
        <v>12.668717908511123</v>
      </c>
      <c r="J8" s="150">
        <f t="shared" si="0"/>
        <v>14.500687445109534</v>
      </c>
      <c r="K8" s="150">
        <f t="shared" si="0"/>
        <v>26.56018512411019</v>
      </c>
      <c r="L8" s="150">
        <f t="shared" si="0"/>
        <v>56.48664550534814</v>
      </c>
      <c r="M8" s="150">
        <f t="shared" si="0"/>
        <v>109.24671656279142</v>
      </c>
      <c r="N8" s="135">
        <f>'2004'!I3</f>
        <v>696</v>
      </c>
    </row>
    <row r="9" spans="1:14" ht="12.75">
      <c r="A9" s="146"/>
      <c r="B9" s="161">
        <v>0.01795</v>
      </c>
      <c r="C9" s="161">
        <v>0.01795</v>
      </c>
      <c r="D9" s="161">
        <v>0.01795</v>
      </c>
      <c r="E9" s="161">
        <v>0.01795</v>
      </c>
      <c r="F9" s="161">
        <v>0.01795</v>
      </c>
      <c r="G9" s="161">
        <v>0.01795</v>
      </c>
      <c r="H9" s="161">
        <v>0.01795</v>
      </c>
      <c r="I9" s="161">
        <v>0.01795</v>
      </c>
      <c r="J9" s="161">
        <v>0.01795</v>
      </c>
      <c r="K9" s="161">
        <v>0.01795</v>
      </c>
      <c r="L9" s="161">
        <v>0.01795</v>
      </c>
      <c r="M9" s="161">
        <v>0.01795</v>
      </c>
      <c r="N9" s="150"/>
    </row>
    <row r="10" spans="1:14" ht="12.75">
      <c r="A10" s="146"/>
      <c r="B10" s="163">
        <f aca="true" t="shared" si="1" ref="B10:M10">B8*B9</f>
        <v>2.277168208230741</v>
      </c>
      <c r="C10" s="163">
        <f t="shared" si="1"/>
        <v>2.1566817740636206</v>
      </c>
      <c r="D10" s="163">
        <f t="shared" si="1"/>
        <v>1.556612265141428</v>
      </c>
      <c r="E10" s="163">
        <f t="shared" si="1"/>
        <v>1.1523346170094246</v>
      </c>
      <c r="F10" s="163">
        <f t="shared" si="1"/>
        <v>0.7072932881132001</v>
      </c>
      <c r="G10" s="163">
        <f t="shared" si="1"/>
        <v>0.42242680043570374</v>
      </c>
      <c r="H10" s="163">
        <f t="shared" si="1"/>
        <v>0.28132304880750975</v>
      </c>
      <c r="I10" s="163">
        <f t="shared" si="1"/>
        <v>0.22740348645777467</v>
      </c>
      <c r="J10" s="163">
        <f t="shared" si="1"/>
        <v>0.2602873396397162</v>
      </c>
      <c r="K10" s="163">
        <f t="shared" si="1"/>
        <v>0.47675532297777795</v>
      </c>
      <c r="L10" s="163">
        <f t="shared" si="1"/>
        <v>1.0139352868209992</v>
      </c>
      <c r="M10" s="163">
        <f t="shared" si="1"/>
        <v>1.960978562302106</v>
      </c>
      <c r="N10" s="150"/>
    </row>
    <row r="11" spans="1:14" ht="12.75">
      <c r="A11" s="136" t="s">
        <v>0</v>
      </c>
      <c r="B11" s="150">
        <f aca="true" t="shared" si="2" ref="B11:M11">$N$11*B7</f>
        <v>126.86173862009699</v>
      </c>
      <c r="C11" s="150">
        <f t="shared" si="2"/>
        <v>120.1494024547978</v>
      </c>
      <c r="D11" s="150">
        <f t="shared" si="2"/>
        <v>86.71934624743331</v>
      </c>
      <c r="E11" s="150">
        <f t="shared" si="2"/>
        <v>64.19691459662532</v>
      </c>
      <c r="F11" s="150">
        <f t="shared" si="2"/>
        <v>39.40352580017828</v>
      </c>
      <c r="G11" s="150">
        <f t="shared" si="2"/>
        <v>23.53352648666873</v>
      </c>
      <c r="H11" s="150">
        <f t="shared" si="2"/>
        <v>15.672593248329232</v>
      </c>
      <c r="I11" s="150">
        <f t="shared" si="2"/>
        <v>12.668717908511123</v>
      </c>
      <c r="J11" s="150">
        <f t="shared" si="2"/>
        <v>14.500687445109534</v>
      </c>
      <c r="K11" s="150">
        <f t="shared" si="2"/>
        <v>26.56018512411019</v>
      </c>
      <c r="L11" s="150">
        <f t="shared" si="2"/>
        <v>56.48664550534814</v>
      </c>
      <c r="M11" s="150">
        <f t="shared" si="2"/>
        <v>109.24671656279142</v>
      </c>
      <c r="N11" s="137">
        <f>'2004'!I4</f>
        <v>696</v>
      </c>
    </row>
    <row r="12" spans="1:14" ht="12.75">
      <c r="A12" s="146"/>
      <c r="B12" s="161">
        <f aca="true" t="shared" si="3" ref="B12:M12">B9</f>
        <v>0.01795</v>
      </c>
      <c r="C12" s="161">
        <f t="shared" si="3"/>
        <v>0.01795</v>
      </c>
      <c r="D12" s="161">
        <f t="shared" si="3"/>
        <v>0.01795</v>
      </c>
      <c r="E12" s="161">
        <f t="shared" si="3"/>
        <v>0.01795</v>
      </c>
      <c r="F12" s="161">
        <f t="shared" si="3"/>
        <v>0.01795</v>
      </c>
      <c r="G12" s="161">
        <f t="shared" si="3"/>
        <v>0.01795</v>
      </c>
      <c r="H12" s="161">
        <f t="shared" si="3"/>
        <v>0.01795</v>
      </c>
      <c r="I12" s="161">
        <f t="shared" si="3"/>
        <v>0.01795</v>
      </c>
      <c r="J12" s="161">
        <f t="shared" si="3"/>
        <v>0.01795</v>
      </c>
      <c r="K12" s="161">
        <f t="shared" si="3"/>
        <v>0.01795</v>
      </c>
      <c r="L12" s="161">
        <f t="shared" si="3"/>
        <v>0.01795</v>
      </c>
      <c r="M12" s="161">
        <f t="shared" si="3"/>
        <v>0.01795</v>
      </c>
      <c r="N12" s="150"/>
    </row>
    <row r="13" spans="1:14" ht="12.75">
      <c r="A13" s="146"/>
      <c r="B13" s="163">
        <f aca="true" t="shared" si="4" ref="B13:M13">B11*B12</f>
        <v>2.277168208230741</v>
      </c>
      <c r="C13" s="163">
        <f t="shared" si="4"/>
        <v>2.1566817740636206</v>
      </c>
      <c r="D13" s="163">
        <f t="shared" si="4"/>
        <v>1.556612265141428</v>
      </c>
      <c r="E13" s="163">
        <f t="shared" si="4"/>
        <v>1.1523346170094246</v>
      </c>
      <c r="F13" s="163">
        <f t="shared" si="4"/>
        <v>0.7072932881132001</v>
      </c>
      <c r="G13" s="163">
        <f t="shared" si="4"/>
        <v>0.42242680043570374</v>
      </c>
      <c r="H13" s="163">
        <f t="shared" si="4"/>
        <v>0.28132304880750975</v>
      </c>
      <c r="I13" s="163">
        <f t="shared" si="4"/>
        <v>0.22740348645777467</v>
      </c>
      <c r="J13" s="163">
        <f t="shared" si="4"/>
        <v>0.2602873396397162</v>
      </c>
      <c r="K13" s="163">
        <f t="shared" si="4"/>
        <v>0.47675532297777795</v>
      </c>
      <c r="L13" s="163">
        <f t="shared" si="4"/>
        <v>1.0139352868209992</v>
      </c>
      <c r="M13" s="163">
        <f t="shared" si="4"/>
        <v>1.960978562302106</v>
      </c>
      <c r="N13" s="150"/>
    </row>
    <row r="14" spans="1:14" ht="13.5" thickBot="1">
      <c r="A14" s="141" t="s">
        <v>18</v>
      </c>
      <c r="B14" s="150">
        <f aca="true" t="shared" si="5" ref="B14:M14">$N$14*B7</f>
        <v>150.92172353080502</v>
      </c>
      <c r="C14" s="150">
        <f t="shared" si="5"/>
        <v>142.9363580927767</v>
      </c>
      <c r="D14" s="150">
        <f t="shared" si="5"/>
        <v>103.16611881160169</v>
      </c>
      <c r="E14" s="150">
        <f t="shared" si="5"/>
        <v>76.37219150288185</v>
      </c>
      <c r="F14" s="150">
        <f t="shared" si="5"/>
        <v>46.876608279522436</v>
      </c>
      <c r="G14" s="150">
        <f t="shared" si="5"/>
        <v>27.996781510002453</v>
      </c>
      <c r="H14" s="150">
        <f t="shared" si="5"/>
        <v>18.644981623012363</v>
      </c>
      <c r="I14" s="150">
        <f t="shared" si="5"/>
        <v>15.071405787711509</v>
      </c>
      <c r="J14" s="150">
        <f t="shared" si="5"/>
        <v>17.250817822630307</v>
      </c>
      <c r="K14" s="150">
        <f t="shared" si="5"/>
        <v>31.59746161316557</v>
      </c>
      <c r="L14" s="150">
        <f t="shared" si="5"/>
        <v>67.19962999774177</v>
      </c>
      <c r="M14" s="150">
        <f t="shared" si="5"/>
        <v>129.96592142814842</v>
      </c>
      <c r="N14" s="142">
        <f>'2004'!I5</f>
        <v>828</v>
      </c>
    </row>
    <row r="15" spans="1:14" ht="13.5" thickTop="1">
      <c r="A15" s="146"/>
      <c r="B15" s="161">
        <f aca="true" t="shared" si="6" ref="B15:M15">B9</f>
        <v>0.01795</v>
      </c>
      <c r="C15" s="161">
        <f t="shared" si="6"/>
        <v>0.01795</v>
      </c>
      <c r="D15" s="161">
        <f t="shared" si="6"/>
        <v>0.01795</v>
      </c>
      <c r="E15" s="161">
        <f t="shared" si="6"/>
        <v>0.01795</v>
      </c>
      <c r="F15" s="161">
        <f t="shared" si="6"/>
        <v>0.01795</v>
      </c>
      <c r="G15" s="161">
        <f t="shared" si="6"/>
        <v>0.01795</v>
      </c>
      <c r="H15" s="161">
        <f t="shared" si="6"/>
        <v>0.01795</v>
      </c>
      <c r="I15" s="161">
        <f t="shared" si="6"/>
        <v>0.01795</v>
      </c>
      <c r="J15" s="161">
        <f t="shared" si="6"/>
        <v>0.01795</v>
      </c>
      <c r="K15" s="161">
        <f t="shared" si="6"/>
        <v>0.01795</v>
      </c>
      <c r="L15" s="161">
        <f t="shared" si="6"/>
        <v>0.01795</v>
      </c>
      <c r="M15" s="161">
        <f t="shared" si="6"/>
        <v>0.01795</v>
      </c>
      <c r="N15" s="150"/>
    </row>
    <row r="16" spans="1:14" ht="12.75">
      <c r="A16" s="146"/>
      <c r="B16" s="163">
        <f aca="true" t="shared" si="7" ref="B16:M16">B14*B15</f>
        <v>2.7090449373779504</v>
      </c>
      <c r="C16" s="163">
        <f t="shared" si="7"/>
        <v>2.5657076277653417</v>
      </c>
      <c r="D16" s="163">
        <f t="shared" si="7"/>
        <v>1.8518318326682504</v>
      </c>
      <c r="E16" s="163">
        <f t="shared" si="7"/>
        <v>1.3708808374767292</v>
      </c>
      <c r="F16" s="163">
        <f t="shared" si="7"/>
        <v>0.8414351186174278</v>
      </c>
      <c r="G16" s="163">
        <f t="shared" si="7"/>
        <v>0.5025422281045441</v>
      </c>
      <c r="H16" s="163">
        <f t="shared" si="7"/>
        <v>0.33467742013307195</v>
      </c>
      <c r="I16" s="163">
        <f t="shared" si="7"/>
        <v>0.2705317338894216</v>
      </c>
      <c r="J16" s="163">
        <f t="shared" si="7"/>
        <v>0.309652179916214</v>
      </c>
      <c r="K16" s="163">
        <f t="shared" si="7"/>
        <v>0.567174435956322</v>
      </c>
      <c r="L16" s="163">
        <f t="shared" si="7"/>
        <v>1.2062333584594647</v>
      </c>
      <c r="M16" s="163">
        <f t="shared" si="7"/>
        <v>2.3328882896352643</v>
      </c>
      <c r="N16" s="150"/>
    </row>
    <row r="18" spans="1:14" s="156" customFormat="1" ht="12.75">
      <c r="A18" s="154" t="s">
        <v>13</v>
      </c>
      <c r="B18" s="164">
        <f aca="true" t="shared" si="8" ref="B18:M18">B10</f>
        <v>2.277168208230741</v>
      </c>
      <c r="C18" s="164">
        <f t="shared" si="8"/>
        <v>2.1566817740636206</v>
      </c>
      <c r="D18" s="164">
        <f t="shared" si="8"/>
        <v>1.556612265141428</v>
      </c>
      <c r="E18" s="164">
        <f t="shared" si="8"/>
        <v>1.1523346170094246</v>
      </c>
      <c r="F18" s="164">
        <f t="shared" si="8"/>
        <v>0.7072932881132001</v>
      </c>
      <c r="G18" s="164">
        <f t="shared" si="8"/>
        <v>0.42242680043570374</v>
      </c>
      <c r="H18" s="164">
        <f t="shared" si="8"/>
        <v>0.28132304880750975</v>
      </c>
      <c r="I18" s="164">
        <f t="shared" si="8"/>
        <v>0.22740348645777467</v>
      </c>
      <c r="J18" s="164">
        <f t="shared" si="8"/>
        <v>0.2602873396397162</v>
      </c>
      <c r="K18" s="164">
        <f t="shared" si="8"/>
        <v>0.47675532297777795</v>
      </c>
      <c r="L18" s="164">
        <f t="shared" si="8"/>
        <v>1.0139352868209992</v>
      </c>
      <c r="M18" s="164">
        <f t="shared" si="8"/>
        <v>1.960978562302106</v>
      </c>
      <c r="N18" s="155">
        <f>SUM(B18:M18)</f>
        <v>12.493200000000002</v>
      </c>
    </row>
    <row r="19" spans="1:14" s="156" customFormat="1" ht="12.75">
      <c r="A19" s="157" t="s">
        <v>0</v>
      </c>
      <c r="B19" s="164">
        <f aca="true" t="shared" si="9" ref="B19:M19">B13</f>
        <v>2.277168208230741</v>
      </c>
      <c r="C19" s="164">
        <f t="shared" si="9"/>
        <v>2.1566817740636206</v>
      </c>
      <c r="D19" s="164">
        <f t="shared" si="9"/>
        <v>1.556612265141428</v>
      </c>
      <c r="E19" s="164">
        <f t="shared" si="9"/>
        <v>1.1523346170094246</v>
      </c>
      <c r="F19" s="164">
        <f t="shared" si="9"/>
        <v>0.7072932881132001</v>
      </c>
      <c r="G19" s="164">
        <f t="shared" si="9"/>
        <v>0.42242680043570374</v>
      </c>
      <c r="H19" s="164">
        <f t="shared" si="9"/>
        <v>0.28132304880750975</v>
      </c>
      <c r="I19" s="164">
        <f t="shared" si="9"/>
        <v>0.22740348645777467</v>
      </c>
      <c r="J19" s="164">
        <f t="shared" si="9"/>
        <v>0.2602873396397162</v>
      </c>
      <c r="K19" s="164">
        <f t="shared" si="9"/>
        <v>0.47675532297777795</v>
      </c>
      <c r="L19" s="164">
        <f t="shared" si="9"/>
        <v>1.0139352868209992</v>
      </c>
      <c r="M19" s="164">
        <f t="shared" si="9"/>
        <v>1.960978562302106</v>
      </c>
      <c r="N19" s="155">
        <f>SUM(B19:M19)</f>
        <v>12.493200000000002</v>
      </c>
    </row>
    <row r="20" spans="1:14" s="156" customFormat="1" ht="13.5" thickBot="1">
      <c r="A20" s="158" t="s">
        <v>18</v>
      </c>
      <c r="B20" s="164">
        <f aca="true" t="shared" si="10" ref="B20:M20">B16</f>
        <v>2.7090449373779504</v>
      </c>
      <c r="C20" s="164">
        <f t="shared" si="10"/>
        <v>2.5657076277653417</v>
      </c>
      <c r="D20" s="164">
        <f t="shared" si="10"/>
        <v>1.8518318326682504</v>
      </c>
      <c r="E20" s="164">
        <f t="shared" si="10"/>
        <v>1.3708808374767292</v>
      </c>
      <c r="F20" s="164">
        <f t="shared" si="10"/>
        <v>0.8414351186174278</v>
      </c>
      <c r="G20" s="164">
        <f t="shared" si="10"/>
        <v>0.5025422281045441</v>
      </c>
      <c r="H20" s="164">
        <f t="shared" si="10"/>
        <v>0.33467742013307195</v>
      </c>
      <c r="I20" s="164">
        <f t="shared" si="10"/>
        <v>0.2705317338894216</v>
      </c>
      <c r="J20" s="164">
        <f t="shared" si="10"/>
        <v>0.309652179916214</v>
      </c>
      <c r="K20" s="164">
        <f t="shared" si="10"/>
        <v>0.567174435956322</v>
      </c>
      <c r="L20" s="164">
        <f t="shared" si="10"/>
        <v>1.2062333584594647</v>
      </c>
      <c r="M20" s="164">
        <f t="shared" si="10"/>
        <v>2.3328882896352643</v>
      </c>
      <c r="N20" s="155">
        <f>SUM(B20:M20)</f>
        <v>14.862599999999999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P9" sqref="P9"/>
    </sheetView>
  </sheetViews>
  <sheetFormatPr defaultColWidth="9.140625" defaultRowHeight="12.75"/>
  <cols>
    <col min="1" max="1" width="20.140625" style="133" bestFit="1" customWidth="1"/>
    <col min="2" max="7" width="9.7109375" style="133" bestFit="1" customWidth="1"/>
    <col min="8" max="16384" width="9.140625" style="133" customWidth="1"/>
  </cols>
  <sheetData>
    <row r="2" ht="13.5" thickBot="1"/>
    <row r="3" spans="1:6" ht="13.5" thickTop="1">
      <c r="A3" s="234" t="s">
        <v>137</v>
      </c>
      <c r="B3" s="235"/>
      <c r="C3" s="235"/>
      <c r="D3" s="235"/>
      <c r="E3" s="235"/>
      <c r="F3" s="236"/>
    </row>
    <row r="4" spans="1:6" ht="12.75">
      <c r="A4" s="165"/>
      <c r="B4" s="166">
        <v>2004</v>
      </c>
      <c r="C4" s="166">
        <v>2005</v>
      </c>
      <c r="D4" s="166">
        <v>2006</v>
      </c>
      <c r="E4" s="166">
        <v>2007</v>
      </c>
      <c r="F4" s="167">
        <v>2008</v>
      </c>
    </row>
    <row r="5" spans="1:6" ht="12.75">
      <c r="A5" s="168" t="s">
        <v>13</v>
      </c>
      <c r="B5" s="169">
        <f>'2004'!N18</f>
        <v>7.7850185142857145</v>
      </c>
      <c r="C5" s="169">
        <f>'2005'!N18</f>
        <v>6.1009807163046865</v>
      </c>
      <c r="D5" s="169">
        <f>'2006'!N18</f>
        <v>5.157639312237973</v>
      </c>
      <c r="E5" s="169">
        <f>'2007'!N18</f>
        <v>12.493200000000002</v>
      </c>
      <c r="F5" s="170">
        <f>'2008'!N18</f>
        <v>12.493200000000002</v>
      </c>
    </row>
    <row r="6" spans="1:6" ht="12.75">
      <c r="A6" s="171" t="s">
        <v>0</v>
      </c>
      <c r="B6" s="172">
        <f>'2004'!N19</f>
        <v>7.7850185142857145</v>
      </c>
      <c r="C6" s="172">
        <f>'2005'!N19</f>
        <v>6.1009807163046865</v>
      </c>
      <c r="D6" s="172">
        <f>'2006'!N19</f>
        <v>5.157639312237973</v>
      </c>
      <c r="E6" s="172">
        <f>'2007'!N19</f>
        <v>12.493200000000002</v>
      </c>
      <c r="F6" s="173">
        <f>'2008'!N19</f>
        <v>12.493200000000002</v>
      </c>
    </row>
    <row r="7" spans="1:6" ht="13.5" thickBot="1">
      <c r="A7" s="174" t="s">
        <v>18</v>
      </c>
      <c r="B7" s="175">
        <f>'2004'!N20</f>
        <v>9.261487542857143</v>
      </c>
      <c r="C7" s="175">
        <f>'2005'!N20</f>
        <v>7.258063265948678</v>
      </c>
      <c r="D7" s="175">
        <f>'2006'!N20</f>
        <v>6.1358122852486225</v>
      </c>
      <c r="E7" s="175">
        <f>'2007'!N20</f>
        <v>14.862599999999999</v>
      </c>
      <c r="F7" s="176">
        <f>'2008'!N20</f>
        <v>14.862599999999999</v>
      </c>
    </row>
    <row r="8" ht="13.5" thickTop="1"/>
    <row r="11" ht="13.5" thickBot="1"/>
    <row r="12" spans="1:7" ht="13.5" thickTop="1">
      <c r="A12" s="234" t="s">
        <v>138</v>
      </c>
      <c r="B12" s="235"/>
      <c r="C12" s="235"/>
      <c r="D12" s="235"/>
      <c r="E12" s="235"/>
      <c r="F12" s="235"/>
      <c r="G12" s="236"/>
    </row>
    <row r="13" spans="1:7" ht="12.75">
      <c r="A13" s="177" t="s">
        <v>5</v>
      </c>
      <c r="B13" s="178">
        <v>37875</v>
      </c>
      <c r="C13" s="179">
        <v>38109</v>
      </c>
      <c r="D13" s="179">
        <v>38397</v>
      </c>
      <c r="E13" s="179">
        <v>38718</v>
      </c>
      <c r="F13" s="179">
        <v>39022</v>
      </c>
      <c r="G13" s="180">
        <v>39448</v>
      </c>
    </row>
    <row r="14" spans="1:7" ht="12.75">
      <c r="A14" s="181" t="s">
        <v>4</v>
      </c>
      <c r="B14" s="182" t="s">
        <v>139</v>
      </c>
      <c r="C14" s="183" t="s">
        <v>140</v>
      </c>
      <c r="D14" s="183" t="s">
        <v>141</v>
      </c>
      <c r="E14" s="183" t="s">
        <v>141</v>
      </c>
      <c r="F14" s="183" t="s">
        <v>142</v>
      </c>
      <c r="G14" s="184" t="s">
        <v>143</v>
      </c>
    </row>
    <row r="15" spans="1:7" ht="12.75">
      <c r="A15" s="185">
        <v>101</v>
      </c>
      <c r="B15" s="186">
        <f>0.96/1.75*0.02039</f>
        <v>0.011185371428571428</v>
      </c>
      <c r="C15" s="186">
        <f>0.96/1.75*0.02039</f>
        <v>0.011185371428571428</v>
      </c>
      <c r="D15" s="186">
        <f>(0.96/1.75)*0.01441</f>
        <v>0.007904914285714286</v>
      </c>
      <c r="E15" s="186">
        <f>0.5/1.29*0.01062</f>
        <v>0.004116279069767441</v>
      </c>
      <c r="F15" s="186">
        <v>0.01795</v>
      </c>
      <c r="G15" s="187">
        <v>0.01795</v>
      </c>
    </row>
    <row r="16" spans="1:7" ht="12.75">
      <c r="A16" s="188" t="s">
        <v>144</v>
      </c>
      <c r="B16" s="189">
        <f>0.96/1.75*0.01759</f>
        <v>0.00964937142857143</v>
      </c>
      <c r="C16" s="189">
        <f>0.96/1.75*0.01759</f>
        <v>0.00964937142857143</v>
      </c>
      <c r="D16" s="189">
        <f>0.96/1.75*0.01243</f>
        <v>0.006818742857142858</v>
      </c>
      <c r="E16" s="189">
        <f>0.5/1.29*0.00916</f>
        <v>0.0035503875968992244</v>
      </c>
      <c r="F16" s="189">
        <v>0.0158</v>
      </c>
      <c r="G16" s="190">
        <v>0.0158</v>
      </c>
    </row>
    <row r="17" spans="1:7" ht="12.75">
      <c r="A17" s="185" t="s">
        <v>145</v>
      </c>
      <c r="B17" s="186">
        <f>0.96/1.75*0.01628</f>
        <v>0.008930742857142857</v>
      </c>
      <c r="C17" s="186">
        <f>0.96/1.75*0.01628</f>
        <v>0.008930742857142857</v>
      </c>
      <c r="D17" s="186">
        <f>0.96/1.75*0.0115</f>
        <v>0.006308571428571429</v>
      </c>
      <c r="E17" s="186">
        <f>0.5/1.29*0.00848</f>
        <v>0.0032868217054263563</v>
      </c>
      <c r="F17" s="186">
        <v>0.01479</v>
      </c>
      <c r="G17" s="187">
        <v>0.01479</v>
      </c>
    </row>
    <row r="18" spans="1:7" ht="13.5" thickBot="1">
      <c r="A18" s="191" t="s">
        <v>146</v>
      </c>
      <c r="B18" s="192">
        <f>0.96/1.75*0.01572</f>
        <v>0.008623542857142858</v>
      </c>
      <c r="C18" s="192">
        <f>0.96/1.75*0.01572</f>
        <v>0.008623542857142858</v>
      </c>
      <c r="D18" s="192">
        <f>0.96/1.75*0.01111</f>
        <v>0.0060946285714285715</v>
      </c>
      <c r="E18" s="192">
        <f>0.5/1.29*0.00819</f>
        <v>0.003174418604651162</v>
      </c>
      <c r="F18" s="192">
        <v>0.01429</v>
      </c>
      <c r="G18" s="193">
        <v>0.01429</v>
      </c>
    </row>
    <row r="19" ht="13.5" thickTop="1"/>
  </sheetData>
  <mergeCells count="2">
    <mergeCell ref="A3:F3"/>
    <mergeCell ref="A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dcterms:created xsi:type="dcterms:W3CDTF">2008-12-10T19:55:14Z</dcterms:created>
  <dcterms:modified xsi:type="dcterms:W3CDTF">2009-03-30T15:36:22Z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