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125" activeTab="0"/>
  </bookViews>
  <sheets>
    <sheet name="J.1" sheetId="1" r:id="rId1"/>
    <sheet name="J.2" sheetId="2" r:id="rId2"/>
    <sheet name="J2 Summary" sheetId="3" r:id="rId3"/>
    <sheet name="J4" sheetId="4" r:id="rId4"/>
    <sheet name="J.6" sheetId="5" r:id="rId5"/>
    <sheet name="J6 Summary" sheetId="6" r:id="rId6"/>
    <sheet name="J.7" sheetId="7" r:id="rId7"/>
  </sheets>
  <definedNames>
    <definedName name="_xlnm.Print_Area" localSheetId="0">'J.1'!$A$1:$AO$89</definedName>
    <definedName name="_xlnm.Print_Titles" localSheetId="0">'J.1'!$A:$E,'J.1'!$4:$4</definedName>
    <definedName name="_xlnm.Print_Titles" localSheetId="1">'J.2'!$3:$3</definedName>
  </definedNames>
  <calcPr fullCalcOnLoad="1"/>
</workbook>
</file>

<file path=xl/sharedStrings.xml><?xml version="1.0" encoding="utf-8"?>
<sst xmlns="http://schemas.openxmlformats.org/spreadsheetml/2006/main" count="843" uniqueCount="203">
  <si>
    <t>Therm sales and transportation volumes by rate schedule before and after weather normalization for 2006, 2007, 2008</t>
  </si>
  <si>
    <t>State</t>
  </si>
  <si>
    <t xml:space="preserve">Schedule </t>
  </si>
  <si>
    <t>Class</t>
  </si>
  <si>
    <t>Revenue Run</t>
  </si>
  <si>
    <t>WR101</t>
  </si>
  <si>
    <t>WA</t>
  </si>
  <si>
    <t>Residential</t>
  </si>
  <si>
    <t>WC101</t>
  </si>
  <si>
    <t>Commercial</t>
  </si>
  <si>
    <t>WI101</t>
  </si>
  <si>
    <t>Industrial</t>
  </si>
  <si>
    <t>WT101</t>
  </si>
  <si>
    <t>Total</t>
  </si>
  <si>
    <t>WR111</t>
  </si>
  <si>
    <t>WC111</t>
  </si>
  <si>
    <t>WI111</t>
  </si>
  <si>
    <t>WT111</t>
  </si>
  <si>
    <t>WR121</t>
  </si>
  <si>
    <t>WC121</t>
  </si>
  <si>
    <t>WI121</t>
  </si>
  <si>
    <t>WT121</t>
  </si>
  <si>
    <t>WT131</t>
  </si>
  <si>
    <t>Interruptible</t>
  </si>
  <si>
    <t>WT146</t>
  </si>
  <si>
    <t>Transportation</t>
  </si>
  <si>
    <t>WT148</t>
  </si>
  <si>
    <t>Special Contract Transportation</t>
  </si>
  <si>
    <t>Total WA</t>
  </si>
  <si>
    <t>Unbilled</t>
  </si>
  <si>
    <t>Weather Adjustment</t>
  </si>
  <si>
    <t>Weather Normalized Sales Volumes</t>
  </si>
  <si>
    <t>111/112</t>
  </si>
  <si>
    <t>121/122</t>
  </si>
  <si>
    <t>131/132</t>
  </si>
  <si>
    <t>147/148</t>
  </si>
  <si>
    <t>Total Gas Margin Revenues by rate schedule before and after weather normalization 2006, 2007, 2008</t>
  </si>
  <si>
    <t>Weather Adjusted Margin Revenue</t>
  </si>
  <si>
    <t>Recorded Margin Revenue</t>
  </si>
  <si>
    <t>Month</t>
  </si>
  <si>
    <t xml:space="preserve">     Billed Usage</t>
  </si>
  <si>
    <t xml:space="preserve">     Net Unbilled Usage</t>
  </si>
  <si>
    <t xml:space="preserve">     Billed Customers</t>
  </si>
  <si>
    <t xml:space="preserve">     Basic Charge</t>
  </si>
  <si>
    <t xml:space="preserve">     Margin Rate/Therm</t>
  </si>
  <si>
    <t xml:space="preserve">     Weather Adjustment Usage</t>
  </si>
  <si>
    <t xml:space="preserve">     Incremental Margin</t>
  </si>
  <si>
    <t>1st Block</t>
  </si>
  <si>
    <t>2nd Block</t>
  </si>
  <si>
    <t>3rd Block</t>
  </si>
  <si>
    <t xml:space="preserve">     Minimum Charge</t>
  </si>
  <si>
    <t>4th Block</t>
  </si>
  <si>
    <t>5th Block</t>
  </si>
  <si>
    <t>Block 1</t>
  </si>
  <si>
    <t>Block 2</t>
  </si>
  <si>
    <t>Block 3</t>
  </si>
  <si>
    <t>Block 4</t>
  </si>
  <si>
    <t>Block 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</si>
  <si>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</si>
  <si>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</si>
  <si>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</si>
  <si>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</si>
  <si>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</si>
  <si>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</si>
  <si>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</si>
  <si>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</si>
  <si>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</si>
  <si>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</si>
  <si>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</si>
  <si>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</si>
  <si>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Exclude Demand Cost/Therm</t>
  </si>
  <si>
    <t>Billed Revenue</t>
  </si>
  <si>
    <t>Unbilled Revenue</t>
  </si>
  <si>
    <t>Non-Margin Revenue</t>
  </si>
  <si>
    <t>Schedule 147 Spec Contract</t>
  </si>
  <si>
    <t>Schedule 148 Spec Contract</t>
  </si>
  <si>
    <t>Unbilled Schedule 148 Revenue</t>
  </si>
  <si>
    <t>Note:  Applied tail block rate to unbilled and weather adjustment usage</t>
  </si>
  <si>
    <t>Test Block Max</t>
  </si>
  <si>
    <t>All 148 Revenue is Margin Revenue</t>
  </si>
  <si>
    <t>2006 Max Adj Calc</t>
  </si>
  <si>
    <t>Adjusted to Exclude Revenue Related Exp</t>
  </si>
  <si>
    <t>Schedule 131/132 Block Analysis</t>
  </si>
  <si>
    <t>Exclude Amort Prior Gas Cost/Therm</t>
  </si>
  <si>
    <t>Revenue Related Expense Factor</t>
  </si>
  <si>
    <t>Rate</t>
  </si>
  <si>
    <t>Usage</t>
  </si>
  <si>
    <t>Weather
Normalized
Usage</t>
  </si>
  <si>
    <t>101 Total</t>
  </si>
  <si>
    <t>111 Total</t>
  </si>
  <si>
    <t>121 Total</t>
  </si>
  <si>
    <t>131 Interruptible</t>
  </si>
  <si>
    <t>146 Transportation</t>
  </si>
  <si>
    <t>148 Special Contract Transportation</t>
  </si>
  <si>
    <t>Schedule</t>
  </si>
  <si>
    <t># of Customers</t>
  </si>
  <si>
    <t>Table J5  Annual Gas Usage per Customer</t>
  </si>
  <si>
    <t>Usage
Per
Customer</t>
  </si>
  <si>
    <t>Weather
Normalized
Usage Per
Customer</t>
  </si>
  <si>
    <t>Table J2  Impact of Weather Normalization on Margin Revenues</t>
  </si>
  <si>
    <t>Recorded
Margin</t>
  </si>
  <si>
    <t>Weather
Normalized
Margin</t>
  </si>
  <si>
    <t>Change in delivered average monthly price per therm by rate schedule 2006 - 2008</t>
  </si>
  <si>
    <t>Detailed incremental chronological listing (including Docket #) and price per therm impact of all rate adjustments</t>
  </si>
  <si>
    <t>Cumulative Impact</t>
  </si>
  <si>
    <t>Date of</t>
  </si>
  <si>
    <t>Adjustment For</t>
  </si>
  <si>
    <t xml:space="preserve">Total </t>
  </si>
  <si>
    <t>Change</t>
  </si>
  <si>
    <t>Basic Chg</t>
  </si>
  <si>
    <t>USAGE</t>
  </si>
  <si>
    <t>Base Rates</t>
  </si>
  <si>
    <t>Sch 150</t>
  </si>
  <si>
    <t>Sch 155</t>
  </si>
  <si>
    <t>Subtotal</t>
  </si>
  <si>
    <t>Sch 156</t>
  </si>
  <si>
    <t>Sch 159</t>
  </si>
  <si>
    <t>Sch 191</t>
  </si>
  <si>
    <t>As Billed</t>
  </si>
  <si>
    <t>Filing Description</t>
  </si>
  <si>
    <t>Docket #</t>
  </si>
  <si>
    <t>Schedule 101</t>
  </si>
  <si>
    <t>All</t>
  </si>
  <si>
    <t>5th</t>
  </si>
  <si>
    <t>7th</t>
  </si>
  <si>
    <t>9th</t>
  </si>
  <si>
    <t>14th</t>
  </si>
  <si>
    <t>2nd</t>
  </si>
  <si>
    <t>PGA &amp; Decoupling</t>
  </si>
  <si>
    <t>UG-081672 &amp; UG-081601</t>
  </si>
  <si>
    <t>8th</t>
  </si>
  <si>
    <t>13th</t>
  </si>
  <si>
    <t>Original</t>
  </si>
  <si>
    <t>GRC</t>
  </si>
  <si>
    <t>UG-070805</t>
  </si>
  <si>
    <t>4th</t>
  </si>
  <si>
    <t>12th</t>
  </si>
  <si>
    <t>6th</t>
  </si>
  <si>
    <t>UG-071864 &amp; UG-071863</t>
  </si>
  <si>
    <t>PGA+DSM</t>
  </si>
  <si>
    <t xml:space="preserve">UG-061531 &amp; UG-061529 </t>
  </si>
  <si>
    <t>3rd</t>
  </si>
  <si>
    <t>10th</t>
  </si>
  <si>
    <t xml:space="preserve">GRC </t>
  </si>
  <si>
    <t>UG-050483</t>
  </si>
  <si>
    <t>Schedule 111</t>
  </si>
  <si>
    <t xml:space="preserve">Min Chg = </t>
  </si>
  <si>
    <t>PGA</t>
  </si>
  <si>
    <t xml:space="preserve">UG-081672 </t>
  </si>
  <si>
    <t>+ Therms used times</t>
  </si>
  <si>
    <t>201-1000</t>
  </si>
  <si>
    <t>1001+</t>
  </si>
  <si>
    <t>UG-071864</t>
  </si>
  <si>
    <t xml:space="preserve">6th </t>
  </si>
  <si>
    <t>Schedule 121</t>
  </si>
  <si>
    <t>+ # Therms used times</t>
  </si>
  <si>
    <t>1st 500</t>
  </si>
  <si>
    <t>501-1000</t>
  </si>
  <si>
    <t>1001-10,000</t>
  </si>
  <si>
    <t>10,001-25,000</t>
  </si>
  <si>
    <t>over 25,000</t>
  </si>
  <si>
    <t>Schedule 131</t>
  </si>
  <si>
    <t>Minimum</t>
  </si>
  <si>
    <t>1st 10,000</t>
  </si>
  <si>
    <t>25,001-50,000</t>
  </si>
  <si>
    <t>over 50,000</t>
  </si>
  <si>
    <t>Schedule 146</t>
  </si>
  <si>
    <t>Customer Charge</t>
  </si>
  <si>
    <t>plus</t>
  </si>
  <si>
    <t>1st 20,000</t>
  </si>
  <si>
    <t>20,001-50,000</t>
  </si>
  <si>
    <t>50,001-300,000</t>
  </si>
  <si>
    <t>300,001-500,000</t>
  </si>
  <si>
    <t>over 500,000</t>
  </si>
  <si>
    <t>Rate Adjustment Summary</t>
  </si>
  <si>
    <t>Charge</t>
  </si>
  <si>
    <t>% Change</t>
  </si>
  <si>
    <t>Cost per Therm</t>
  </si>
  <si>
    <t>+ Therms times</t>
  </si>
  <si>
    <t>Natural Gas Commodity Cost Embedded in Monthly Price per Therm by Rate Schedule 2006 - 2008</t>
  </si>
  <si>
    <t>Includes Gross Up for Revenue Related Expenses</t>
  </si>
  <si>
    <t xml:space="preserve">Demand </t>
  </si>
  <si>
    <t>Commodity</t>
  </si>
  <si>
    <t>WACOG</t>
  </si>
  <si>
    <t>Amortized
Gas Cost</t>
  </si>
  <si>
    <t>Total
Commodity</t>
  </si>
  <si>
    <t>Docket No. UG-051372</t>
  </si>
  <si>
    <t>Docket No. UG-061531</t>
  </si>
  <si>
    <t>Docket No. UG-071864</t>
  </si>
  <si>
    <t>Docket No. UG-081672</t>
  </si>
  <si>
    <t>Natural Gas Commodity Cost Impact</t>
  </si>
  <si>
    <t># of Shedule 101 Customers</t>
  </si>
  <si>
    <t># of Schedule 101 Residential Customers</t>
  </si>
  <si>
    <t>% of Schedule 101 Residential Customers</t>
  </si>
  <si>
    <t>Usage of Shedule 101 Customers</t>
  </si>
  <si>
    <t>Usage of Schedule 101 Residential Customers</t>
  </si>
  <si>
    <t>Table J1 - Total Annual Usage Summary</t>
  </si>
  <si>
    <t>Table J4-A  Proportion of Schedule 101 Residential Customers by Quantity</t>
  </si>
  <si>
    <t>Table J4-B  Proportion of Schedule 101 Residential Customers by Usage</t>
  </si>
  <si>
    <t>148 Special Contract</t>
  </si>
  <si>
    <t>From Avista's Response to Data Request 10-6.</t>
  </si>
  <si>
    <t>Schedule 111/112 Block Analysis</t>
  </si>
  <si>
    <t>Schedule 121/122 Block Analysis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</si>
</sst>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0.00000"/>
    <numFmt numFmtId="169" formatCode="#,###,###,###,##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#,###,###,##0"/>
    <numFmt numFmtId="173" formatCode="&quot;$&quot;0.00000"/>
    <numFmt numFmtId="174" formatCode=".00000"/>
    <numFmt numFmtId="175" formatCode="&quot;$&quot;#,##0.00000"/>
    <numFmt numFmtId="176" formatCode="mm/dd/yy"/>
    <numFmt numFmtId="177" formatCode="0.000"/>
    <numFmt numFmtId="178" formatCode="0.0000"/>
    <numFmt numFmtId="179" formatCode="&quot;$&quot;#,##0.00"/>
    <numFmt numFmtId="180" formatCode="_(&quot;$&quot;* #,##0.00000_);_(&quot;$&quot;* \(#,##0.00000\);_(&quot;$&quot;* &quot;-&quot;??_);_(@_)"/>
    <numFmt numFmtId="181" formatCode="&quot;$&quot;#,##0.00000_);\(&quot;$&quot;#,##0.00000\)"/>
    <numFmt numFmtId="182" formatCode="&quot;$&quot;#,##0"/>
    <numFmt numFmtId="183" formatCode="0.0"/>
    <numFmt numFmtId="184" formatCode="0.0000000"/>
    <numFmt numFmtId="185" formatCode="0.000000"/>
    <numFmt numFmtId="186" formatCode="0.000000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_);_(* \(#,##0.000000\);_(* &quot;-&quot;??????_);_(@_)"/>
    <numFmt numFmtId="192" formatCode="0.0%"/>
    <numFmt numFmtId="193" formatCode="_(&quot;$&quot;* #,##0.000000_);_(&quot;$&quot;* \(#,##0.000000\);_(&quot;$&quot;* &quot;-&quot;??_);_(@_)"/>
  </numFmts>
  <fonts count="18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sz val="10"/>
      <color indexed="16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b/>
      <i/>
      <sz val="12"/>
      <color indexed="16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57"/>
      </top>
      <bottom style="thin"/>
    </border>
    <border>
      <left>
        <color indexed="63"/>
      </left>
      <right style="thin">
        <color indexed="21"/>
      </right>
      <top style="thin">
        <color indexed="57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medium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57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17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17" applyNumberFormat="1" applyAlignment="1">
      <alignment horizontal="lef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17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15" applyNumberFormat="1" applyFont="1" applyAlignment="1">
      <alignment/>
    </xf>
    <xf numFmtId="0" fontId="0" fillId="2" borderId="0" xfId="0" applyFill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8" fontId="0" fillId="2" borderId="0" xfId="0" applyNumberFormat="1" applyFill="1" applyAlignment="1">
      <alignment/>
    </xf>
    <xf numFmtId="44" fontId="0" fillId="0" borderId="0" xfId="17" applyFont="1" applyAlignment="1">
      <alignment/>
    </xf>
    <xf numFmtId="44" fontId="0" fillId="2" borderId="0" xfId="17" applyFill="1" applyAlignment="1">
      <alignment/>
    </xf>
    <xf numFmtId="190" fontId="0" fillId="0" borderId="0" xfId="15" applyNumberFormat="1" applyFont="1" applyAlignment="1">
      <alignment/>
    </xf>
    <xf numFmtId="0" fontId="0" fillId="2" borderId="0" xfId="0" applyFill="1" applyAlignment="1">
      <alignment horizontal="left"/>
    </xf>
    <xf numFmtId="190" fontId="0" fillId="2" borderId="0" xfId="15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0" xfId="17" applyNumberFormat="1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/>
    </xf>
    <xf numFmtId="165" fontId="3" fillId="0" borderId="0" xfId="17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5" fillId="4" borderId="3" xfId="0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/>
    </xf>
    <xf numFmtId="3" fontId="5" fillId="4" borderId="0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3" fontId="5" fillId="3" borderId="0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3" fontId="5" fillId="3" borderId="4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73" fontId="3" fillId="0" borderId="16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8" fontId="12" fillId="0" borderId="18" xfId="0" applyNumberFormat="1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173" fontId="3" fillId="0" borderId="19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6" fontId="0" fillId="0" borderId="0" xfId="0" applyNumberFormat="1" applyFont="1" applyFill="1" applyAlignment="1" applyProtection="1">
      <alignment horizontal="center"/>
      <protection/>
    </xf>
    <xf numFmtId="44" fontId="0" fillId="0" borderId="0" xfId="17" applyFont="1" applyFill="1" applyAlignment="1" applyProtection="1">
      <alignment horizontal="center"/>
      <protection/>
    </xf>
    <xf numFmtId="168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>
      <alignment horizontal="center"/>
    </xf>
    <xf numFmtId="173" fontId="3" fillId="0" borderId="0" xfId="0" applyNumberFormat="1" applyFont="1" applyAlignment="1" applyProtection="1">
      <alignment horizontal="center"/>
      <protection/>
    </xf>
    <xf numFmtId="174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8" fontId="14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79" fontId="0" fillId="0" borderId="0" xfId="0" applyNumberFormat="1" applyFill="1" applyAlignment="1">
      <alignment horizontal="center"/>
    </xf>
    <xf numFmtId="0" fontId="14" fillId="0" borderId="0" xfId="0" applyFont="1" applyAlignment="1">
      <alignment horizontal="center"/>
    </xf>
    <xf numFmtId="175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0" fillId="0" borderId="0" xfId="0" applyNumberFormat="1" applyFont="1" applyFill="1" applyAlignment="1" applyProtection="1">
      <alignment horizontal="center"/>
      <protection/>
    </xf>
    <xf numFmtId="179" fontId="3" fillId="0" borderId="0" xfId="0" applyNumberFormat="1" applyFont="1" applyAlignment="1" applyProtection="1">
      <alignment horizontal="center"/>
      <protection/>
    </xf>
    <xf numFmtId="164" fontId="0" fillId="0" borderId="0" xfId="15" applyNumberFormat="1" applyFill="1" applyAlignment="1" applyProtection="1">
      <alignment horizontal="left"/>
      <protection/>
    </xf>
    <xf numFmtId="180" fontId="0" fillId="0" borderId="0" xfId="17" applyNumberFormat="1" applyFill="1" applyAlignment="1">
      <alignment/>
    </xf>
    <xf numFmtId="176" fontId="0" fillId="0" borderId="0" xfId="0" applyNumberFormat="1" applyFill="1" applyAlignment="1" applyProtection="1">
      <alignment horizontal="left"/>
      <protection/>
    </xf>
    <xf numFmtId="0" fontId="0" fillId="0" borderId="21" xfId="0" applyFont="1" applyFill="1" applyBorder="1" applyAlignment="1" quotePrefix="1">
      <alignment horizontal="left"/>
    </xf>
    <xf numFmtId="168" fontId="0" fillId="0" borderId="0" xfId="0" applyNumberFormat="1" applyFont="1" applyFill="1" applyAlignment="1" applyProtection="1">
      <alignment horizontal="center"/>
      <protection/>
    </xf>
    <xf numFmtId="175" fontId="3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68" fontId="0" fillId="0" borderId="0" xfId="0" applyNumberFormat="1" applyFill="1" applyAlignment="1">
      <alignment horizontal="center"/>
    </xf>
    <xf numFmtId="164" fontId="0" fillId="0" borderId="0" xfId="15" applyNumberFormat="1" applyAlignment="1">
      <alignment horizontal="left"/>
    </xf>
    <xf numFmtId="44" fontId="0" fillId="0" borderId="0" xfId="17" applyAlignment="1">
      <alignment/>
    </xf>
    <xf numFmtId="168" fontId="0" fillId="0" borderId="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9" fontId="0" fillId="0" borderId="0" xfId="0" applyNumberFormat="1" applyFont="1" applyAlignment="1" applyProtection="1">
      <alignment horizontal="center"/>
      <protection/>
    </xf>
    <xf numFmtId="44" fontId="0" fillId="0" borderId="0" xfId="17" applyAlignment="1">
      <alignment horizontal="center"/>
    </xf>
    <xf numFmtId="180" fontId="0" fillId="0" borderId="0" xfId="17" applyNumberFormat="1" applyAlignment="1">
      <alignment horizontal="center"/>
    </xf>
    <xf numFmtId="0" fontId="0" fillId="0" borderId="20" xfId="0" applyFill="1" applyBorder="1" applyAlignment="1">
      <alignment horizontal="left"/>
    </xf>
    <xf numFmtId="7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21" xfId="0" applyFill="1" applyBorder="1" applyAlignment="1" quotePrefix="1">
      <alignment horizontal="left"/>
    </xf>
    <xf numFmtId="181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179" fontId="0" fillId="0" borderId="0" xfId="0" applyNumberFormat="1" applyFont="1" applyFill="1" applyAlignment="1" applyProtection="1">
      <alignment horizontal="center"/>
      <protection/>
    </xf>
    <xf numFmtId="165" fontId="3" fillId="0" borderId="0" xfId="17" applyNumberFormat="1" applyFont="1" applyAlignment="1" applyProtection="1">
      <alignment horizontal="center"/>
      <protection/>
    </xf>
    <xf numFmtId="182" fontId="0" fillId="0" borderId="0" xfId="0" applyNumberFormat="1" applyFont="1" applyFill="1" applyAlignment="1" applyProtection="1">
      <alignment horizontal="center"/>
      <protection/>
    </xf>
    <xf numFmtId="18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8" fontId="0" fillId="0" borderId="0" xfId="0" applyNumberFormat="1" applyAlignment="1">
      <alignment horizontal="center"/>
    </xf>
    <xf numFmtId="14" fontId="13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center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/>
    </xf>
    <xf numFmtId="14" fontId="4" fillId="3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4" fontId="5" fillId="3" borderId="25" xfId="0" applyNumberFormat="1" applyFont="1" applyFill="1" applyBorder="1" applyAlignment="1">
      <alignment horizontal="left"/>
    </xf>
    <xf numFmtId="44" fontId="5" fillId="3" borderId="25" xfId="17" applyFont="1" applyFill="1" applyBorder="1" applyAlignment="1" applyProtection="1">
      <alignment/>
      <protection/>
    </xf>
    <xf numFmtId="192" fontId="5" fillId="3" borderId="26" xfId="21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left"/>
    </xf>
    <xf numFmtId="180" fontId="5" fillId="4" borderId="18" xfId="17" applyNumberFormat="1" applyFont="1" applyFill="1" applyBorder="1" applyAlignment="1" applyProtection="1">
      <alignment/>
      <protection/>
    </xf>
    <xf numFmtId="180" fontId="5" fillId="4" borderId="18" xfId="17" applyNumberFormat="1" applyFont="1" applyFill="1" applyBorder="1" applyAlignment="1">
      <alignment/>
    </xf>
    <xf numFmtId="192" fontId="5" fillId="4" borderId="27" xfId="2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4" fontId="5" fillId="3" borderId="1" xfId="17" applyFont="1" applyFill="1" applyBorder="1" applyAlignment="1" applyProtection="1">
      <alignment/>
      <protection/>
    </xf>
    <xf numFmtId="192" fontId="5" fillId="3" borderId="28" xfId="21" applyNumberFormat="1" applyFont="1" applyFill="1" applyBorder="1" applyAlignment="1">
      <alignment horizontal="center"/>
    </xf>
    <xf numFmtId="0" fontId="5" fillId="4" borderId="0" xfId="0" applyFont="1" applyFill="1" applyBorder="1" applyAlignment="1" quotePrefix="1">
      <alignment horizontal="left"/>
    </xf>
    <xf numFmtId="180" fontId="5" fillId="4" borderId="0" xfId="17" applyNumberFormat="1" applyFont="1" applyFill="1" applyBorder="1" applyAlignment="1" applyProtection="1">
      <alignment/>
      <protection/>
    </xf>
    <xf numFmtId="180" fontId="5" fillId="4" borderId="0" xfId="17" applyNumberFormat="1" applyFont="1" applyFill="1" applyBorder="1" applyAlignment="1">
      <alignment/>
    </xf>
    <xf numFmtId="192" fontId="5" fillId="4" borderId="7" xfId="21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/>
      <protection/>
    </xf>
    <xf numFmtId="180" fontId="5" fillId="3" borderId="0" xfId="17" applyNumberFormat="1" applyFont="1" applyFill="1" applyBorder="1" applyAlignment="1" applyProtection="1">
      <alignment/>
      <protection/>
    </xf>
    <xf numFmtId="180" fontId="5" fillId="3" borderId="0" xfId="17" applyNumberFormat="1" applyFont="1" applyFill="1" applyBorder="1" applyAlignment="1">
      <alignment/>
    </xf>
    <xf numFmtId="192" fontId="5" fillId="3" borderId="7" xfId="21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180" fontId="5" fillId="3" borderId="18" xfId="17" applyNumberFormat="1" applyFont="1" applyFill="1" applyBorder="1" applyAlignment="1" applyProtection="1">
      <alignment/>
      <protection/>
    </xf>
    <xf numFmtId="180" fontId="5" fillId="3" borderId="18" xfId="17" applyNumberFormat="1" applyFont="1" applyFill="1" applyBorder="1" applyAlignment="1">
      <alignment/>
    </xf>
    <xf numFmtId="192" fontId="5" fillId="3" borderId="27" xfId="2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44" fontId="5" fillId="4" borderId="1" xfId="17" applyFont="1" applyFill="1" applyBorder="1" applyAlignment="1" applyProtection="1">
      <alignment/>
      <protection/>
    </xf>
    <xf numFmtId="192" fontId="5" fillId="4" borderId="28" xfId="21" applyNumberFormat="1" applyFont="1" applyFill="1" applyBorder="1" applyAlignment="1">
      <alignment horizontal="center"/>
    </xf>
    <xf numFmtId="0" fontId="5" fillId="3" borderId="0" xfId="0" applyFont="1" applyFill="1" applyBorder="1" applyAlignment="1" quotePrefix="1">
      <alignment horizontal="left"/>
    </xf>
    <xf numFmtId="0" fontId="5" fillId="3" borderId="1" xfId="0" applyFont="1" applyFill="1" applyBorder="1" applyAlignment="1" applyProtection="1">
      <alignment horizontal="left"/>
      <protection/>
    </xf>
    <xf numFmtId="0" fontId="5" fillId="4" borderId="0" xfId="0" applyFont="1" applyFill="1" applyBorder="1" applyAlignment="1" applyProtection="1">
      <alignment horizontal="left"/>
      <protection/>
    </xf>
    <xf numFmtId="44" fontId="5" fillId="4" borderId="0" xfId="17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 horizontal="left"/>
    </xf>
    <xf numFmtId="44" fontId="5" fillId="3" borderId="0" xfId="17" applyFont="1" applyFill="1" applyBorder="1" applyAlignment="1" applyProtection="1">
      <alignment/>
      <protection/>
    </xf>
    <xf numFmtId="0" fontId="5" fillId="4" borderId="4" xfId="0" applyFont="1" applyFill="1" applyBorder="1" applyAlignment="1">
      <alignment horizontal="left"/>
    </xf>
    <xf numFmtId="180" fontId="5" fillId="4" borderId="4" xfId="17" applyNumberFormat="1" applyFont="1" applyFill="1" applyBorder="1" applyAlignment="1" applyProtection="1">
      <alignment/>
      <protection/>
    </xf>
    <xf numFmtId="180" fontId="5" fillId="4" borderId="4" xfId="17" applyNumberFormat="1" applyFont="1" applyFill="1" applyBorder="1" applyAlignment="1">
      <alignment/>
    </xf>
    <xf numFmtId="192" fontId="5" fillId="4" borderId="8" xfId="21" applyNumberFormat="1" applyFont="1" applyFill="1" applyBorder="1" applyAlignment="1">
      <alignment horizontal="center"/>
    </xf>
    <xf numFmtId="0" fontId="15" fillId="3" borderId="29" xfId="0" applyFont="1" applyFill="1" applyBorder="1" applyAlignment="1">
      <alignment/>
    </xf>
    <xf numFmtId="0" fontId="15" fillId="3" borderId="30" xfId="0" applyFont="1" applyFill="1" applyBorder="1" applyAlignment="1">
      <alignment/>
    </xf>
    <xf numFmtId="0" fontId="16" fillId="3" borderId="30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 wrapText="1"/>
    </xf>
    <xf numFmtId="0" fontId="16" fillId="3" borderId="3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14" fontId="15" fillId="3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180" fontId="5" fillId="4" borderId="0" xfId="17" applyNumberFormat="1" applyFont="1" applyFill="1" applyBorder="1" applyAlignment="1">
      <alignment horizontal="left"/>
    </xf>
    <xf numFmtId="180" fontId="5" fillId="4" borderId="7" xfId="17" applyNumberFormat="1" applyFont="1" applyFill="1" applyBorder="1" applyAlignment="1">
      <alignment/>
    </xf>
    <xf numFmtId="0" fontId="5" fillId="3" borderId="2" xfId="0" applyFont="1" applyFill="1" applyBorder="1" applyAlignment="1">
      <alignment horizontal="left"/>
    </xf>
    <xf numFmtId="180" fontId="5" fillId="3" borderId="0" xfId="17" applyNumberFormat="1" applyFont="1" applyFill="1" applyBorder="1" applyAlignment="1">
      <alignment horizontal="left"/>
    </xf>
    <xf numFmtId="180" fontId="5" fillId="3" borderId="7" xfId="17" applyNumberFormat="1" applyFont="1" applyFill="1" applyBorder="1" applyAlignment="1">
      <alignment/>
    </xf>
    <xf numFmtId="14" fontId="15" fillId="3" borderId="32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180" fontId="5" fillId="4" borderId="4" xfId="17" applyNumberFormat="1" applyFont="1" applyFill="1" applyBorder="1" applyAlignment="1">
      <alignment horizontal="left"/>
    </xf>
    <xf numFmtId="180" fontId="5" fillId="4" borderId="8" xfId="17" applyNumberFormat="1" applyFont="1" applyFill="1" applyBorder="1" applyAlignment="1">
      <alignment/>
    </xf>
    <xf numFmtId="0" fontId="5" fillId="3" borderId="33" xfId="0" applyFont="1" applyFill="1" applyBorder="1" applyAlignment="1">
      <alignment/>
    </xf>
    <xf numFmtId="14" fontId="5" fillId="3" borderId="34" xfId="0" applyNumberFormat="1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192" fontId="9" fillId="3" borderId="4" xfId="21" applyNumberFormat="1" applyFont="1" applyFill="1" applyBorder="1" applyAlignment="1">
      <alignment horizontal="center"/>
    </xf>
    <xf numFmtId="192" fontId="9" fillId="3" borderId="8" xfId="21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/>
    </xf>
    <xf numFmtId="44" fontId="0" fillId="2" borderId="0" xfId="17" applyFont="1" applyFill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5" fontId="5" fillId="3" borderId="0" xfId="17" applyNumberFormat="1" applyFont="1" applyFill="1" applyBorder="1" applyAlignment="1">
      <alignment/>
    </xf>
    <xf numFmtId="5" fontId="5" fillId="3" borderId="7" xfId="17" applyNumberFormat="1" applyFont="1" applyFill="1" applyBorder="1" applyAlignment="1">
      <alignment/>
    </xf>
    <xf numFmtId="5" fontId="5" fillId="4" borderId="0" xfId="17" applyNumberFormat="1" applyFont="1" applyFill="1" applyBorder="1" applyAlignment="1">
      <alignment/>
    </xf>
    <xf numFmtId="5" fontId="5" fillId="4" borderId="7" xfId="17" applyNumberFormat="1" applyFont="1" applyFill="1" applyBorder="1" applyAlignment="1">
      <alignment/>
    </xf>
    <xf numFmtId="5" fontId="5" fillId="4" borderId="36" xfId="0" applyNumberFormat="1" applyFont="1" applyFill="1" applyBorder="1" applyAlignment="1">
      <alignment/>
    </xf>
    <xf numFmtId="5" fontId="5" fillId="4" borderId="37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180" fontId="15" fillId="3" borderId="44" xfId="17" applyNumberFormat="1" applyFont="1" applyFill="1" applyBorder="1" applyAlignment="1">
      <alignment horizontal="center"/>
    </xf>
    <xf numFmtId="180" fontId="15" fillId="3" borderId="11" xfId="17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1"/>
  <sheetViews>
    <sheetView tabSelected="1" view="pageBreakPreview" zoomScale="60" workbookViewId="0" topLeftCell="A4">
      <selection activeCell="E29" sqref="E29"/>
    </sheetView>
  </sheetViews>
  <sheetFormatPr defaultColWidth="9.140625" defaultRowHeight="12.75"/>
  <cols>
    <col min="2" max="2" width="12.28125" style="0" customWidth="1"/>
    <col min="3" max="3" width="12.7109375" style="0" customWidth="1"/>
    <col min="4" max="4" width="29.8515625" style="0" bestFit="1" customWidth="1"/>
    <col min="5" max="5" width="14.140625" style="0" customWidth="1"/>
    <col min="6" max="6" width="16.140625" style="0" bestFit="1" customWidth="1"/>
    <col min="7" max="7" width="14.140625" style="0" bestFit="1" customWidth="1"/>
    <col min="8" max="8" width="16.140625" style="0" bestFit="1" customWidth="1"/>
    <col min="9" max="9" width="13.421875" style="0" bestFit="1" customWidth="1"/>
    <col min="10" max="11" width="12.7109375" style="0" bestFit="1" customWidth="1"/>
    <col min="12" max="14" width="12.28125" style="0" bestFit="1" customWidth="1"/>
    <col min="15" max="15" width="12.00390625" style="0" bestFit="1" customWidth="1"/>
    <col min="16" max="16" width="13.421875" style="0" bestFit="1" customWidth="1"/>
    <col min="17" max="17" width="13.28125" style="0" bestFit="1" customWidth="1"/>
    <col min="18" max="18" width="13.00390625" style="0" bestFit="1" customWidth="1"/>
    <col min="19" max="19" width="13.28125" style="0" bestFit="1" customWidth="1"/>
    <col min="20" max="20" width="13.00390625" style="0" bestFit="1" customWidth="1"/>
    <col min="21" max="21" width="13.421875" style="0" bestFit="1" customWidth="1"/>
    <col min="22" max="22" width="13.00390625" style="0" bestFit="1" customWidth="1"/>
    <col min="23" max="23" width="12.7109375" style="0" bestFit="1" customWidth="1"/>
    <col min="24" max="27" width="12.28125" style="0" bestFit="1" customWidth="1"/>
    <col min="28" max="29" width="13.00390625" style="0" bestFit="1" customWidth="1"/>
    <col min="30" max="31" width="13.28125" style="0" bestFit="1" customWidth="1"/>
    <col min="32" max="32" width="13.00390625" style="0" bestFit="1" customWidth="1"/>
    <col min="33" max="33" width="13.421875" style="0" bestFit="1" customWidth="1"/>
    <col min="34" max="34" width="12.7109375" style="0" bestFit="1" customWidth="1"/>
    <col min="35" max="35" width="13.00390625" style="0" bestFit="1" customWidth="1"/>
    <col min="36" max="36" width="12.57421875" style="0" bestFit="1" customWidth="1"/>
    <col min="37" max="39" width="12.28125" style="0" bestFit="1" customWidth="1"/>
    <col min="40" max="40" width="12.7109375" style="0" bestFit="1" customWidth="1"/>
    <col min="41" max="41" width="13.28125" style="0" bestFit="1" customWidth="1"/>
    <col min="42" max="43" width="11.7109375" style="0" customWidth="1"/>
    <col min="44" max="44" width="12.421875" style="0" customWidth="1"/>
    <col min="45" max="45" width="12.57421875" style="0" customWidth="1"/>
    <col min="46" max="46" width="11.7109375" style="0" customWidth="1"/>
  </cols>
  <sheetData>
    <row r="1" ht="12.75" hidden="1">
      <c r="A1" t="s">
        <v>0</v>
      </c>
    </row>
    <row r="2" ht="12.75" hidden="1"/>
    <row r="3" ht="12.75" hidden="1"/>
    <row r="4" spans="2:46" ht="12.75">
      <c r="B4" t="s">
        <v>1</v>
      </c>
      <c r="C4" t="s">
        <v>2</v>
      </c>
      <c r="D4" t="s">
        <v>3</v>
      </c>
      <c r="F4" s="1">
        <v>38718</v>
      </c>
      <c r="G4" s="1">
        <v>38749</v>
      </c>
      <c r="H4" s="1">
        <v>38777</v>
      </c>
      <c r="I4" s="1">
        <v>38808</v>
      </c>
      <c r="J4" s="1">
        <v>38838</v>
      </c>
      <c r="K4" s="1">
        <v>38869</v>
      </c>
      <c r="L4" s="1">
        <v>38899</v>
      </c>
      <c r="M4" s="1">
        <v>38930</v>
      </c>
      <c r="N4" s="1">
        <v>38961</v>
      </c>
      <c r="O4" s="1">
        <v>38991</v>
      </c>
      <c r="P4" s="1">
        <v>39022</v>
      </c>
      <c r="Q4" s="1">
        <v>39052</v>
      </c>
      <c r="R4" s="1">
        <v>39083</v>
      </c>
      <c r="S4" s="1">
        <v>39114</v>
      </c>
      <c r="T4" s="1">
        <v>39142</v>
      </c>
      <c r="U4" s="1">
        <v>39173</v>
      </c>
      <c r="V4" s="1">
        <v>39203</v>
      </c>
      <c r="W4" s="1">
        <v>39234</v>
      </c>
      <c r="X4" s="1">
        <v>39264</v>
      </c>
      <c r="Y4" s="1">
        <v>39295</v>
      </c>
      <c r="Z4" s="1">
        <v>39326</v>
      </c>
      <c r="AA4" s="1">
        <v>39356</v>
      </c>
      <c r="AB4" s="1">
        <v>39387</v>
      </c>
      <c r="AC4" s="1">
        <v>39417</v>
      </c>
      <c r="AD4" s="1">
        <v>39448</v>
      </c>
      <c r="AE4" s="1">
        <v>39479</v>
      </c>
      <c r="AF4" s="1">
        <v>39508</v>
      </c>
      <c r="AG4" s="1">
        <v>39539</v>
      </c>
      <c r="AH4" s="1">
        <v>39569</v>
      </c>
      <c r="AI4" s="1">
        <v>39600</v>
      </c>
      <c r="AJ4" s="1">
        <v>39630</v>
      </c>
      <c r="AK4" s="1">
        <v>39661</v>
      </c>
      <c r="AL4" s="1">
        <v>39692</v>
      </c>
      <c r="AM4" s="1">
        <v>39722</v>
      </c>
      <c r="AN4" s="1">
        <v>39753</v>
      </c>
      <c r="AO4" s="1">
        <v>39783</v>
      </c>
      <c r="AP4" s="1"/>
      <c r="AQ4" s="1"/>
      <c r="AR4" s="1"/>
      <c r="AS4" s="1"/>
      <c r="AT4" s="1"/>
    </row>
    <row r="5" ht="12.75">
      <c r="A5" t="s">
        <v>4</v>
      </c>
    </row>
    <row r="6" spans="1:46" ht="12.75">
      <c r="A6" t="s">
        <v>5</v>
      </c>
      <c r="B6" t="s">
        <v>6</v>
      </c>
      <c r="C6">
        <v>101</v>
      </c>
      <c r="D6" t="s">
        <v>7</v>
      </c>
      <c r="F6" s="2">
        <v>15138797</v>
      </c>
      <c r="G6" s="2">
        <v>13938964</v>
      </c>
      <c r="H6" s="2">
        <v>14045674</v>
      </c>
      <c r="I6" s="2">
        <v>9586901</v>
      </c>
      <c r="J6" s="2">
        <v>5754622</v>
      </c>
      <c r="K6" s="2">
        <v>3179163</v>
      </c>
      <c r="L6" s="2">
        <v>2127472</v>
      </c>
      <c r="M6" s="2">
        <v>1782659</v>
      </c>
      <c r="N6" s="2">
        <v>2224823</v>
      </c>
      <c r="O6" s="2">
        <v>3818050</v>
      </c>
      <c r="P6" s="2">
        <v>8453672</v>
      </c>
      <c r="Q6" s="2">
        <v>15218160</v>
      </c>
      <c r="R6" s="2">
        <v>17512280</v>
      </c>
      <c r="S6" s="2">
        <v>17427394</v>
      </c>
      <c r="T6" s="2">
        <v>12071017</v>
      </c>
      <c r="U6" s="2">
        <v>8417549</v>
      </c>
      <c r="V6" s="2">
        <v>5379946</v>
      </c>
      <c r="W6" s="2">
        <v>3288855</v>
      </c>
      <c r="X6" s="2">
        <v>2203231</v>
      </c>
      <c r="Y6" s="2">
        <v>1808092</v>
      </c>
      <c r="Z6" s="2">
        <v>2079148</v>
      </c>
      <c r="AA6" s="2">
        <v>3982835</v>
      </c>
      <c r="AB6" s="2">
        <v>8118585</v>
      </c>
      <c r="AC6" s="2">
        <v>15323927</v>
      </c>
      <c r="AD6" s="2">
        <v>17010047</v>
      </c>
      <c r="AE6" s="2">
        <v>18552818</v>
      </c>
      <c r="AF6" s="2">
        <v>12413960</v>
      </c>
      <c r="AG6" s="2">
        <v>11538463</v>
      </c>
      <c r="AH6" s="2">
        <v>7519334</v>
      </c>
      <c r="AI6" s="2">
        <v>3769309</v>
      </c>
      <c r="AJ6" s="2">
        <v>2480176</v>
      </c>
      <c r="AK6" s="2">
        <v>1998290</v>
      </c>
      <c r="AL6" s="2">
        <v>2245817</v>
      </c>
      <c r="AM6" s="2">
        <v>3488339</v>
      </c>
      <c r="AN6" s="2">
        <v>7441122</v>
      </c>
      <c r="AO6" s="2">
        <v>12819105</v>
      </c>
      <c r="AP6" s="2"/>
      <c r="AQ6" s="2"/>
      <c r="AR6" s="2"/>
      <c r="AS6" s="2"/>
      <c r="AT6" s="2"/>
    </row>
    <row r="7" spans="1:46" ht="12.75">
      <c r="A7" t="s">
        <v>8</v>
      </c>
      <c r="B7" t="s">
        <v>6</v>
      </c>
      <c r="C7">
        <v>101</v>
      </c>
      <c r="D7" t="s">
        <v>9</v>
      </c>
      <c r="F7" s="2">
        <v>3365161</v>
      </c>
      <c r="G7" s="2">
        <v>2721617</v>
      </c>
      <c r="H7" s="2">
        <v>2831963</v>
      </c>
      <c r="I7" s="2">
        <v>1689116</v>
      </c>
      <c r="J7" s="2">
        <v>787064</v>
      </c>
      <c r="K7" s="2">
        <v>354779</v>
      </c>
      <c r="L7" s="2">
        <v>248563</v>
      </c>
      <c r="M7" s="2">
        <v>201385</v>
      </c>
      <c r="N7" s="2">
        <v>252810</v>
      </c>
      <c r="O7" s="2">
        <v>468356</v>
      </c>
      <c r="P7" s="2">
        <v>1413541</v>
      </c>
      <c r="Q7" s="2">
        <v>3092298</v>
      </c>
      <c r="R7" s="2">
        <v>3720368</v>
      </c>
      <c r="S7" s="2">
        <v>3740106</v>
      </c>
      <c r="T7" s="2">
        <v>2360219</v>
      </c>
      <c r="U7" s="2">
        <v>1283323</v>
      </c>
      <c r="V7" s="2">
        <v>721858</v>
      </c>
      <c r="W7" s="2">
        <v>372147</v>
      </c>
      <c r="X7" s="2">
        <v>257735</v>
      </c>
      <c r="Y7" s="2">
        <v>200809</v>
      </c>
      <c r="Z7" s="2">
        <v>252083</v>
      </c>
      <c r="AA7" s="2">
        <v>495802</v>
      </c>
      <c r="AB7" s="2">
        <v>1258630</v>
      </c>
      <c r="AC7" s="2">
        <v>3018080</v>
      </c>
      <c r="AD7" s="2">
        <v>3684010</v>
      </c>
      <c r="AE7" s="2">
        <v>3902556</v>
      </c>
      <c r="AF7" s="2">
        <v>2405279</v>
      </c>
      <c r="AG7" s="2">
        <v>2060003</v>
      </c>
      <c r="AH7" s="2">
        <v>1178010</v>
      </c>
      <c r="AI7" s="2">
        <v>457899</v>
      </c>
      <c r="AJ7" s="2">
        <v>281057</v>
      </c>
      <c r="AK7" s="2">
        <v>223664</v>
      </c>
      <c r="AL7" s="2">
        <v>240745</v>
      </c>
      <c r="AM7" s="2">
        <v>440981</v>
      </c>
      <c r="AN7" s="2">
        <v>1144732</v>
      </c>
      <c r="AO7" s="2">
        <v>2483854</v>
      </c>
      <c r="AP7" s="2"/>
      <c r="AQ7" s="2"/>
      <c r="AR7" s="2"/>
      <c r="AS7" s="2"/>
      <c r="AT7" s="2"/>
    </row>
    <row r="8" spans="1:46" ht="12.75">
      <c r="A8" t="s">
        <v>10</v>
      </c>
      <c r="B8" t="s">
        <v>6</v>
      </c>
      <c r="C8">
        <v>101</v>
      </c>
      <c r="D8" t="s">
        <v>11</v>
      </c>
      <c r="F8" s="2">
        <v>45943</v>
      </c>
      <c r="G8" s="2">
        <v>38818</v>
      </c>
      <c r="H8" s="2">
        <v>36251</v>
      </c>
      <c r="I8" s="2">
        <v>21363</v>
      </c>
      <c r="J8" s="2">
        <v>6543</v>
      </c>
      <c r="K8" s="2">
        <v>3130</v>
      </c>
      <c r="L8" s="2">
        <v>1882</v>
      </c>
      <c r="M8" s="2">
        <v>1399</v>
      </c>
      <c r="N8" s="2">
        <v>1870</v>
      </c>
      <c r="O8" s="2">
        <v>4608</v>
      </c>
      <c r="P8" s="2">
        <v>18960</v>
      </c>
      <c r="Q8" s="2">
        <v>43260</v>
      </c>
      <c r="R8" s="2">
        <v>47081</v>
      </c>
      <c r="S8" s="2">
        <v>53767</v>
      </c>
      <c r="T8" s="2">
        <v>31449</v>
      </c>
      <c r="U8" s="2">
        <v>16968</v>
      </c>
      <c r="V8" s="2">
        <v>8235</v>
      </c>
      <c r="W8" s="2">
        <v>2797</v>
      </c>
      <c r="X8" s="2">
        <v>1322</v>
      </c>
      <c r="Y8" s="2">
        <v>1130</v>
      </c>
      <c r="Z8" s="2">
        <v>1461</v>
      </c>
      <c r="AA8" s="2">
        <v>4889</v>
      </c>
      <c r="AB8" s="2">
        <v>16044</v>
      </c>
      <c r="AC8" s="2">
        <v>39205</v>
      </c>
      <c r="AD8" s="2">
        <v>47663</v>
      </c>
      <c r="AE8" s="2">
        <v>44777</v>
      </c>
      <c r="AF8" s="2">
        <v>30025</v>
      </c>
      <c r="AG8" s="2">
        <v>22623</v>
      </c>
      <c r="AH8" s="2">
        <v>11946</v>
      </c>
      <c r="AI8" s="2">
        <v>4170</v>
      </c>
      <c r="AJ8" s="2">
        <v>2009</v>
      </c>
      <c r="AK8" s="2">
        <v>1090</v>
      </c>
      <c r="AL8" s="2">
        <v>1149</v>
      </c>
      <c r="AM8" s="2">
        <v>3247</v>
      </c>
      <c r="AN8" s="2">
        <v>12606</v>
      </c>
      <c r="AO8" s="2">
        <v>32817</v>
      </c>
      <c r="AP8" s="2"/>
      <c r="AQ8" s="2"/>
      <c r="AR8" s="2"/>
      <c r="AS8" s="2"/>
      <c r="AT8" s="2"/>
    </row>
    <row r="9" spans="1:46" ht="12.75">
      <c r="A9" t="s">
        <v>12</v>
      </c>
      <c r="B9" t="s">
        <v>6</v>
      </c>
      <c r="C9">
        <v>101</v>
      </c>
      <c r="D9" t="s">
        <v>13</v>
      </c>
      <c r="F9" s="2">
        <v>18562669</v>
      </c>
      <c r="G9" s="2">
        <v>16709536</v>
      </c>
      <c r="H9" s="2">
        <v>16924558</v>
      </c>
      <c r="I9" s="2">
        <v>11304373</v>
      </c>
      <c r="J9" s="2">
        <v>6552477</v>
      </c>
      <c r="K9" s="2">
        <v>3538290</v>
      </c>
      <c r="L9" s="2">
        <v>2378214</v>
      </c>
      <c r="M9" s="2">
        <v>1985594</v>
      </c>
      <c r="N9" s="2">
        <v>2479717</v>
      </c>
      <c r="O9" s="2">
        <v>4292105</v>
      </c>
      <c r="P9" s="2">
        <v>9891005</v>
      </c>
      <c r="Q9" s="2">
        <v>18364798</v>
      </c>
      <c r="R9" s="2">
        <v>21292599</v>
      </c>
      <c r="S9" s="2">
        <v>21234566</v>
      </c>
      <c r="T9" s="2">
        <v>14472322</v>
      </c>
      <c r="U9" s="2">
        <v>9724124</v>
      </c>
      <c r="V9" s="2">
        <v>6113562</v>
      </c>
      <c r="W9" s="2">
        <v>3664833</v>
      </c>
      <c r="X9" s="2">
        <v>2462636</v>
      </c>
      <c r="Y9" s="2">
        <v>2010203</v>
      </c>
      <c r="Z9" s="2">
        <v>2332936</v>
      </c>
      <c r="AA9" s="2">
        <v>4484817</v>
      </c>
      <c r="AB9" s="2">
        <v>9398517</v>
      </c>
      <c r="AC9" s="2">
        <v>18392852</v>
      </c>
      <c r="AD9" s="2">
        <v>20755627</v>
      </c>
      <c r="AE9" s="2">
        <v>22514347</v>
      </c>
      <c r="AF9" s="2">
        <v>14859076</v>
      </c>
      <c r="AG9" s="2">
        <v>13629159</v>
      </c>
      <c r="AH9" s="2">
        <v>8714627</v>
      </c>
      <c r="AI9" s="2">
        <v>4232714</v>
      </c>
      <c r="AJ9" s="2">
        <v>2763613</v>
      </c>
      <c r="AK9" s="2">
        <v>2223233</v>
      </c>
      <c r="AL9" s="2">
        <v>2487966</v>
      </c>
      <c r="AM9" s="2">
        <v>3933329</v>
      </c>
      <c r="AN9" s="2">
        <v>8603159</v>
      </c>
      <c r="AO9" s="2">
        <v>15345278</v>
      </c>
      <c r="AP9" s="2"/>
      <c r="AQ9" s="2"/>
      <c r="AR9" s="2"/>
      <c r="AS9" s="2"/>
      <c r="AT9" s="2"/>
    </row>
    <row r="10" spans="1:46" ht="12.75">
      <c r="A10" t="s">
        <v>14</v>
      </c>
      <c r="B10" t="s">
        <v>6</v>
      </c>
      <c r="C10">
        <v>111</v>
      </c>
      <c r="D10" t="s">
        <v>7</v>
      </c>
      <c r="F10" s="2">
        <v>754344</v>
      </c>
      <c r="G10" s="2">
        <v>711700</v>
      </c>
      <c r="H10" s="2">
        <v>644464</v>
      </c>
      <c r="I10" s="2">
        <v>466407</v>
      </c>
      <c r="J10" s="2">
        <v>382600</v>
      </c>
      <c r="K10" s="2">
        <v>196314</v>
      </c>
      <c r="L10" s="2">
        <v>147535</v>
      </c>
      <c r="M10" s="2">
        <v>109830</v>
      </c>
      <c r="N10" s="2">
        <v>122067</v>
      </c>
      <c r="O10" s="2">
        <v>185664</v>
      </c>
      <c r="P10" s="2">
        <v>390086</v>
      </c>
      <c r="Q10" s="2">
        <v>585059</v>
      </c>
      <c r="R10" s="2">
        <v>815164</v>
      </c>
      <c r="S10" s="2">
        <v>738587</v>
      </c>
      <c r="T10" s="2">
        <v>659822</v>
      </c>
      <c r="U10" s="2">
        <v>465364</v>
      </c>
      <c r="V10" s="2">
        <v>361399</v>
      </c>
      <c r="W10" s="2">
        <v>216666</v>
      </c>
      <c r="X10" s="2">
        <v>126796</v>
      </c>
      <c r="Y10" s="2">
        <v>107750</v>
      </c>
      <c r="Z10" s="2">
        <v>114336</v>
      </c>
      <c r="AA10" s="2">
        <v>184613</v>
      </c>
      <c r="AB10" s="2">
        <v>361557</v>
      </c>
      <c r="AC10" s="2">
        <v>622068</v>
      </c>
      <c r="AD10" s="2">
        <v>719132</v>
      </c>
      <c r="AE10" s="2">
        <v>820263</v>
      </c>
      <c r="AF10" s="2">
        <v>553232</v>
      </c>
      <c r="AG10" s="2">
        <v>529326</v>
      </c>
      <c r="AH10" s="2">
        <v>372507</v>
      </c>
      <c r="AI10" s="2">
        <v>207635</v>
      </c>
      <c r="AJ10" s="2">
        <v>149371</v>
      </c>
      <c r="AK10" s="2">
        <v>100796</v>
      </c>
      <c r="AL10" s="2">
        <v>120432</v>
      </c>
      <c r="AM10" s="2">
        <v>169459</v>
      </c>
      <c r="AN10" s="2">
        <v>340250</v>
      </c>
      <c r="AO10" s="2">
        <v>494106</v>
      </c>
      <c r="AP10" s="2"/>
      <c r="AQ10" s="2"/>
      <c r="AR10" s="2"/>
      <c r="AS10" s="2"/>
      <c r="AT10" s="2"/>
    </row>
    <row r="11" spans="1:46" ht="12.75">
      <c r="A11" t="s">
        <v>15</v>
      </c>
      <c r="B11" t="s">
        <v>6</v>
      </c>
      <c r="C11">
        <v>111</v>
      </c>
      <c r="D11" t="s">
        <v>9</v>
      </c>
      <c r="F11" s="2">
        <v>6085527</v>
      </c>
      <c r="G11" s="2">
        <v>5487436</v>
      </c>
      <c r="H11" s="2">
        <v>5599451</v>
      </c>
      <c r="I11" s="2">
        <v>3906808</v>
      </c>
      <c r="J11" s="2">
        <v>2343123</v>
      </c>
      <c r="K11" s="2">
        <v>1226528</v>
      </c>
      <c r="L11" s="2">
        <v>1154496</v>
      </c>
      <c r="M11" s="2">
        <v>979211</v>
      </c>
      <c r="N11" s="2">
        <v>1256405</v>
      </c>
      <c r="O11" s="2">
        <v>1972215</v>
      </c>
      <c r="P11" s="2">
        <v>3622026</v>
      </c>
      <c r="Q11" s="2">
        <v>6064109</v>
      </c>
      <c r="R11" s="2">
        <v>6772412</v>
      </c>
      <c r="S11" s="2">
        <v>6768011</v>
      </c>
      <c r="T11" s="2">
        <v>4995645</v>
      </c>
      <c r="U11" s="2">
        <v>3667541</v>
      </c>
      <c r="V11" s="2">
        <v>2489445</v>
      </c>
      <c r="W11" s="2">
        <v>1640849</v>
      </c>
      <c r="X11" s="2">
        <v>1159288</v>
      </c>
      <c r="Y11" s="2">
        <v>964099</v>
      </c>
      <c r="Z11" s="2">
        <v>1168908</v>
      </c>
      <c r="AA11" s="2">
        <v>1972973</v>
      </c>
      <c r="AB11" s="2">
        <v>3477724</v>
      </c>
      <c r="AC11" s="2">
        <v>6046200</v>
      </c>
      <c r="AD11" s="2">
        <v>6767383</v>
      </c>
      <c r="AE11" s="2">
        <v>7251023</v>
      </c>
      <c r="AF11" s="2">
        <v>5043841</v>
      </c>
      <c r="AG11" s="2">
        <v>5111153</v>
      </c>
      <c r="AH11" s="2">
        <v>3195448</v>
      </c>
      <c r="AI11" s="2">
        <v>1796318</v>
      </c>
      <c r="AJ11" s="2">
        <v>1224663</v>
      </c>
      <c r="AK11" s="2">
        <v>1063186</v>
      </c>
      <c r="AL11" s="2">
        <v>1222152</v>
      </c>
      <c r="AM11" s="2">
        <v>1779394</v>
      </c>
      <c r="AN11" s="2">
        <v>3184649</v>
      </c>
      <c r="AO11" s="2">
        <v>5136487</v>
      </c>
      <c r="AP11" s="2"/>
      <c r="AQ11" s="2"/>
      <c r="AR11" s="2"/>
      <c r="AS11" s="2"/>
      <c r="AT11" s="2"/>
    </row>
    <row r="12" spans="1:46" ht="12.75">
      <c r="A12" t="s">
        <v>16</v>
      </c>
      <c r="B12" t="s">
        <v>6</v>
      </c>
      <c r="C12">
        <v>111</v>
      </c>
      <c r="D12" t="s">
        <v>11</v>
      </c>
      <c r="F12" s="2">
        <v>277571</v>
      </c>
      <c r="G12" s="2">
        <v>285076</v>
      </c>
      <c r="H12" s="2">
        <v>254106</v>
      </c>
      <c r="I12" s="2">
        <v>229128</v>
      </c>
      <c r="J12" s="2">
        <v>137441</v>
      </c>
      <c r="K12" s="2">
        <v>101627</v>
      </c>
      <c r="L12" s="2">
        <v>106816</v>
      </c>
      <c r="M12" s="2">
        <v>94677</v>
      </c>
      <c r="N12" s="2">
        <v>147396</v>
      </c>
      <c r="O12" s="2">
        <v>129100</v>
      </c>
      <c r="P12" s="2">
        <v>188520</v>
      </c>
      <c r="Q12" s="2">
        <v>331939</v>
      </c>
      <c r="R12" s="2">
        <v>275434</v>
      </c>
      <c r="S12" s="2">
        <v>334729</v>
      </c>
      <c r="T12" s="2">
        <v>228595</v>
      </c>
      <c r="U12" s="2">
        <v>177615</v>
      </c>
      <c r="V12" s="2">
        <v>120617</v>
      </c>
      <c r="W12" s="2">
        <v>129049</v>
      </c>
      <c r="X12" s="2">
        <v>83401</v>
      </c>
      <c r="Y12" s="2">
        <v>75603</v>
      </c>
      <c r="Z12" s="2">
        <v>102895</v>
      </c>
      <c r="AA12" s="2">
        <v>120240</v>
      </c>
      <c r="AB12" s="2">
        <v>211833</v>
      </c>
      <c r="AC12" s="2">
        <v>267098</v>
      </c>
      <c r="AD12" s="2">
        <v>357019</v>
      </c>
      <c r="AE12" s="2">
        <v>366607</v>
      </c>
      <c r="AF12" s="2">
        <v>220596</v>
      </c>
      <c r="AG12" s="2">
        <v>216411</v>
      </c>
      <c r="AH12" s="2">
        <v>170152</v>
      </c>
      <c r="AI12" s="2">
        <v>121334</v>
      </c>
      <c r="AJ12" s="2">
        <v>108354</v>
      </c>
      <c r="AK12" s="2">
        <v>117011</v>
      </c>
      <c r="AL12" s="2">
        <v>145466</v>
      </c>
      <c r="AM12" s="2">
        <v>149877</v>
      </c>
      <c r="AN12" s="2">
        <v>215565</v>
      </c>
      <c r="AO12" s="2">
        <v>288856</v>
      </c>
      <c r="AP12" s="2"/>
      <c r="AQ12" s="2"/>
      <c r="AR12" s="2"/>
      <c r="AS12" s="2"/>
      <c r="AT12" s="2"/>
    </row>
    <row r="13" spans="1:46" ht="12.75">
      <c r="A13" t="s">
        <v>17</v>
      </c>
      <c r="B13" t="s">
        <v>6</v>
      </c>
      <c r="C13" t="s">
        <v>32</v>
      </c>
      <c r="D13" t="s">
        <v>13</v>
      </c>
      <c r="F13" s="2">
        <v>7173391</v>
      </c>
      <c r="G13" s="2">
        <v>6529398</v>
      </c>
      <c r="H13" s="2">
        <v>6548879</v>
      </c>
      <c r="I13" s="2">
        <v>4639578</v>
      </c>
      <c r="J13" s="2">
        <v>2884728</v>
      </c>
      <c r="K13" s="2">
        <v>1535240</v>
      </c>
      <c r="L13" s="2">
        <v>1415998</v>
      </c>
      <c r="M13" s="2">
        <v>1184571</v>
      </c>
      <c r="N13" s="2">
        <v>1526823</v>
      </c>
      <c r="O13" s="2">
        <v>2296771</v>
      </c>
      <c r="P13" s="2">
        <v>4230174</v>
      </c>
      <c r="Q13" s="2">
        <v>7030356</v>
      </c>
      <c r="R13" s="2">
        <v>7929745</v>
      </c>
      <c r="S13" s="2">
        <v>7910206</v>
      </c>
      <c r="T13" s="2">
        <v>5921062</v>
      </c>
      <c r="U13" s="2">
        <v>4326012</v>
      </c>
      <c r="V13" s="2">
        <v>2986351</v>
      </c>
      <c r="W13" s="2">
        <v>1997606</v>
      </c>
      <c r="X13" s="2">
        <v>1375634</v>
      </c>
      <c r="Y13" s="2">
        <v>1148652</v>
      </c>
      <c r="Z13" s="2">
        <v>1387387</v>
      </c>
      <c r="AA13" s="2">
        <v>2283758</v>
      </c>
      <c r="AB13" s="2">
        <v>4078897</v>
      </c>
      <c r="AC13" s="2">
        <v>6988474</v>
      </c>
      <c r="AD13" s="2">
        <v>7912407</v>
      </c>
      <c r="AE13" s="2">
        <v>8511695</v>
      </c>
      <c r="AF13" s="2">
        <v>5875074</v>
      </c>
      <c r="AG13" s="2">
        <v>5881556</v>
      </c>
      <c r="AH13" s="2">
        <v>3784022</v>
      </c>
      <c r="AI13" s="2">
        <v>2145901</v>
      </c>
      <c r="AJ13" s="2">
        <v>1491595</v>
      </c>
      <c r="AK13" s="2">
        <v>1282440</v>
      </c>
      <c r="AL13" s="2">
        <v>1489965</v>
      </c>
      <c r="AM13" s="2">
        <v>2114322</v>
      </c>
      <c r="AN13" s="2">
        <v>3767239</v>
      </c>
      <c r="AO13" s="2">
        <v>5964525</v>
      </c>
      <c r="AP13" s="2"/>
      <c r="AQ13" s="2"/>
      <c r="AR13" s="2"/>
      <c r="AS13" s="2"/>
      <c r="AT13" s="2"/>
    </row>
    <row r="14" spans="1:46" ht="12.75">
      <c r="A14" t="s">
        <v>18</v>
      </c>
      <c r="B14" t="s">
        <v>6</v>
      </c>
      <c r="C14">
        <v>121</v>
      </c>
      <c r="D14" t="s">
        <v>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/>
      <c r="AQ14" s="2"/>
      <c r="AR14" s="2"/>
      <c r="AS14" s="2"/>
      <c r="AT14" s="2"/>
    </row>
    <row r="15" spans="1:46" ht="12.75">
      <c r="A15" t="s">
        <v>19</v>
      </c>
      <c r="B15" t="s">
        <v>6</v>
      </c>
      <c r="C15">
        <v>121</v>
      </c>
      <c r="D15" t="s">
        <v>9</v>
      </c>
      <c r="F15" s="2">
        <v>675525</v>
      </c>
      <c r="G15" s="2">
        <v>755058</v>
      </c>
      <c r="H15" s="2">
        <v>706586</v>
      </c>
      <c r="I15" s="2">
        <v>603487</v>
      </c>
      <c r="J15" s="2">
        <v>481870</v>
      </c>
      <c r="K15" s="2">
        <v>411021</v>
      </c>
      <c r="L15" s="2">
        <v>344598</v>
      </c>
      <c r="M15" s="2">
        <v>357610</v>
      </c>
      <c r="N15" s="2">
        <v>375238</v>
      </c>
      <c r="O15" s="2">
        <v>434600</v>
      </c>
      <c r="P15" s="2">
        <v>545362</v>
      </c>
      <c r="Q15" s="2">
        <v>663304</v>
      </c>
      <c r="R15" s="2">
        <v>756366</v>
      </c>
      <c r="S15" s="2">
        <v>825466</v>
      </c>
      <c r="T15" s="2">
        <v>598570</v>
      </c>
      <c r="U15" s="2">
        <v>498073</v>
      </c>
      <c r="V15" s="2">
        <v>432902</v>
      </c>
      <c r="W15" s="2">
        <v>377981</v>
      </c>
      <c r="X15" s="2">
        <v>329925</v>
      </c>
      <c r="Y15" s="2">
        <v>276899</v>
      </c>
      <c r="Z15" s="2">
        <v>340479</v>
      </c>
      <c r="AA15" s="2">
        <v>371913</v>
      </c>
      <c r="AB15" s="2">
        <v>476314</v>
      </c>
      <c r="AC15" s="2">
        <v>651598</v>
      </c>
      <c r="AD15" s="2">
        <v>713660</v>
      </c>
      <c r="AE15" s="2">
        <v>812337</v>
      </c>
      <c r="AF15" s="2">
        <v>636820</v>
      </c>
      <c r="AG15" s="2">
        <v>155321</v>
      </c>
      <c r="AH15" s="2">
        <v>449336</v>
      </c>
      <c r="AI15" s="2">
        <v>389018</v>
      </c>
      <c r="AJ15" s="2">
        <v>314417</v>
      </c>
      <c r="AK15" s="2">
        <v>283133</v>
      </c>
      <c r="AL15" s="2">
        <v>300961</v>
      </c>
      <c r="AM15" s="2">
        <v>300515</v>
      </c>
      <c r="AN15" s="2">
        <v>446295</v>
      </c>
      <c r="AO15" s="2">
        <v>522604</v>
      </c>
      <c r="AP15" s="2"/>
      <c r="AQ15" s="2"/>
      <c r="AR15" s="2"/>
      <c r="AS15" s="2"/>
      <c r="AT15" s="2"/>
    </row>
    <row r="16" spans="1:46" ht="12.75">
      <c r="A16" t="s">
        <v>20</v>
      </c>
      <c r="B16" t="s">
        <v>6</v>
      </c>
      <c r="C16">
        <v>121</v>
      </c>
      <c r="D16" t="s">
        <v>11</v>
      </c>
      <c r="F16" s="2">
        <v>104106</v>
      </c>
      <c r="G16" s="2">
        <v>102641</v>
      </c>
      <c r="H16" s="2">
        <v>111988</v>
      </c>
      <c r="I16" s="2">
        <v>113605</v>
      </c>
      <c r="J16" s="2">
        <v>125718</v>
      </c>
      <c r="K16" s="2">
        <v>139517</v>
      </c>
      <c r="L16" s="2">
        <v>145232</v>
      </c>
      <c r="M16" s="2">
        <v>145630</v>
      </c>
      <c r="N16" s="2">
        <v>161232</v>
      </c>
      <c r="O16" s="2">
        <v>166862</v>
      </c>
      <c r="P16" s="2">
        <v>121907</v>
      </c>
      <c r="Q16" s="2">
        <v>97875</v>
      </c>
      <c r="R16" s="2">
        <v>64631</v>
      </c>
      <c r="S16" s="2">
        <v>70500</v>
      </c>
      <c r="T16" s="2">
        <v>69416</v>
      </c>
      <c r="U16" s="2">
        <v>69081</v>
      </c>
      <c r="V16" s="2">
        <v>76607</v>
      </c>
      <c r="W16" s="2">
        <v>89869</v>
      </c>
      <c r="X16" s="2">
        <v>91337</v>
      </c>
      <c r="Y16" s="2">
        <v>93832</v>
      </c>
      <c r="Z16" s="2">
        <v>101922</v>
      </c>
      <c r="AA16" s="2">
        <v>78810</v>
      </c>
      <c r="AB16" s="2">
        <v>109891</v>
      </c>
      <c r="AC16" s="2">
        <v>80201</v>
      </c>
      <c r="AD16" s="2">
        <v>65394</v>
      </c>
      <c r="AE16" s="2">
        <v>7939</v>
      </c>
      <c r="AF16" s="2">
        <v>68296</v>
      </c>
      <c r="AG16" s="2">
        <v>72790</v>
      </c>
      <c r="AH16" s="2">
        <v>72174</v>
      </c>
      <c r="AI16" s="2">
        <v>67688</v>
      </c>
      <c r="AJ16" s="2">
        <v>132533</v>
      </c>
      <c r="AK16" s="2">
        <v>59956</v>
      </c>
      <c r="AL16" s="2">
        <v>83008</v>
      </c>
      <c r="AM16" s="2">
        <v>137487</v>
      </c>
      <c r="AN16" s="2">
        <v>116591</v>
      </c>
      <c r="AO16" s="2">
        <v>87842</v>
      </c>
      <c r="AP16" s="2"/>
      <c r="AQ16" s="2"/>
      <c r="AR16" s="2"/>
      <c r="AS16" s="2"/>
      <c r="AT16" s="2"/>
    </row>
    <row r="17" spans="1:46" ht="12.75">
      <c r="A17" t="s">
        <v>21</v>
      </c>
      <c r="B17" t="s">
        <v>6</v>
      </c>
      <c r="C17" t="s">
        <v>33</v>
      </c>
      <c r="D17" t="s">
        <v>13</v>
      </c>
      <c r="F17" s="2">
        <v>779631</v>
      </c>
      <c r="G17" s="2">
        <v>857699</v>
      </c>
      <c r="H17" s="2">
        <v>818574</v>
      </c>
      <c r="I17" s="2">
        <v>717092</v>
      </c>
      <c r="J17" s="2">
        <v>607588</v>
      </c>
      <c r="K17" s="2">
        <v>550538</v>
      </c>
      <c r="L17" s="2">
        <v>489830</v>
      </c>
      <c r="M17" s="2">
        <v>503240</v>
      </c>
      <c r="N17" s="2">
        <v>536470</v>
      </c>
      <c r="O17" s="2">
        <v>601462</v>
      </c>
      <c r="P17" s="2">
        <v>667269</v>
      </c>
      <c r="Q17" s="2">
        <v>761179</v>
      </c>
      <c r="R17" s="2">
        <v>820997</v>
      </c>
      <c r="S17" s="2">
        <v>895966</v>
      </c>
      <c r="T17" s="2">
        <v>667986</v>
      </c>
      <c r="U17" s="2">
        <v>567154</v>
      </c>
      <c r="V17" s="2">
        <v>509509</v>
      </c>
      <c r="W17" s="2">
        <v>467850</v>
      </c>
      <c r="X17" s="2">
        <v>421262</v>
      </c>
      <c r="Y17" s="2">
        <v>370731</v>
      </c>
      <c r="Z17" s="2">
        <v>442401</v>
      </c>
      <c r="AA17" s="2">
        <v>450723</v>
      </c>
      <c r="AB17" s="2">
        <v>586205</v>
      </c>
      <c r="AC17" s="2">
        <v>731799</v>
      </c>
      <c r="AD17" s="2">
        <v>779054</v>
      </c>
      <c r="AE17" s="2">
        <v>820276</v>
      </c>
      <c r="AF17" s="2">
        <v>705116</v>
      </c>
      <c r="AG17" s="2">
        <v>228111</v>
      </c>
      <c r="AH17" s="2">
        <v>521510</v>
      </c>
      <c r="AI17" s="2">
        <v>456706</v>
      </c>
      <c r="AJ17" s="2">
        <v>446950</v>
      </c>
      <c r="AK17" s="2">
        <v>343089</v>
      </c>
      <c r="AL17" s="2">
        <v>383969</v>
      </c>
      <c r="AM17" s="2">
        <v>438002</v>
      </c>
      <c r="AN17" s="2">
        <v>562886</v>
      </c>
      <c r="AO17" s="2">
        <v>610446</v>
      </c>
      <c r="AP17" s="2"/>
      <c r="AQ17" s="2"/>
      <c r="AR17" s="2"/>
      <c r="AS17" s="2"/>
      <c r="AT17" s="2"/>
    </row>
    <row r="18" spans="1:46" ht="12.75">
      <c r="A18" t="s">
        <v>22</v>
      </c>
      <c r="B18" t="s">
        <v>6</v>
      </c>
      <c r="C18" t="s">
        <v>34</v>
      </c>
      <c r="D18" t="s">
        <v>23</v>
      </c>
      <c r="F18" s="2">
        <v>79033</v>
      </c>
      <c r="G18" s="2">
        <v>73746</v>
      </c>
      <c r="H18" s="2">
        <v>75280</v>
      </c>
      <c r="I18" s="2">
        <v>67227</v>
      </c>
      <c r="J18" s="2">
        <v>56865</v>
      </c>
      <c r="K18" s="2">
        <v>40563</v>
      </c>
      <c r="L18" s="2">
        <v>31401</v>
      </c>
      <c r="M18" s="2">
        <v>24316</v>
      </c>
      <c r="N18" s="2">
        <v>26942</v>
      </c>
      <c r="O18" s="2">
        <v>36942</v>
      </c>
      <c r="P18" s="2">
        <v>50798</v>
      </c>
      <c r="Q18" s="2">
        <v>80909</v>
      </c>
      <c r="R18" s="2">
        <v>75087</v>
      </c>
      <c r="S18" s="2">
        <v>84056</v>
      </c>
      <c r="T18" s="2">
        <v>76611</v>
      </c>
      <c r="U18" s="2">
        <v>63911</v>
      </c>
      <c r="V18" s="2">
        <v>50186</v>
      </c>
      <c r="W18" s="2">
        <v>44662</v>
      </c>
      <c r="X18" s="2">
        <v>32191</v>
      </c>
      <c r="Y18" s="2">
        <v>22511</v>
      </c>
      <c r="Z18" s="2">
        <v>25947</v>
      </c>
      <c r="AA18" s="2">
        <v>31352</v>
      </c>
      <c r="AB18" s="2">
        <v>56927</v>
      </c>
      <c r="AC18" s="2">
        <v>80019</v>
      </c>
      <c r="AD18" s="2">
        <v>73637</v>
      </c>
      <c r="AE18" s="2">
        <v>93723</v>
      </c>
      <c r="AF18" s="2">
        <v>74260</v>
      </c>
      <c r="AG18" s="2">
        <v>67610</v>
      </c>
      <c r="AH18" s="2">
        <v>56425</v>
      </c>
      <c r="AI18" s="2">
        <v>39006</v>
      </c>
      <c r="AJ18" s="2">
        <v>31997</v>
      </c>
      <c r="AK18" s="2">
        <v>22754</v>
      </c>
      <c r="AL18" s="2">
        <v>26857</v>
      </c>
      <c r="AM18" s="2">
        <v>31848</v>
      </c>
      <c r="AN18" s="2">
        <v>47455</v>
      </c>
      <c r="AO18" s="2">
        <v>61119</v>
      </c>
      <c r="AP18" s="2"/>
      <c r="AQ18" s="2"/>
      <c r="AR18" s="2"/>
      <c r="AS18" s="2"/>
      <c r="AT18" s="2"/>
    </row>
    <row r="19" spans="1:46" ht="12.75">
      <c r="A19" t="s">
        <v>24</v>
      </c>
      <c r="B19" t="s">
        <v>6</v>
      </c>
      <c r="C19">
        <v>146</v>
      </c>
      <c r="D19" t="s">
        <v>25</v>
      </c>
      <c r="F19" s="2">
        <v>2519665</v>
      </c>
      <c r="G19" s="2">
        <v>2320723</v>
      </c>
      <c r="H19" s="2">
        <v>2302017</v>
      </c>
      <c r="I19" s="2">
        <v>2363910</v>
      </c>
      <c r="J19" s="2">
        <v>1932226</v>
      </c>
      <c r="K19" s="2">
        <v>1728188</v>
      </c>
      <c r="L19" s="2">
        <v>1613858</v>
      </c>
      <c r="M19" s="2">
        <v>1296571</v>
      </c>
      <c r="N19" s="2">
        <v>1284733</v>
      </c>
      <c r="O19" s="2">
        <v>1587273</v>
      </c>
      <c r="P19" s="2">
        <v>2112380</v>
      </c>
      <c r="Q19" s="2">
        <v>2422019</v>
      </c>
      <c r="R19" s="2">
        <v>2465600</v>
      </c>
      <c r="S19" s="2">
        <v>2935439</v>
      </c>
      <c r="T19" s="2">
        <v>2190055</v>
      </c>
      <c r="U19" s="2">
        <v>2079563</v>
      </c>
      <c r="V19" s="2">
        <v>2009516</v>
      </c>
      <c r="W19" s="2">
        <v>1733716</v>
      </c>
      <c r="X19" s="2">
        <v>1682838</v>
      </c>
      <c r="Y19" s="2">
        <v>1392151</v>
      </c>
      <c r="Z19" s="2">
        <v>1599685</v>
      </c>
      <c r="AA19" s="2">
        <v>1834446</v>
      </c>
      <c r="AB19" s="2">
        <v>2238461</v>
      </c>
      <c r="AC19" s="2">
        <v>2431320</v>
      </c>
      <c r="AD19" s="2">
        <v>2625069</v>
      </c>
      <c r="AE19" s="2">
        <v>2882932</v>
      </c>
      <c r="AF19" s="2">
        <v>2329796</v>
      </c>
      <c r="AG19" s="2">
        <v>2328185</v>
      </c>
      <c r="AH19" s="2">
        <v>2194716</v>
      </c>
      <c r="AI19" s="2">
        <v>1722294</v>
      </c>
      <c r="AJ19" s="2">
        <v>1840480</v>
      </c>
      <c r="AK19" s="2">
        <v>1602949</v>
      </c>
      <c r="AL19" s="2">
        <v>1889824</v>
      </c>
      <c r="AM19" s="2">
        <v>1657180</v>
      </c>
      <c r="AN19" s="2">
        <v>2307873</v>
      </c>
      <c r="AO19" s="2">
        <v>1898178</v>
      </c>
      <c r="AP19" s="2"/>
      <c r="AQ19" s="2"/>
      <c r="AR19" s="2"/>
      <c r="AS19" s="2"/>
      <c r="AT19" s="2"/>
    </row>
    <row r="20" spans="1:46" ht="12.75">
      <c r="A20" t="s">
        <v>26</v>
      </c>
      <c r="B20" t="s">
        <v>6</v>
      </c>
      <c r="C20" t="s">
        <v>35</v>
      </c>
      <c r="D20" t="s">
        <v>27</v>
      </c>
      <c r="F20" s="2">
        <v>4735180</v>
      </c>
      <c r="G20" s="2">
        <v>3981136</v>
      </c>
      <c r="H20" s="2">
        <v>3753076</v>
      </c>
      <c r="I20" s="2">
        <v>3777435</v>
      </c>
      <c r="J20" s="2">
        <v>3194661</v>
      </c>
      <c r="K20" s="2">
        <v>3079009</v>
      </c>
      <c r="L20" s="2">
        <v>2944624</v>
      </c>
      <c r="M20" s="2">
        <v>3113192</v>
      </c>
      <c r="N20" s="2">
        <v>3214148</v>
      </c>
      <c r="O20" s="2">
        <v>3307189</v>
      </c>
      <c r="P20" s="2">
        <v>3671407</v>
      </c>
      <c r="Q20" s="2">
        <v>4002352</v>
      </c>
      <c r="R20" s="2">
        <v>4205863</v>
      </c>
      <c r="S20" s="2">
        <v>4635258</v>
      </c>
      <c r="T20" s="2">
        <v>3612133</v>
      </c>
      <c r="U20" s="2">
        <v>3719339</v>
      </c>
      <c r="V20" s="2">
        <v>3429296</v>
      </c>
      <c r="W20" s="2">
        <v>2956627</v>
      </c>
      <c r="X20" s="2">
        <v>3000689</v>
      </c>
      <c r="Y20" s="2">
        <v>3080932</v>
      </c>
      <c r="Z20" s="2">
        <v>3787994</v>
      </c>
      <c r="AA20" s="2">
        <v>3333615</v>
      </c>
      <c r="AB20" s="2">
        <v>3988466</v>
      </c>
      <c r="AC20" s="2">
        <v>4267030</v>
      </c>
      <c r="AD20" s="2">
        <v>4458368</v>
      </c>
      <c r="AE20" s="2">
        <v>5241334</v>
      </c>
      <c r="AF20" s="2">
        <v>4084683</v>
      </c>
      <c r="AG20" s="2">
        <v>4051579</v>
      </c>
      <c r="AH20" s="2">
        <v>4096532</v>
      </c>
      <c r="AI20" s="2">
        <v>3253015</v>
      </c>
      <c r="AJ20" s="2">
        <v>3163858</v>
      </c>
      <c r="AK20" s="2">
        <v>3088562</v>
      </c>
      <c r="AL20" s="2">
        <v>3489833</v>
      </c>
      <c r="AM20" s="2">
        <v>3290911</v>
      </c>
      <c r="AN20" s="2">
        <v>3683398</v>
      </c>
      <c r="AO20" s="2">
        <v>3724754</v>
      </c>
      <c r="AP20" s="2"/>
      <c r="AQ20" s="2"/>
      <c r="AR20" s="2"/>
      <c r="AS20" s="2"/>
      <c r="AT20" s="2"/>
    </row>
    <row r="21" spans="4:46" ht="12.75">
      <c r="D21" t="s">
        <v>28</v>
      </c>
      <c r="F21" s="3">
        <v>33849569</v>
      </c>
      <c r="G21" s="3">
        <v>30472238</v>
      </c>
      <c r="H21" s="3">
        <v>30422384</v>
      </c>
      <c r="I21" s="3">
        <v>22869615</v>
      </c>
      <c r="J21" s="3">
        <v>15228545</v>
      </c>
      <c r="K21" s="3">
        <v>10471828</v>
      </c>
      <c r="L21" s="3">
        <v>8873925</v>
      </c>
      <c r="M21" s="3">
        <v>8107484</v>
      </c>
      <c r="N21" s="3">
        <v>9068833</v>
      </c>
      <c r="O21" s="3">
        <v>12121742</v>
      </c>
      <c r="P21" s="3">
        <v>20623033</v>
      </c>
      <c r="Q21" s="3">
        <v>32661613</v>
      </c>
      <c r="R21" s="3">
        <v>36789891</v>
      </c>
      <c r="S21" s="3">
        <v>37695491</v>
      </c>
      <c r="T21" s="3">
        <v>26940169</v>
      </c>
      <c r="U21" s="3">
        <v>20480103</v>
      </c>
      <c r="V21" s="3">
        <v>15098420</v>
      </c>
      <c r="W21" s="3">
        <v>10865294</v>
      </c>
      <c r="X21" s="3">
        <v>8975250</v>
      </c>
      <c r="Y21" s="3">
        <v>8025180</v>
      </c>
      <c r="Z21" s="3">
        <v>9576350</v>
      </c>
      <c r="AA21" s="3">
        <v>12418711</v>
      </c>
      <c r="AB21" s="3">
        <v>20347473</v>
      </c>
      <c r="AC21" s="3">
        <v>32891494</v>
      </c>
      <c r="AD21" s="3">
        <v>36604162</v>
      </c>
      <c r="AE21" s="3">
        <v>40064307</v>
      </c>
      <c r="AF21" s="3">
        <v>27928005</v>
      </c>
      <c r="AG21" s="3">
        <v>26186200</v>
      </c>
      <c r="AH21" s="3">
        <v>19367832</v>
      </c>
      <c r="AI21" s="3">
        <v>11849636</v>
      </c>
      <c r="AJ21" s="3">
        <v>9738493</v>
      </c>
      <c r="AK21" s="3">
        <v>8563027</v>
      </c>
      <c r="AL21" s="3">
        <v>9768414</v>
      </c>
      <c r="AM21" s="3">
        <v>11465592</v>
      </c>
      <c r="AN21" s="3">
        <v>18972010</v>
      </c>
      <c r="AO21" s="3">
        <v>27604300</v>
      </c>
      <c r="AP21" s="3"/>
      <c r="AQ21" s="3"/>
      <c r="AR21" s="3"/>
      <c r="AS21" s="3"/>
      <c r="AT21" s="3"/>
    </row>
    <row r="23" ht="12.75">
      <c r="A23" t="s">
        <v>29</v>
      </c>
    </row>
    <row r="24" spans="1:46" ht="12.75">
      <c r="A24" t="s">
        <v>5</v>
      </c>
      <c r="B24" t="s">
        <v>6</v>
      </c>
      <c r="C24">
        <v>101</v>
      </c>
      <c r="D24" t="s">
        <v>7</v>
      </c>
      <c r="F24" s="2">
        <v>-1578121</v>
      </c>
      <c r="G24" s="2">
        <v>110620</v>
      </c>
      <c r="H24" s="2">
        <v>-1898237</v>
      </c>
      <c r="I24" s="2">
        <v>-2789488</v>
      </c>
      <c r="J24" s="2">
        <v>-2145906</v>
      </c>
      <c r="K24" s="2">
        <v>-753444</v>
      </c>
      <c r="L24" s="2">
        <v>-118576</v>
      </c>
      <c r="M24" s="2">
        <v>157006</v>
      </c>
      <c r="N24" s="2">
        <v>466499</v>
      </c>
      <c r="O24" s="2">
        <v>2903704</v>
      </c>
      <c r="P24" s="2">
        <v>3807747</v>
      </c>
      <c r="Q24" s="2">
        <v>2088206</v>
      </c>
      <c r="R24" s="2">
        <v>523814</v>
      </c>
      <c r="S24" s="2">
        <v>-3587125</v>
      </c>
      <c r="T24" s="2">
        <v>-2157310</v>
      </c>
      <c r="U24" s="2">
        <v>-1493717</v>
      </c>
      <c r="V24" s="2">
        <v>-1713504</v>
      </c>
      <c r="W24" s="2">
        <v>-858912</v>
      </c>
      <c r="X24" s="2">
        <v>-345228</v>
      </c>
      <c r="Y24" s="2">
        <v>349115</v>
      </c>
      <c r="Z24" s="2">
        <v>441882</v>
      </c>
      <c r="AA24" s="2">
        <v>2634999</v>
      </c>
      <c r="AB24" s="2">
        <v>4145562</v>
      </c>
      <c r="AC24" s="2">
        <v>1252506</v>
      </c>
      <c r="AD24" s="2">
        <v>1251181</v>
      </c>
      <c r="AE24" s="2">
        <v>-3261868</v>
      </c>
      <c r="AF24" s="2">
        <v>105076</v>
      </c>
      <c r="AG24" s="2">
        <v>-2270711</v>
      </c>
      <c r="AH24" s="2">
        <v>-3282252</v>
      </c>
      <c r="AI24" s="2">
        <v>-618960</v>
      </c>
      <c r="AJ24" s="2">
        <v>-512025</v>
      </c>
      <c r="AK24" s="2">
        <v>96969</v>
      </c>
      <c r="AL24" s="2">
        <v>295202</v>
      </c>
      <c r="AM24" s="15">
        <v>2852640</v>
      </c>
      <c r="AN24" s="15">
        <v>2902944</v>
      </c>
      <c r="AO24" s="15">
        <v>6815529</v>
      </c>
      <c r="AP24" s="2"/>
      <c r="AQ24" s="2"/>
      <c r="AR24" s="15"/>
      <c r="AS24" s="15"/>
      <c r="AT24" s="15"/>
    </row>
    <row r="25" spans="1:46" ht="12.75">
      <c r="A25" t="s">
        <v>8</v>
      </c>
      <c r="B25" t="s">
        <v>6</v>
      </c>
      <c r="C25">
        <v>101</v>
      </c>
      <c r="D25" t="s">
        <v>9</v>
      </c>
      <c r="F25" s="2">
        <v>-182502</v>
      </c>
      <c r="G25" s="2">
        <v>-188636</v>
      </c>
      <c r="H25" s="2">
        <v>-355515</v>
      </c>
      <c r="I25" s="2">
        <v>-508184</v>
      </c>
      <c r="J25" s="2">
        <v>-374184</v>
      </c>
      <c r="K25" s="2">
        <v>-180333</v>
      </c>
      <c r="L25" s="2">
        <v>-10556</v>
      </c>
      <c r="M25" s="2">
        <v>14103</v>
      </c>
      <c r="N25" s="2">
        <v>129965</v>
      </c>
      <c r="O25" s="2">
        <v>520941</v>
      </c>
      <c r="P25" s="2">
        <v>891018</v>
      </c>
      <c r="Q25" s="2">
        <v>441633</v>
      </c>
      <c r="R25" s="2">
        <v>127461</v>
      </c>
      <c r="S25" s="2">
        <v>-682349</v>
      </c>
      <c r="T25" s="2">
        <v>-578631</v>
      </c>
      <c r="U25" s="2">
        <v>-410450</v>
      </c>
      <c r="V25" s="2">
        <v>-286694</v>
      </c>
      <c r="W25" s="2">
        <v>-99369</v>
      </c>
      <c r="X25" s="2">
        <v>-55620</v>
      </c>
      <c r="Y25" s="2">
        <v>47117</v>
      </c>
      <c r="Z25" s="2">
        <v>65956</v>
      </c>
      <c r="AA25" s="2">
        <v>521726</v>
      </c>
      <c r="AB25" s="2">
        <v>1094218</v>
      </c>
      <c r="AC25" s="2">
        <v>339713</v>
      </c>
      <c r="AD25" s="2">
        <v>227439</v>
      </c>
      <c r="AE25" s="2">
        <v>-756925</v>
      </c>
      <c r="AF25" s="2">
        <v>-111505</v>
      </c>
      <c r="AG25" s="2">
        <v>-526966</v>
      </c>
      <c r="AH25" s="2">
        <v>-639685</v>
      </c>
      <c r="AI25" s="2">
        <v>-161596</v>
      </c>
      <c r="AJ25" s="2">
        <v>-73046</v>
      </c>
      <c r="AK25" s="2">
        <v>8908</v>
      </c>
      <c r="AL25" s="2">
        <v>24899</v>
      </c>
      <c r="AM25" s="15">
        <v>394331</v>
      </c>
      <c r="AN25" s="15">
        <v>571266</v>
      </c>
      <c r="AO25" s="15">
        <v>1523295</v>
      </c>
      <c r="AP25" s="2"/>
      <c r="AQ25" s="2"/>
      <c r="AR25" s="15"/>
      <c r="AS25" s="15"/>
      <c r="AT25" s="15"/>
    </row>
    <row r="26" spans="1:46" ht="12.75">
      <c r="A26" t="s">
        <v>10</v>
      </c>
      <c r="B26" t="s">
        <v>6</v>
      </c>
      <c r="C26">
        <v>101</v>
      </c>
      <c r="D26" t="s">
        <v>11</v>
      </c>
      <c r="F26" s="2">
        <v>-33220</v>
      </c>
      <c r="G26" s="2">
        <v>-5295</v>
      </c>
      <c r="H26" s="2">
        <v>-7887</v>
      </c>
      <c r="I26" s="2">
        <v>-10036</v>
      </c>
      <c r="J26" s="2">
        <v>-2971</v>
      </c>
      <c r="K26" s="2">
        <v>-191</v>
      </c>
      <c r="L26" s="2">
        <v>-327</v>
      </c>
      <c r="M26" s="2">
        <v>432</v>
      </c>
      <c r="N26" s="2">
        <v>943</v>
      </c>
      <c r="O26" s="2">
        <v>8831</v>
      </c>
      <c r="P26" s="2">
        <v>12955</v>
      </c>
      <c r="Q26" s="2">
        <v>7430</v>
      </c>
      <c r="R26" s="2">
        <v>819</v>
      </c>
      <c r="S26" s="2">
        <v>-11446</v>
      </c>
      <c r="T26" s="2">
        <v>-8537</v>
      </c>
      <c r="U26" s="2">
        <v>-7224</v>
      </c>
      <c r="V26" s="2">
        <v>-2121</v>
      </c>
      <c r="W26" s="2">
        <v>-1220</v>
      </c>
      <c r="X26" s="2">
        <v>-699</v>
      </c>
      <c r="Y26" s="2">
        <v>444</v>
      </c>
      <c r="Z26" s="2">
        <v>563</v>
      </c>
      <c r="AA26" s="2">
        <v>7384</v>
      </c>
      <c r="AB26" s="2">
        <v>15107</v>
      </c>
      <c r="AC26" s="2">
        <v>4973</v>
      </c>
      <c r="AD26" s="2">
        <v>1480</v>
      </c>
      <c r="AE26" s="2">
        <v>-11909</v>
      </c>
      <c r="AF26" s="2">
        <v>365</v>
      </c>
      <c r="AG26" s="2">
        <v>-8524</v>
      </c>
      <c r="AH26" s="2">
        <v>-6975</v>
      </c>
      <c r="AI26" s="2">
        <v>-1817</v>
      </c>
      <c r="AJ26" s="2">
        <v>-992</v>
      </c>
      <c r="AK26" s="2">
        <v>-182</v>
      </c>
      <c r="AL26" s="2">
        <v>179</v>
      </c>
      <c r="AM26" s="15">
        <v>3241</v>
      </c>
      <c r="AN26" s="15">
        <v>8722</v>
      </c>
      <c r="AO26" s="15">
        <v>22334</v>
      </c>
      <c r="AP26" s="2"/>
      <c r="AQ26" s="2"/>
      <c r="AR26" s="15"/>
      <c r="AS26" s="15"/>
      <c r="AT26" s="15"/>
    </row>
    <row r="27" spans="1:46" ht="12.75">
      <c r="A27" t="s">
        <v>12</v>
      </c>
      <c r="B27" t="s">
        <v>6</v>
      </c>
      <c r="C27">
        <v>101</v>
      </c>
      <c r="D27" t="s">
        <v>13</v>
      </c>
      <c r="F27" s="2">
        <v>-1793843</v>
      </c>
      <c r="G27" s="2">
        <v>-83311</v>
      </c>
      <c r="H27" s="2">
        <v>-2261639</v>
      </c>
      <c r="I27" s="2">
        <v>-3307708</v>
      </c>
      <c r="J27" s="2">
        <v>-2523061</v>
      </c>
      <c r="K27" s="2">
        <v>-933968</v>
      </c>
      <c r="L27" s="2">
        <v>-129459</v>
      </c>
      <c r="M27" s="2">
        <v>171541</v>
      </c>
      <c r="N27" s="2">
        <v>597407</v>
      </c>
      <c r="O27" s="2">
        <v>3433476</v>
      </c>
      <c r="P27" s="2">
        <v>4711720</v>
      </c>
      <c r="Q27" s="2">
        <v>2537269</v>
      </c>
      <c r="R27" s="2">
        <v>652094</v>
      </c>
      <c r="S27" s="2">
        <v>-4280920</v>
      </c>
      <c r="T27" s="2">
        <v>-2744478</v>
      </c>
      <c r="U27" s="2">
        <v>-1911391</v>
      </c>
      <c r="V27" s="2">
        <v>-2002319</v>
      </c>
      <c r="W27" s="2">
        <v>-959501</v>
      </c>
      <c r="X27" s="2">
        <v>-401547</v>
      </c>
      <c r="Y27" s="2">
        <v>396676</v>
      </c>
      <c r="Z27" s="2">
        <v>508401</v>
      </c>
      <c r="AA27" s="2">
        <v>3164109</v>
      </c>
      <c r="AB27" s="2">
        <v>5254887</v>
      </c>
      <c r="AC27" s="2">
        <v>1597192</v>
      </c>
      <c r="AD27" s="2">
        <v>1480100</v>
      </c>
      <c r="AE27" s="2">
        <v>-4030702</v>
      </c>
      <c r="AF27" s="2">
        <v>-6064</v>
      </c>
      <c r="AG27" s="2">
        <v>-2806201</v>
      </c>
      <c r="AH27" s="2">
        <v>-3928912</v>
      </c>
      <c r="AI27" s="2">
        <v>-782373</v>
      </c>
      <c r="AJ27" s="2">
        <v>-586063</v>
      </c>
      <c r="AK27" s="2">
        <v>105695</v>
      </c>
      <c r="AL27" s="2">
        <v>320280</v>
      </c>
      <c r="AM27" s="15">
        <v>3250212</v>
      </c>
      <c r="AN27" s="15">
        <v>3482932</v>
      </c>
      <c r="AO27" s="15">
        <v>8361158</v>
      </c>
      <c r="AP27" s="2"/>
      <c r="AQ27" s="2"/>
      <c r="AR27" s="15"/>
      <c r="AS27" s="15"/>
      <c r="AT27" s="15"/>
    </row>
    <row r="28" spans="1:46" ht="12.75">
      <c r="A28" t="s">
        <v>14</v>
      </c>
      <c r="B28" t="s">
        <v>6</v>
      </c>
      <c r="C28">
        <v>111</v>
      </c>
      <c r="D28" t="s">
        <v>7</v>
      </c>
      <c r="F28" s="2">
        <v>-171677</v>
      </c>
      <c r="G28" s="2">
        <v>24859</v>
      </c>
      <c r="H28" s="2">
        <v>-45937</v>
      </c>
      <c r="I28" s="2">
        <v>-73249</v>
      </c>
      <c r="J28" s="2">
        <v>-59544</v>
      </c>
      <c r="K28" s="2">
        <v>-6211</v>
      </c>
      <c r="L28" s="2">
        <v>-6016</v>
      </c>
      <c r="M28" s="2">
        <v>7818</v>
      </c>
      <c r="N28" s="2">
        <v>-1153</v>
      </c>
      <c r="O28" s="2">
        <v>74111</v>
      </c>
      <c r="P28" s="2">
        <v>69676</v>
      </c>
      <c r="Q28" s="2">
        <v>56993</v>
      </c>
      <c r="R28" s="2">
        <v>227421</v>
      </c>
      <c r="S28" s="2">
        <v>-166760</v>
      </c>
      <c r="T28" s="2">
        <v>-92210</v>
      </c>
      <c r="U28" s="2">
        <v>-10287</v>
      </c>
      <c r="V28" s="2">
        <v>-120868</v>
      </c>
      <c r="W28" s="2">
        <v>-34122</v>
      </c>
      <c r="X28" s="2">
        <v>-12384</v>
      </c>
      <c r="Y28" s="2">
        <v>-9268</v>
      </c>
      <c r="Z28" s="2">
        <v>65028</v>
      </c>
      <c r="AA28" s="2">
        <v>205936</v>
      </c>
      <c r="AB28" s="2">
        <v>20492</v>
      </c>
      <c r="AC28" s="2">
        <v>150127</v>
      </c>
      <c r="AD28" s="2">
        <v>-26914</v>
      </c>
      <c r="AE28" s="2">
        <v>-123300</v>
      </c>
      <c r="AF28" s="2">
        <v>8090</v>
      </c>
      <c r="AG28" s="2">
        <v>-93445</v>
      </c>
      <c r="AH28" s="2">
        <v>-141770</v>
      </c>
      <c r="AI28" s="2">
        <v>-20539</v>
      </c>
      <c r="AJ28" s="2">
        <v>-21547</v>
      </c>
      <c r="AK28" s="2">
        <v>-8029</v>
      </c>
      <c r="AL28" s="2">
        <v>20278</v>
      </c>
      <c r="AM28" s="15">
        <v>130116</v>
      </c>
      <c r="AN28" s="15">
        <v>119941</v>
      </c>
      <c r="AO28" s="15">
        <v>-305932</v>
      </c>
      <c r="AP28" s="2"/>
      <c r="AQ28" s="2"/>
      <c r="AR28" s="15"/>
      <c r="AS28" s="15"/>
      <c r="AT28" s="15"/>
    </row>
    <row r="29" spans="1:46" ht="12.75">
      <c r="A29" t="s">
        <v>15</v>
      </c>
      <c r="B29" t="s">
        <v>6</v>
      </c>
      <c r="C29">
        <v>111</v>
      </c>
      <c r="D29" t="s">
        <v>9</v>
      </c>
      <c r="F29" s="2">
        <v>-787920</v>
      </c>
      <c r="G29" s="2">
        <v>226556</v>
      </c>
      <c r="H29" s="2">
        <v>-668259</v>
      </c>
      <c r="I29" s="2">
        <v>-971528</v>
      </c>
      <c r="J29" s="2">
        <v>-748437</v>
      </c>
      <c r="K29" s="2">
        <v>-265161</v>
      </c>
      <c r="L29" s="2">
        <v>-45096</v>
      </c>
      <c r="M29" s="2">
        <v>55647</v>
      </c>
      <c r="N29" s="2">
        <v>158821</v>
      </c>
      <c r="O29" s="2">
        <v>988315</v>
      </c>
      <c r="P29" s="2">
        <v>1167596</v>
      </c>
      <c r="Q29" s="2">
        <v>704075</v>
      </c>
      <c r="R29" s="2">
        <v>342869</v>
      </c>
      <c r="S29" s="2">
        <v>-972735</v>
      </c>
      <c r="T29" s="2">
        <v>-908656</v>
      </c>
      <c r="U29" s="2">
        <v>-618209</v>
      </c>
      <c r="V29" s="2">
        <v>-691004</v>
      </c>
      <c r="W29" s="2">
        <v>-60648</v>
      </c>
      <c r="X29" s="2">
        <v>-2823</v>
      </c>
      <c r="Y29" s="2">
        <v>-1939</v>
      </c>
      <c r="Z29" s="2">
        <v>676799</v>
      </c>
      <c r="AA29" s="2">
        <v>999041</v>
      </c>
      <c r="AB29" s="2">
        <v>1413790</v>
      </c>
      <c r="AC29" s="2">
        <v>187733</v>
      </c>
      <c r="AD29" s="2">
        <v>571033</v>
      </c>
      <c r="AE29" s="2">
        <v>-1355351</v>
      </c>
      <c r="AF29" s="2">
        <v>165607</v>
      </c>
      <c r="AG29" s="2">
        <v>-711318</v>
      </c>
      <c r="AH29" s="2">
        <v>-1503702</v>
      </c>
      <c r="AI29" s="2">
        <v>-162730</v>
      </c>
      <c r="AJ29" s="2">
        <v>-221365</v>
      </c>
      <c r="AK29" s="2">
        <v>102661</v>
      </c>
      <c r="AL29" s="2">
        <v>177597</v>
      </c>
      <c r="AM29" s="15">
        <v>1397977</v>
      </c>
      <c r="AN29" s="15">
        <v>866498</v>
      </c>
      <c r="AO29" s="15">
        <v>2326652</v>
      </c>
      <c r="AP29" s="2"/>
      <c r="AQ29" s="2"/>
      <c r="AR29" s="15"/>
      <c r="AS29" s="15"/>
      <c r="AT29" s="15"/>
    </row>
    <row r="30" spans="1:46" ht="12.75">
      <c r="A30" t="s">
        <v>16</v>
      </c>
      <c r="B30" t="s">
        <v>6</v>
      </c>
      <c r="C30">
        <v>111</v>
      </c>
      <c r="D30" t="s">
        <v>11</v>
      </c>
      <c r="F30" s="2">
        <v>-167075</v>
      </c>
      <c r="G30" s="2">
        <v>2071</v>
      </c>
      <c r="H30" s="2">
        <v>-34831</v>
      </c>
      <c r="I30" s="2">
        <v>-35831</v>
      </c>
      <c r="J30" s="2">
        <v>-40960</v>
      </c>
      <c r="K30" s="2">
        <v>2244</v>
      </c>
      <c r="L30" s="2">
        <v>-4858</v>
      </c>
      <c r="M30" s="2">
        <v>9252</v>
      </c>
      <c r="N30" s="2">
        <v>4536</v>
      </c>
      <c r="O30" s="2">
        <v>65142</v>
      </c>
      <c r="P30" s="2">
        <v>26427</v>
      </c>
      <c r="Q30" s="2">
        <v>25995</v>
      </c>
      <c r="R30" s="2">
        <v>29818</v>
      </c>
      <c r="S30" s="2">
        <v>-65703</v>
      </c>
      <c r="T30" s="2">
        <v>-10893</v>
      </c>
      <c r="U30" s="2">
        <v>-37875</v>
      </c>
      <c r="V30" s="2">
        <v>-18952</v>
      </c>
      <c r="W30" s="2">
        <v>855</v>
      </c>
      <c r="X30" s="2">
        <v>-3178</v>
      </c>
      <c r="Y30" s="2">
        <v>26637</v>
      </c>
      <c r="Z30" s="2">
        <v>-22186</v>
      </c>
      <c r="AA30" s="2">
        <v>58257</v>
      </c>
      <c r="AB30" s="2">
        <v>4038</v>
      </c>
      <c r="AC30" s="2">
        <v>34113</v>
      </c>
      <c r="AD30" s="2">
        <v>74577</v>
      </c>
      <c r="AE30" s="2">
        <v>-79635</v>
      </c>
      <c r="AF30" s="2">
        <v>-13563</v>
      </c>
      <c r="AG30" s="2">
        <v>-34196</v>
      </c>
      <c r="AH30" s="2">
        <v>-52365</v>
      </c>
      <c r="AI30" s="2">
        <v>3732</v>
      </c>
      <c r="AJ30" s="2">
        <v>-1151</v>
      </c>
      <c r="AK30" s="2">
        <v>25395</v>
      </c>
      <c r="AL30" s="2">
        <v>28126</v>
      </c>
      <c r="AM30" s="15">
        <v>85270</v>
      </c>
      <c r="AN30" s="15">
        <v>19630</v>
      </c>
      <c r="AO30" s="15">
        <v>94106</v>
      </c>
      <c r="AP30" s="2"/>
      <c r="AQ30" s="2"/>
      <c r="AR30" s="15"/>
      <c r="AS30" s="15"/>
      <c r="AT30" s="15"/>
    </row>
    <row r="31" spans="1:46" ht="12.75">
      <c r="A31" t="s">
        <v>17</v>
      </c>
      <c r="B31" t="s">
        <v>6</v>
      </c>
      <c r="C31">
        <v>111</v>
      </c>
      <c r="D31" t="s">
        <v>13</v>
      </c>
      <c r="F31" s="2">
        <v>-1126672</v>
      </c>
      <c r="G31" s="2">
        <v>253486</v>
      </c>
      <c r="H31" s="2">
        <v>-749027</v>
      </c>
      <c r="I31" s="2">
        <v>-1080608</v>
      </c>
      <c r="J31" s="2">
        <v>-848941</v>
      </c>
      <c r="K31" s="2">
        <v>-269128</v>
      </c>
      <c r="L31" s="2">
        <v>-55970</v>
      </c>
      <c r="M31" s="2">
        <v>72717</v>
      </c>
      <c r="N31" s="2">
        <v>162204</v>
      </c>
      <c r="O31" s="2">
        <v>1127568</v>
      </c>
      <c r="P31" s="2">
        <v>1263699</v>
      </c>
      <c r="Q31" s="2">
        <v>787063</v>
      </c>
      <c r="R31" s="2">
        <v>600108</v>
      </c>
      <c r="S31" s="2">
        <v>-1205198</v>
      </c>
      <c r="T31" s="2">
        <v>-1011759</v>
      </c>
      <c r="U31" s="2">
        <v>-666371</v>
      </c>
      <c r="V31" s="2">
        <v>-830824</v>
      </c>
      <c r="W31" s="2">
        <v>-93915</v>
      </c>
      <c r="X31" s="2">
        <v>-18385</v>
      </c>
      <c r="Y31" s="2">
        <v>15430</v>
      </c>
      <c r="Z31" s="2">
        <v>719641</v>
      </c>
      <c r="AA31" s="2">
        <v>1263234</v>
      </c>
      <c r="AB31" s="2">
        <v>1438320</v>
      </c>
      <c r="AC31" s="2">
        <v>371973</v>
      </c>
      <c r="AD31" s="2">
        <v>618696</v>
      </c>
      <c r="AE31" s="2">
        <v>-1558286</v>
      </c>
      <c r="AF31" s="2">
        <v>160134</v>
      </c>
      <c r="AG31" s="2">
        <v>-838959</v>
      </c>
      <c r="AH31" s="2">
        <v>-1697837</v>
      </c>
      <c r="AI31" s="2">
        <v>-179537</v>
      </c>
      <c r="AJ31" s="2">
        <v>-244063</v>
      </c>
      <c r="AK31" s="2">
        <v>120027</v>
      </c>
      <c r="AL31" s="2">
        <v>226001</v>
      </c>
      <c r="AM31" s="15">
        <v>1613363</v>
      </c>
      <c r="AN31" s="15">
        <v>1006069</v>
      </c>
      <c r="AO31" s="15">
        <v>2114826</v>
      </c>
      <c r="AP31" s="2"/>
      <c r="AQ31" s="2"/>
      <c r="AR31" s="15"/>
      <c r="AS31" s="15"/>
      <c r="AT31" s="15"/>
    </row>
    <row r="32" spans="1:46" ht="12.75">
      <c r="A32" t="s">
        <v>18</v>
      </c>
      <c r="B32" t="s">
        <v>6</v>
      </c>
      <c r="C32">
        <v>121</v>
      </c>
      <c r="D32" t="s">
        <v>7</v>
      </c>
      <c r="F32" s="2">
        <v>411</v>
      </c>
      <c r="G32" s="2">
        <v>442</v>
      </c>
      <c r="H32" s="2">
        <v>-113</v>
      </c>
      <c r="I32" s="2">
        <v>-356</v>
      </c>
      <c r="J32" s="2">
        <v>-458</v>
      </c>
      <c r="K32" s="2">
        <v>431</v>
      </c>
      <c r="L32" s="2">
        <v>-147</v>
      </c>
      <c r="M32" s="2">
        <v>189</v>
      </c>
      <c r="N32" s="2">
        <v>-479</v>
      </c>
      <c r="O32" s="2">
        <v>365</v>
      </c>
      <c r="P32" s="2">
        <v>52</v>
      </c>
      <c r="Q32" s="2">
        <v>109</v>
      </c>
      <c r="R32" s="2">
        <v>-1832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15">
        <v>0</v>
      </c>
      <c r="AN32" s="15">
        <v>0</v>
      </c>
      <c r="AO32" s="15">
        <v>0</v>
      </c>
      <c r="AP32" s="2"/>
      <c r="AQ32" s="2"/>
      <c r="AR32" s="15"/>
      <c r="AS32" s="15"/>
      <c r="AT32" s="15"/>
    </row>
    <row r="33" spans="1:46" ht="12.75">
      <c r="A33" t="s">
        <v>19</v>
      </c>
      <c r="B33" t="s">
        <v>6</v>
      </c>
      <c r="C33">
        <v>121</v>
      </c>
      <c r="D33" t="s">
        <v>9</v>
      </c>
      <c r="F33" s="2">
        <v>-292330</v>
      </c>
      <c r="G33" s="2">
        <v>63619</v>
      </c>
      <c r="H33" s="2">
        <v>-101905</v>
      </c>
      <c r="I33" s="2">
        <v>-104019</v>
      </c>
      <c r="J33" s="2">
        <v>-97729</v>
      </c>
      <c r="K33" s="2">
        <v>24596</v>
      </c>
      <c r="L33" s="2">
        <v>399</v>
      </c>
      <c r="M33" s="2">
        <v>15963</v>
      </c>
      <c r="N33" s="2">
        <v>-25808</v>
      </c>
      <c r="O33" s="2">
        <v>126835</v>
      </c>
      <c r="P33" s="2">
        <v>66295</v>
      </c>
      <c r="Q33" s="2">
        <v>58166</v>
      </c>
      <c r="R33" s="2">
        <v>78775</v>
      </c>
      <c r="S33" s="2">
        <v>-121219</v>
      </c>
      <c r="T33" s="2">
        <v>-46919</v>
      </c>
      <c r="U33" s="2">
        <v>-26295</v>
      </c>
      <c r="V33" s="2">
        <v>-63798</v>
      </c>
      <c r="W33" s="2">
        <v>-46399</v>
      </c>
      <c r="X33" s="2">
        <v>-130</v>
      </c>
      <c r="Y33" s="2">
        <v>12054</v>
      </c>
      <c r="Z33" s="2">
        <v>-59075</v>
      </c>
      <c r="AA33" s="2">
        <v>167101</v>
      </c>
      <c r="AB33" s="2">
        <v>88489</v>
      </c>
      <c r="AC33" s="2">
        <v>57391</v>
      </c>
      <c r="AD33" s="2">
        <v>-20402</v>
      </c>
      <c r="AE33" s="2">
        <v>-122150</v>
      </c>
      <c r="AF33" s="2">
        <v>64599</v>
      </c>
      <c r="AG33" s="2">
        <v>-333614</v>
      </c>
      <c r="AH33" s="2">
        <v>69607</v>
      </c>
      <c r="AI33" s="2">
        <v>43014</v>
      </c>
      <c r="AJ33" s="2">
        <v>-21557</v>
      </c>
      <c r="AK33" s="2">
        <v>33624</v>
      </c>
      <c r="AL33" s="2">
        <v>28445</v>
      </c>
      <c r="AM33" s="15">
        <v>164034</v>
      </c>
      <c r="AN33" s="15">
        <v>53972</v>
      </c>
      <c r="AO33" s="15">
        <v>113819</v>
      </c>
      <c r="AP33" s="2"/>
      <c r="AQ33" s="2"/>
      <c r="AR33" s="15"/>
      <c r="AS33" s="15"/>
      <c r="AT33" s="15"/>
    </row>
    <row r="34" spans="1:46" ht="12.75">
      <c r="A34" t="s">
        <v>20</v>
      </c>
      <c r="B34" t="s">
        <v>6</v>
      </c>
      <c r="C34">
        <v>121</v>
      </c>
      <c r="D34" t="s">
        <v>11</v>
      </c>
      <c r="F34" s="2">
        <v>-7630</v>
      </c>
      <c r="G34" s="2">
        <v>-10856</v>
      </c>
      <c r="H34" s="2">
        <v>1880</v>
      </c>
      <c r="I34" s="2">
        <v>-2935</v>
      </c>
      <c r="J34" s="2">
        <v>-19878</v>
      </c>
      <c r="K34" s="2">
        <v>28867</v>
      </c>
      <c r="L34" s="2">
        <v>-3772</v>
      </c>
      <c r="M34" s="2">
        <v>9121</v>
      </c>
      <c r="N34" s="2">
        <v>-10613</v>
      </c>
      <c r="O34" s="2">
        <v>22835</v>
      </c>
      <c r="P34" s="2">
        <v>-16096</v>
      </c>
      <c r="Q34" s="2">
        <v>9243</v>
      </c>
      <c r="R34" s="2">
        <v>10091</v>
      </c>
      <c r="S34" s="2">
        <v>-41438</v>
      </c>
      <c r="T34" s="2">
        <v>-12698</v>
      </c>
      <c r="U34" s="2">
        <v>2859</v>
      </c>
      <c r="V34" s="2">
        <v>8603</v>
      </c>
      <c r="W34" s="2">
        <v>-302</v>
      </c>
      <c r="X34" s="2">
        <v>1362</v>
      </c>
      <c r="Y34" s="2">
        <v>11748</v>
      </c>
      <c r="Z34" s="2">
        <v>-44395</v>
      </c>
      <c r="AA34" s="2">
        <v>30443</v>
      </c>
      <c r="AB34" s="2">
        <v>18885</v>
      </c>
      <c r="AC34" s="2">
        <v>1385</v>
      </c>
      <c r="AD34" s="2">
        <v>-73354</v>
      </c>
      <c r="AE34" s="2">
        <v>-39723</v>
      </c>
      <c r="AF34" s="2">
        <v>41438</v>
      </c>
      <c r="AG34" s="2">
        <v>-7852</v>
      </c>
      <c r="AH34" s="2">
        <v>-12554</v>
      </c>
      <c r="AI34" s="2">
        <v>9222</v>
      </c>
      <c r="AJ34" s="2">
        <v>37982</v>
      </c>
      <c r="AK34" s="2">
        <v>-28090</v>
      </c>
      <c r="AL34" s="2">
        <v>20652</v>
      </c>
      <c r="AM34" s="15">
        <v>117273</v>
      </c>
      <c r="AN34" s="15">
        <v>-64083</v>
      </c>
      <c r="AO34" s="15">
        <v>-22562</v>
      </c>
      <c r="AP34" s="2"/>
      <c r="AQ34" s="2"/>
      <c r="AR34" s="15"/>
      <c r="AS34" s="15"/>
      <c r="AT34" s="15"/>
    </row>
    <row r="35" spans="1:46" ht="12.75">
      <c r="A35" t="s">
        <v>21</v>
      </c>
      <c r="B35" t="s">
        <v>6</v>
      </c>
      <c r="C35">
        <v>121</v>
      </c>
      <c r="D35" t="s">
        <v>13</v>
      </c>
      <c r="F35" s="2">
        <v>-299549</v>
      </c>
      <c r="G35" s="2">
        <v>53205</v>
      </c>
      <c r="H35" s="2">
        <v>-100138</v>
      </c>
      <c r="I35" s="2">
        <v>-107310</v>
      </c>
      <c r="J35" s="2">
        <v>-118065</v>
      </c>
      <c r="K35" s="2">
        <v>53894</v>
      </c>
      <c r="L35" s="2">
        <v>-3520</v>
      </c>
      <c r="M35" s="2">
        <v>25273</v>
      </c>
      <c r="N35" s="2">
        <v>-36900</v>
      </c>
      <c r="O35" s="2">
        <v>150035</v>
      </c>
      <c r="P35" s="2">
        <v>50251</v>
      </c>
      <c r="Q35" s="2">
        <v>67518</v>
      </c>
      <c r="R35" s="2">
        <v>87034</v>
      </c>
      <c r="S35" s="2">
        <v>-162657</v>
      </c>
      <c r="T35" s="2">
        <v>-59617</v>
      </c>
      <c r="U35" s="2">
        <v>-23436</v>
      </c>
      <c r="V35" s="2">
        <v>-55195</v>
      </c>
      <c r="W35" s="2">
        <v>-46701</v>
      </c>
      <c r="X35" s="2">
        <v>1232</v>
      </c>
      <c r="Y35" s="2">
        <v>23802</v>
      </c>
      <c r="Z35" s="2">
        <v>-103470</v>
      </c>
      <c r="AA35" s="2">
        <v>197544</v>
      </c>
      <c r="AB35" s="2">
        <v>107374</v>
      </c>
      <c r="AC35" s="2">
        <v>58776</v>
      </c>
      <c r="AD35" s="2">
        <v>-93756</v>
      </c>
      <c r="AE35" s="2">
        <v>-161873</v>
      </c>
      <c r="AF35" s="2">
        <v>106037</v>
      </c>
      <c r="AG35" s="2">
        <v>-341466</v>
      </c>
      <c r="AH35" s="2">
        <v>57053</v>
      </c>
      <c r="AI35" s="2">
        <v>52236</v>
      </c>
      <c r="AJ35" s="2">
        <v>16425</v>
      </c>
      <c r="AK35" s="2">
        <v>5534</v>
      </c>
      <c r="AL35" s="2">
        <v>49097</v>
      </c>
      <c r="AM35" s="15">
        <v>281307</v>
      </c>
      <c r="AN35" s="15">
        <v>-10111</v>
      </c>
      <c r="AO35" s="15">
        <v>91257</v>
      </c>
      <c r="AP35" s="2"/>
      <c r="AQ35" s="2"/>
      <c r="AR35" s="15"/>
      <c r="AS35" s="15"/>
      <c r="AT35" s="15"/>
    </row>
    <row r="36" spans="1:46" ht="12.75">
      <c r="A36" t="s">
        <v>22</v>
      </c>
      <c r="B36" t="s">
        <v>6</v>
      </c>
      <c r="C36">
        <v>131</v>
      </c>
      <c r="D36" t="s">
        <v>23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15">
        <v>0</v>
      </c>
      <c r="AN36" s="15">
        <v>0</v>
      </c>
      <c r="AO36" s="15">
        <v>0</v>
      </c>
      <c r="AP36" s="2"/>
      <c r="AQ36" s="2"/>
      <c r="AR36" s="15"/>
      <c r="AS36" s="15"/>
      <c r="AT36" s="15"/>
    </row>
    <row r="37" spans="1:46" ht="12.75">
      <c r="A37" t="s">
        <v>24</v>
      </c>
      <c r="B37" t="s">
        <v>6</v>
      </c>
      <c r="C37">
        <v>146</v>
      </c>
      <c r="D37" t="s">
        <v>25</v>
      </c>
      <c r="F37" s="2">
        <v>271247</v>
      </c>
      <c r="G37" s="2">
        <v>-372912</v>
      </c>
      <c r="H37" s="2">
        <v>6917</v>
      </c>
      <c r="I37" s="2">
        <v>-336850</v>
      </c>
      <c r="J37" s="2">
        <v>19402</v>
      </c>
      <c r="K37" s="2">
        <v>84532</v>
      </c>
      <c r="L37" s="2">
        <v>-553537</v>
      </c>
      <c r="M37" s="2">
        <v>59560</v>
      </c>
      <c r="N37" s="2">
        <v>297245</v>
      </c>
      <c r="O37" s="2">
        <v>559879</v>
      </c>
      <c r="P37" s="2">
        <v>396602</v>
      </c>
      <c r="Q37" s="2">
        <v>-236765</v>
      </c>
      <c r="R37" s="2">
        <v>-13197</v>
      </c>
      <c r="S37" s="2">
        <v>-21598</v>
      </c>
      <c r="T37" s="2">
        <v>-435597</v>
      </c>
      <c r="U37" s="2">
        <v>-205211</v>
      </c>
      <c r="V37" s="2">
        <v>-199032</v>
      </c>
      <c r="W37" s="2">
        <v>-81622</v>
      </c>
      <c r="X37" s="2">
        <v>59434</v>
      </c>
      <c r="Y37" s="2">
        <v>140741</v>
      </c>
      <c r="Z37" s="2">
        <v>458868</v>
      </c>
      <c r="AA37" s="2">
        <v>402390</v>
      </c>
      <c r="AB37" s="2">
        <v>113842</v>
      </c>
      <c r="AC37" s="2">
        <v>-113990</v>
      </c>
      <c r="AD37" s="2">
        <v>-271493</v>
      </c>
      <c r="AE37" s="2">
        <v>-73112</v>
      </c>
      <c r="AF37" s="2">
        <v>-269851</v>
      </c>
      <c r="AG37" s="2">
        <v>2860152</v>
      </c>
      <c r="AH37" s="2">
        <v>-3029520</v>
      </c>
      <c r="AI37" s="2">
        <v>-343459</v>
      </c>
      <c r="AJ37" s="2">
        <v>41077</v>
      </c>
      <c r="AK37" s="2">
        <v>143963</v>
      </c>
      <c r="AL37" s="2">
        <v>607504</v>
      </c>
      <c r="AM37" s="15">
        <v>328471</v>
      </c>
      <c r="AN37" s="15">
        <v>71816</v>
      </c>
      <c r="AO37" s="15">
        <v>317442</v>
      </c>
      <c r="AP37" s="2"/>
      <c r="AQ37" s="2"/>
      <c r="AR37" s="15"/>
      <c r="AS37" s="15"/>
      <c r="AT37" s="15"/>
    </row>
    <row r="38" spans="1:46" ht="12.75">
      <c r="A38" t="s">
        <v>26</v>
      </c>
      <c r="B38" t="s">
        <v>6</v>
      </c>
      <c r="C38">
        <v>148</v>
      </c>
      <c r="D38" t="s">
        <v>27</v>
      </c>
      <c r="F38" s="2">
        <v>114206</v>
      </c>
      <c r="G38" s="2">
        <v>-136092</v>
      </c>
      <c r="H38" s="2">
        <v>-559572</v>
      </c>
      <c r="I38" s="2">
        <v>-330169</v>
      </c>
      <c r="J38" s="2">
        <v>-144165</v>
      </c>
      <c r="K38" s="2">
        <v>401969</v>
      </c>
      <c r="L38" s="2">
        <v>-60257</v>
      </c>
      <c r="M38" s="2">
        <v>119283</v>
      </c>
      <c r="N38" s="2">
        <v>49760</v>
      </c>
      <c r="O38" s="2">
        <v>369698</v>
      </c>
      <c r="P38" s="2">
        <v>-76224</v>
      </c>
      <c r="Q38" s="2">
        <v>263561</v>
      </c>
      <c r="R38" s="2">
        <v>590642</v>
      </c>
      <c r="S38" s="2">
        <v>33657</v>
      </c>
      <c r="T38" s="2">
        <v>-585935</v>
      </c>
      <c r="U38" s="2">
        <v>-342868</v>
      </c>
      <c r="V38" s="2">
        <v>173323</v>
      </c>
      <c r="W38" s="2">
        <v>15384</v>
      </c>
      <c r="X38" s="2">
        <v>285009</v>
      </c>
      <c r="Y38" s="2">
        <v>-69444</v>
      </c>
      <c r="Z38" s="2">
        <v>240545</v>
      </c>
      <c r="AA38" s="2">
        <v>262544</v>
      </c>
      <c r="AB38" s="2">
        <v>102376</v>
      </c>
      <c r="AC38" s="2">
        <v>225834</v>
      </c>
      <c r="AD38" s="2">
        <v>-517073</v>
      </c>
      <c r="AE38" s="2">
        <v>184058</v>
      </c>
      <c r="AF38" s="2">
        <v>-481260</v>
      </c>
      <c r="AG38" s="2">
        <v>-3330965</v>
      </c>
      <c r="AH38" s="2">
        <v>2846375</v>
      </c>
      <c r="AI38" s="2">
        <v>-194227</v>
      </c>
      <c r="AJ38" s="2">
        <v>305480</v>
      </c>
      <c r="AK38" s="2">
        <v>25733</v>
      </c>
      <c r="AL38" s="2">
        <v>568539</v>
      </c>
      <c r="AM38" s="15">
        <v>408493</v>
      </c>
      <c r="AN38" s="15">
        <v>1050261</v>
      </c>
      <c r="AO38" s="15">
        <v>374533</v>
      </c>
      <c r="AP38" s="2"/>
      <c r="AQ38" s="2"/>
      <c r="AR38" s="15"/>
      <c r="AS38" s="15"/>
      <c r="AT38" s="15"/>
    </row>
    <row r="39" spans="4:46" ht="12.75">
      <c r="D39" t="s">
        <v>28</v>
      </c>
      <c r="F39" s="3">
        <v>-2834611</v>
      </c>
      <c r="G39" s="3">
        <v>-285624</v>
      </c>
      <c r="H39" s="3">
        <v>-3663459</v>
      </c>
      <c r="I39" s="3">
        <v>-5162645</v>
      </c>
      <c r="J39" s="3">
        <v>-3614830</v>
      </c>
      <c r="K39" s="3">
        <v>-662701</v>
      </c>
      <c r="L39" s="3">
        <v>-802743</v>
      </c>
      <c r="M39" s="3">
        <v>448374</v>
      </c>
      <c r="N39" s="3">
        <v>1069716</v>
      </c>
      <c r="O39" s="3">
        <v>5640656</v>
      </c>
      <c r="P39" s="3">
        <v>6346048</v>
      </c>
      <c r="Q39" s="3">
        <v>3418646</v>
      </c>
      <c r="R39" s="3">
        <v>1916681</v>
      </c>
      <c r="S39" s="3">
        <v>-5636716</v>
      </c>
      <c r="T39" s="3">
        <v>-4837386</v>
      </c>
      <c r="U39" s="3">
        <v>-3149277</v>
      </c>
      <c r="V39" s="3">
        <v>-2914047</v>
      </c>
      <c r="W39" s="3">
        <v>-1166355</v>
      </c>
      <c r="X39" s="3">
        <v>-74257</v>
      </c>
      <c r="Y39" s="3">
        <v>507205</v>
      </c>
      <c r="Z39" s="3">
        <v>1823985</v>
      </c>
      <c r="AA39" s="3">
        <v>5289821</v>
      </c>
      <c r="AB39" s="3">
        <v>7016799</v>
      </c>
      <c r="AC39" s="3">
        <v>2139785</v>
      </c>
      <c r="AD39" s="3">
        <v>1216474</v>
      </c>
      <c r="AE39" s="3">
        <v>-5639915</v>
      </c>
      <c r="AF39" s="3">
        <v>-491004</v>
      </c>
      <c r="AG39" s="3">
        <v>-4457439</v>
      </c>
      <c r="AH39" s="3">
        <v>-5752841</v>
      </c>
      <c r="AI39" s="3">
        <v>-1447360</v>
      </c>
      <c r="AJ39" s="3">
        <v>-467144</v>
      </c>
      <c r="AK39" s="3">
        <v>400952</v>
      </c>
      <c r="AL39" s="3">
        <v>1771421</v>
      </c>
      <c r="AM39" s="3">
        <v>5881846</v>
      </c>
      <c r="AN39" s="3">
        <v>5600967</v>
      </c>
      <c r="AO39" s="3">
        <v>11259216</v>
      </c>
      <c r="AP39" s="3"/>
      <c r="AQ39" s="3"/>
      <c r="AR39" s="3"/>
      <c r="AS39" s="3"/>
      <c r="AT39" s="3"/>
    </row>
    <row r="40" spans="6:46" ht="12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3:46" ht="12.75">
      <c r="C41" s="36" t="s">
        <v>88</v>
      </c>
      <c r="F41" s="3">
        <f>F9+F27</f>
        <v>16768826</v>
      </c>
      <c r="G41" s="3">
        <f aca="true" t="shared" si="0" ref="G41:AO41">G9+G27</f>
        <v>16626225</v>
      </c>
      <c r="H41" s="3">
        <f t="shared" si="0"/>
        <v>14662919</v>
      </c>
      <c r="I41" s="3">
        <f t="shared" si="0"/>
        <v>7996665</v>
      </c>
      <c r="J41" s="3">
        <f t="shared" si="0"/>
        <v>4029416</v>
      </c>
      <c r="K41" s="3">
        <f t="shared" si="0"/>
        <v>2604322</v>
      </c>
      <c r="L41" s="3">
        <f t="shared" si="0"/>
        <v>2248755</v>
      </c>
      <c r="M41" s="3">
        <f t="shared" si="0"/>
        <v>2157135</v>
      </c>
      <c r="N41" s="3">
        <f t="shared" si="0"/>
        <v>3077124</v>
      </c>
      <c r="O41" s="3">
        <f t="shared" si="0"/>
        <v>7725581</v>
      </c>
      <c r="P41" s="3">
        <f t="shared" si="0"/>
        <v>14602725</v>
      </c>
      <c r="Q41" s="3">
        <f t="shared" si="0"/>
        <v>20902067</v>
      </c>
      <c r="R41" s="3">
        <f t="shared" si="0"/>
        <v>21944693</v>
      </c>
      <c r="S41" s="3">
        <f t="shared" si="0"/>
        <v>16953646</v>
      </c>
      <c r="T41" s="3">
        <f t="shared" si="0"/>
        <v>11727844</v>
      </c>
      <c r="U41" s="3">
        <f t="shared" si="0"/>
        <v>7812733</v>
      </c>
      <c r="V41" s="3">
        <f t="shared" si="0"/>
        <v>4111243</v>
      </c>
      <c r="W41" s="3">
        <f t="shared" si="0"/>
        <v>2705332</v>
      </c>
      <c r="X41" s="3">
        <f t="shared" si="0"/>
        <v>2061089</v>
      </c>
      <c r="Y41" s="3">
        <f t="shared" si="0"/>
        <v>2406879</v>
      </c>
      <c r="Z41" s="3">
        <f t="shared" si="0"/>
        <v>2841337</v>
      </c>
      <c r="AA41" s="3">
        <f t="shared" si="0"/>
        <v>7648926</v>
      </c>
      <c r="AB41" s="3">
        <f t="shared" si="0"/>
        <v>14653404</v>
      </c>
      <c r="AC41" s="3">
        <f t="shared" si="0"/>
        <v>19990044</v>
      </c>
      <c r="AD41" s="3">
        <f t="shared" si="0"/>
        <v>22235727</v>
      </c>
      <c r="AE41" s="3">
        <f t="shared" si="0"/>
        <v>18483645</v>
      </c>
      <c r="AF41" s="3">
        <f t="shared" si="0"/>
        <v>14853012</v>
      </c>
      <c r="AG41" s="3">
        <f t="shared" si="0"/>
        <v>10822958</v>
      </c>
      <c r="AH41" s="3">
        <f t="shared" si="0"/>
        <v>4785715</v>
      </c>
      <c r="AI41" s="3">
        <f t="shared" si="0"/>
        <v>3450341</v>
      </c>
      <c r="AJ41" s="3">
        <f t="shared" si="0"/>
        <v>2177550</v>
      </c>
      <c r="AK41" s="3">
        <f t="shared" si="0"/>
        <v>2328928</v>
      </c>
      <c r="AL41" s="3">
        <f t="shared" si="0"/>
        <v>2808246</v>
      </c>
      <c r="AM41" s="3">
        <f t="shared" si="0"/>
        <v>7183541</v>
      </c>
      <c r="AN41" s="3">
        <f t="shared" si="0"/>
        <v>12086091</v>
      </c>
      <c r="AO41" s="3">
        <f t="shared" si="0"/>
        <v>23706436</v>
      </c>
      <c r="AP41" s="3"/>
      <c r="AQ41" s="3"/>
      <c r="AR41" s="3"/>
      <c r="AS41" s="3"/>
      <c r="AT41" s="3"/>
    </row>
    <row r="42" spans="3:46" ht="12.75">
      <c r="C42" s="35" t="s">
        <v>89</v>
      </c>
      <c r="F42" s="3">
        <f>F13+F31</f>
        <v>6046719</v>
      </c>
      <c r="G42" s="3">
        <f aca="true" t="shared" si="1" ref="G42:AO42">G13+G31</f>
        <v>6782884</v>
      </c>
      <c r="H42" s="3">
        <f t="shared" si="1"/>
        <v>5799852</v>
      </c>
      <c r="I42" s="3">
        <f t="shared" si="1"/>
        <v>3558970</v>
      </c>
      <c r="J42" s="3">
        <f t="shared" si="1"/>
        <v>2035787</v>
      </c>
      <c r="K42" s="3">
        <f t="shared" si="1"/>
        <v>1266112</v>
      </c>
      <c r="L42" s="3">
        <f t="shared" si="1"/>
        <v>1360028</v>
      </c>
      <c r="M42" s="3">
        <f t="shared" si="1"/>
        <v>1257288</v>
      </c>
      <c r="N42" s="3">
        <f t="shared" si="1"/>
        <v>1689027</v>
      </c>
      <c r="O42" s="3">
        <f t="shared" si="1"/>
        <v>3424339</v>
      </c>
      <c r="P42" s="3">
        <f t="shared" si="1"/>
        <v>5493873</v>
      </c>
      <c r="Q42" s="3">
        <f t="shared" si="1"/>
        <v>7817419</v>
      </c>
      <c r="R42" s="3">
        <f t="shared" si="1"/>
        <v>8529853</v>
      </c>
      <c r="S42" s="3">
        <f t="shared" si="1"/>
        <v>6705008</v>
      </c>
      <c r="T42" s="3">
        <f t="shared" si="1"/>
        <v>4909303</v>
      </c>
      <c r="U42" s="3">
        <f t="shared" si="1"/>
        <v>3659641</v>
      </c>
      <c r="V42" s="3">
        <f t="shared" si="1"/>
        <v>2155527</v>
      </c>
      <c r="W42" s="3">
        <f t="shared" si="1"/>
        <v>1903691</v>
      </c>
      <c r="X42" s="3">
        <f t="shared" si="1"/>
        <v>1357249</v>
      </c>
      <c r="Y42" s="3">
        <f t="shared" si="1"/>
        <v>1164082</v>
      </c>
      <c r="Z42" s="3">
        <f t="shared" si="1"/>
        <v>2107028</v>
      </c>
      <c r="AA42" s="3">
        <f t="shared" si="1"/>
        <v>3546992</v>
      </c>
      <c r="AB42" s="3">
        <f t="shared" si="1"/>
        <v>5517217</v>
      </c>
      <c r="AC42" s="3">
        <f t="shared" si="1"/>
        <v>7360447</v>
      </c>
      <c r="AD42" s="3">
        <f t="shared" si="1"/>
        <v>8531103</v>
      </c>
      <c r="AE42" s="3">
        <f t="shared" si="1"/>
        <v>6953409</v>
      </c>
      <c r="AF42" s="3">
        <f t="shared" si="1"/>
        <v>6035208</v>
      </c>
      <c r="AG42" s="3">
        <f t="shared" si="1"/>
        <v>5042597</v>
      </c>
      <c r="AH42" s="3">
        <f t="shared" si="1"/>
        <v>2086185</v>
      </c>
      <c r="AI42" s="3">
        <f t="shared" si="1"/>
        <v>1966364</v>
      </c>
      <c r="AJ42" s="3">
        <f t="shared" si="1"/>
        <v>1247532</v>
      </c>
      <c r="AK42" s="3">
        <f t="shared" si="1"/>
        <v>1402467</v>
      </c>
      <c r="AL42" s="3">
        <f t="shared" si="1"/>
        <v>1715966</v>
      </c>
      <c r="AM42" s="3">
        <f t="shared" si="1"/>
        <v>3727685</v>
      </c>
      <c r="AN42" s="3">
        <f t="shared" si="1"/>
        <v>4773308</v>
      </c>
      <c r="AO42" s="3">
        <f t="shared" si="1"/>
        <v>8079351</v>
      </c>
      <c r="AP42" s="3"/>
      <c r="AQ42" s="3"/>
      <c r="AR42" s="3"/>
      <c r="AS42" s="3"/>
      <c r="AT42" s="3"/>
    </row>
    <row r="43" spans="3:46" ht="12.75">
      <c r="C43" s="36" t="s">
        <v>90</v>
      </c>
      <c r="F43" s="3">
        <f>F17+F35</f>
        <v>480082</v>
      </c>
      <c r="G43" s="3">
        <f aca="true" t="shared" si="2" ref="G43:AO43">G17+G35</f>
        <v>910904</v>
      </c>
      <c r="H43" s="3">
        <f t="shared" si="2"/>
        <v>718436</v>
      </c>
      <c r="I43" s="3">
        <f t="shared" si="2"/>
        <v>609782</v>
      </c>
      <c r="J43" s="3">
        <f t="shared" si="2"/>
        <v>489523</v>
      </c>
      <c r="K43" s="3">
        <f t="shared" si="2"/>
        <v>604432</v>
      </c>
      <c r="L43" s="3">
        <f t="shared" si="2"/>
        <v>486310</v>
      </c>
      <c r="M43" s="3">
        <f t="shared" si="2"/>
        <v>528513</v>
      </c>
      <c r="N43" s="3">
        <f t="shared" si="2"/>
        <v>499570</v>
      </c>
      <c r="O43" s="3">
        <f t="shared" si="2"/>
        <v>751497</v>
      </c>
      <c r="P43" s="3">
        <f t="shared" si="2"/>
        <v>717520</v>
      </c>
      <c r="Q43" s="3">
        <f t="shared" si="2"/>
        <v>828697</v>
      </c>
      <c r="R43" s="3">
        <f t="shared" si="2"/>
        <v>908031</v>
      </c>
      <c r="S43" s="3">
        <f t="shared" si="2"/>
        <v>733309</v>
      </c>
      <c r="T43" s="3">
        <f t="shared" si="2"/>
        <v>608369</v>
      </c>
      <c r="U43" s="3">
        <f t="shared" si="2"/>
        <v>543718</v>
      </c>
      <c r="V43" s="3">
        <f t="shared" si="2"/>
        <v>454314</v>
      </c>
      <c r="W43" s="3">
        <f t="shared" si="2"/>
        <v>421149</v>
      </c>
      <c r="X43" s="3">
        <f t="shared" si="2"/>
        <v>422494</v>
      </c>
      <c r="Y43" s="3">
        <f t="shared" si="2"/>
        <v>394533</v>
      </c>
      <c r="Z43" s="3">
        <f t="shared" si="2"/>
        <v>338931</v>
      </c>
      <c r="AA43" s="3">
        <f t="shared" si="2"/>
        <v>648267</v>
      </c>
      <c r="AB43" s="3">
        <f t="shared" si="2"/>
        <v>693579</v>
      </c>
      <c r="AC43" s="3">
        <f t="shared" si="2"/>
        <v>790575</v>
      </c>
      <c r="AD43" s="3">
        <f t="shared" si="2"/>
        <v>685298</v>
      </c>
      <c r="AE43" s="3">
        <f t="shared" si="2"/>
        <v>658403</v>
      </c>
      <c r="AF43" s="3">
        <f t="shared" si="2"/>
        <v>811153</v>
      </c>
      <c r="AG43" s="3">
        <f t="shared" si="2"/>
        <v>-113355</v>
      </c>
      <c r="AH43" s="3">
        <f t="shared" si="2"/>
        <v>578563</v>
      </c>
      <c r="AI43" s="3">
        <f t="shared" si="2"/>
        <v>508942</v>
      </c>
      <c r="AJ43" s="3">
        <f t="shared" si="2"/>
        <v>463375</v>
      </c>
      <c r="AK43" s="3">
        <f t="shared" si="2"/>
        <v>348623</v>
      </c>
      <c r="AL43" s="3">
        <f t="shared" si="2"/>
        <v>433066</v>
      </c>
      <c r="AM43" s="3">
        <f t="shared" si="2"/>
        <v>719309</v>
      </c>
      <c r="AN43" s="3">
        <f t="shared" si="2"/>
        <v>552775</v>
      </c>
      <c r="AO43" s="3">
        <f t="shared" si="2"/>
        <v>701703</v>
      </c>
      <c r="AP43" s="3"/>
      <c r="AQ43" s="3"/>
      <c r="AR43" s="3"/>
      <c r="AS43" s="3"/>
      <c r="AT43" s="3"/>
    </row>
    <row r="44" spans="3:46" ht="12.75">
      <c r="C44" s="35" t="s">
        <v>91</v>
      </c>
      <c r="F44" s="3">
        <f>F18+F36</f>
        <v>79033</v>
      </c>
      <c r="G44" s="3">
        <f aca="true" t="shared" si="3" ref="G44:AO44">G18+G36</f>
        <v>73746</v>
      </c>
      <c r="H44" s="3">
        <f t="shared" si="3"/>
        <v>75280</v>
      </c>
      <c r="I44" s="3">
        <f t="shared" si="3"/>
        <v>67227</v>
      </c>
      <c r="J44" s="3">
        <f t="shared" si="3"/>
        <v>56865</v>
      </c>
      <c r="K44" s="3">
        <f t="shared" si="3"/>
        <v>40563</v>
      </c>
      <c r="L44" s="3">
        <f t="shared" si="3"/>
        <v>31401</v>
      </c>
      <c r="M44" s="3">
        <f t="shared" si="3"/>
        <v>24316</v>
      </c>
      <c r="N44" s="3">
        <f t="shared" si="3"/>
        <v>26942</v>
      </c>
      <c r="O44" s="3">
        <f t="shared" si="3"/>
        <v>36942</v>
      </c>
      <c r="P44" s="3">
        <f t="shared" si="3"/>
        <v>50798</v>
      </c>
      <c r="Q44" s="3">
        <f t="shared" si="3"/>
        <v>80909</v>
      </c>
      <c r="R44" s="3">
        <f t="shared" si="3"/>
        <v>75087</v>
      </c>
      <c r="S44" s="3">
        <f t="shared" si="3"/>
        <v>84056</v>
      </c>
      <c r="T44" s="3">
        <f t="shared" si="3"/>
        <v>76611</v>
      </c>
      <c r="U44" s="3">
        <f t="shared" si="3"/>
        <v>63911</v>
      </c>
      <c r="V44" s="3">
        <f t="shared" si="3"/>
        <v>50186</v>
      </c>
      <c r="W44" s="3">
        <f t="shared" si="3"/>
        <v>44662</v>
      </c>
      <c r="X44" s="3">
        <f t="shared" si="3"/>
        <v>32191</v>
      </c>
      <c r="Y44" s="3">
        <f t="shared" si="3"/>
        <v>22511</v>
      </c>
      <c r="Z44" s="3">
        <f t="shared" si="3"/>
        <v>25947</v>
      </c>
      <c r="AA44" s="3">
        <f t="shared" si="3"/>
        <v>31352</v>
      </c>
      <c r="AB44" s="3">
        <f t="shared" si="3"/>
        <v>56927</v>
      </c>
      <c r="AC44" s="3">
        <f t="shared" si="3"/>
        <v>80019</v>
      </c>
      <c r="AD44" s="3">
        <f t="shared" si="3"/>
        <v>73637</v>
      </c>
      <c r="AE44" s="3">
        <f t="shared" si="3"/>
        <v>93723</v>
      </c>
      <c r="AF44" s="3">
        <f t="shared" si="3"/>
        <v>74260</v>
      </c>
      <c r="AG44" s="3">
        <f t="shared" si="3"/>
        <v>67610</v>
      </c>
      <c r="AH44" s="3">
        <f t="shared" si="3"/>
        <v>56425</v>
      </c>
      <c r="AI44" s="3">
        <f t="shared" si="3"/>
        <v>39006</v>
      </c>
      <c r="AJ44" s="3">
        <f t="shared" si="3"/>
        <v>31997</v>
      </c>
      <c r="AK44" s="3">
        <f t="shared" si="3"/>
        <v>22754</v>
      </c>
      <c r="AL44" s="3">
        <f t="shared" si="3"/>
        <v>26857</v>
      </c>
      <c r="AM44" s="3">
        <f t="shared" si="3"/>
        <v>31848</v>
      </c>
      <c r="AN44" s="3">
        <f t="shared" si="3"/>
        <v>47455</v>
      </c>
      <c r="AO44" s="3">
        <f t="shared" si="3"/>
        <v>61119</v>
      </c>
      <c r="AP44" s="3"/>
      <c r="AQ44" s="3"/>
      <c r="AR44" s="3"/>
      <c r="AS44" s="3"/>
      <c r="AT44" s="3"/>
    </row>
    <row r="45" spans="3:46" ht="12.75">
      <c r="C45" s="36" t="s">
        <v>92</v>
      </c>
      <c r="F45" s="3">
        <f>F19+F37</f>
        <v>2790912</v>
      </c>
      <c r="G45" s="3">
        <f aca="true" t="shared" si="4" ref="G45:AO45">G19+G37</f>
        <v>1947811</v>
      </c>
      <c r="H45" s="3">
        <f t="shared" si="4"/>
        <v>2308934</v>
      </c>
      <c r="I45" s="3">
        <f t="shared" si="4"/>
        <v>2027060</v>
      </c>
      <c r="J45" s="3">
        <f t="shared" si="4"/>
        <v>1951628</v>
      </c>
      <c r="K45" s="3">
        <f t="shared" si="4"/>
        <v>1812720</v>
      </c>
      <c r="L45" s="3">
        <f t="shared" si="4"/>
        <v>1060321</v>
      </c>
      <c r="M45" s="3">
        <f t="shared" si="4"/>
        <v>1356131</v>
      </c>
      <c r="N45" s="3">
        <f t="shared" si="4"/>
        <v>1581978</v>
      </c>
      <c r="O45" s="3">
        <f t="shared" si="4"/>
        <v>2147152</v>
      </c>
      <c r="P45" s="3">
        <f t="shared" si="4"/>
        <v>2508982</v>
      </c>
      <c r="Q45" s="3">
        <f t="shared" si="4"/>
        <v>2185254</v>
      </c>
      <c r="R45" s="3">
        <f t="shared" si="4"/>
        <v>2452403</v>
      </c>
      <c r="S45" s="3">
        <f t="shared" si="4"/>
        <v>2913841</v>
      </c>
      <c r="T45" s="3">
        <f t="shared" si="4"/>
        <v>1754458</v>
      </c>
      <c r="U45" s="3">
        <f t="shared" si="4"/>
        <v>1874352</v>
      </c>
      <c r="V45" s="3">
        <f t="shared" si="4"/>
        <v>1810484</v>
      </c>
      <c r="W45" s="3">
        <f t="shared" si="4"/>
        <v>1652094</v>
      </c>
      <c r="X45" s="3">
        <f t="shared" si="4"/>
        <v>1742272</v>
      </c>
      <c r="Y45" s="3">
        <f t="shared" si="4"/>
        <v>1532892</v>
      </c>
      <c r="Z45" s="3">
        <f t="shared" si="4"/>
        <v>2058553</v>
      </c>
      <c r="AA45" s="3">
        <f t="shared" si="4"/>
        <v>2236836</v>
      </c>
      <c r="AB45" s="3">
        <f t="shared" si="4"/>
        <v>2352303</v>
      </c>
      <c r="AC45" s="3">
        <f t="shared" si="4"/>
        <v>2317330</v>
      </c>
      <c r="AD45" s="3">
        <f t="shared" si="4"/>
        <v>2353576</v>
      </c>
      <c r="AE45" s="3">
        <f t="shared" si="4"/>
        <v>2809820</v>
      </c>
      <c r="AF45" s="3">
        <f t="shared" si="4"/>
        <v>2059945</v>
      </c>
      <c r="AG45" s="3">
        <f t="shared" si="4"/>
        <v>5188337</v>
      </c>
      <c r="AH45" s="3">
        <f t="shared" si="4"/>
        <v>-834804</v>
      </c>
      <c r="AI45" s="3">
        <f t="shared" si="4"/>
        <v>1378835</v>
      </c>
      <c r="AJ45" s="3">
        <f t="shared" si="4"/>
        <v>1881557</v>
      </c>
      <c r="AK45" s="3">
        <f t="shared" si="4"/>
        <v>1746912</v>
      </c>
      <c r="AL45" s="3">
        <f t="shared" si="4"/>
        <v>2497328</v>
      </c>
      <c r="AM45" s="3">
        <f t="shared" si="4"/>
        <v>1985651</v>
      </c>
      <c r="AN45" s="3">
        <f t="shared" si="4"/>
        <v>2379689</v>
      </c>
      <c r="AO45" s="3">
        <f t="shared" si="4"/>
        <v>2215620</v>
      </c>
      <c r="AP45" s="3"/>
      <c r="AQ45" s="3"/>
      <c r="AR45" s="3"/>
      <c r="AS45" s="3"/>
      <c r="AT45" s="3"/>
    </row>
    <row r="46" spans="3:46" ht="12.75">
      <c r="C46" s="35" t="s">
        <v>93</v>
      </c>
      <c r="F46" s="3">
        <f>F20+F38</f>
        <v>4849386</v>
      </c>
      <c r="G46" s="3">
        <f aca="true" t="shared" si="5" ref="G46:AO46">G20+G38</f>
        <v>3845044</v>
      </c>
      <c r="H46" s="3">
        <f t="shared" si="5"/>
        <v>3193504</v>
      </c>
      <c r="I46" s="3">
        <f t="shared" si="5"/>
        <v>3447266</v>
      </c>
      <c r="J46" s="3">
        <f t="shared" si="5"/>
        <v>3050496</v>
      </c>
      <c r="K46" s="3">
        <f t="shared" si="5"/>
        <v>3480978</v>
      </c>
      <c r="L46" s="3">
        <f t="shared" si="5"/>
        <v>2884367</v>
      </c>
      <c r="M46" s="3">
        <f t="shared" si="5"/>
        <v>3232475</v>
      </c>
      <c r="N46" s="3">
        <f t="shared" si="5"/>
        <v>3263908</v>
      </c>
      <c r="O46" s="3">
        <f t="shared" si="5"/>
        <v>3676887</v>
      </c>
      <c r="P46" s="3">
        <f t="shared" si="5"/>
        <v>3595183</v>
      </c>
      <c r="Q46" s="3">
        <f t="shared" si="5"/>
        <v>4265913</v>
      </c>
      <c r="R46" s="3">
        <f t="shared" si="5"/>
        <v>4796505</v>
      </c>
      <c r="S46" s="3">
        <f t="shared" si="5"/>
        <v>4668915</v>
      </c>
      <c r="T46" s="3">
        <f t="shared" si="5"/>
        <v>3026198</v>
      </c>
      <c r="U46" s="3">
        <f t="shared" si="5"/>
        <v>3376471</v>
      </c>
      <c r="V46" s="3">
        <f t="shared" si="5"/>
        <v>3602619</v>
      </c>
      <c r="W46" s="3">
        <f t="shared" si="5"/>
        <v>2972011</v>
      </c>
      <c r="X46" s="3">
        <f t="shared" si="5"/>
        <v>3285698</v>
      </c>
      <c r="Y46" s="3">
        <f t="shared" si="5"/>
        <v>3011488</v>
      </c>
      <c r="Z46" s="3">
        <f t="shared" si="5"/>
        <v>4028539</v>
      </c>
      <c r="AA46" s="3">
        <f t="shared" si="5"/>
        <v>3596159</v>
      </c>
      <c r="AB46" s="3">
        <f t="shared" si="5"/>
        <v>4090842</v>
      </c>
      <c r="AC46" s="3">
        <f t="shared" si="5"/>
        <v>4492864</v>
      </c>
      <c r="AD46" s="3">
        <f t="shared" si="5"/>
        <v>3941295</v>
      </c>
      <c r="AE46" s="3">
        <f t="shared" si="5"/>
        <v>5425392</v>
      </c>
      <c r="AF46" s="3">
        <f t="shared" si="5"/>
        <v>3603423</v>
      </c>
      <c r="AG46" s="3">
        <f t="shared" si="5"/>
        <v>720614</v>
      </c>
      <c r="AH46" s="3">
        <f t="shared" si="5"/>
        <v>6942907</v>
      </c>
      <c r="AI46" s="3">
        <f t="shared" si="5"/>
        <v>3058788</v>
      </c>
      <c r="AJ46" s="3">
        <f t="shared" si="5"/>
        <v>3469338</v>
      </c>
      <c r="AK46" s="3">
        <f t="shared" si="5"/>
        <v>3114295</v>
      </c>
      <c r="AL46" s="3">
        <f t="shared" si="5"/>
        <v>4058372</v>
      </c>
      <c r="AM46" s="3">
        <f t="shared" si="5"/>
        <v>3699404</v>
      </c>
      <c r="AN46" s="3">
        <f t="shared" si="5"/>
        <v>4733659</v>
      </c>
      <c r="AO46" s="3">
        <f t="shared" si="5"/>
        <v>4099287</v>
      </c>
      <c r="AP46" s="3"/>
      <c r="AQ46" s="3"/>
      <c r="AR46" s="3"/>
      <c r="AS46" s="3"/>
      <c r="AT46" s="3"/>
    </row>
    <row r="47" spans="3:46" ht="13.5" thickBot="1">
      <c r="C47" s="39" t="s">
        <v>28</v>
      </c>
      <c r="F47" s="3">
        <f>F21+F39</f>
        <v>31014958</v>
      </c>
      <c r="G47" s="3">
        <f aca="true" t="shared" si="6" ref="G47:AO47">G21+G39</f>
        <v>30186614</v>
      </c>
      <c r="H47" s="3">
        <f t="shared" si="6"/>
        <v>26758925</v>
      </c>
      <c r="I47" s="3">
        <f t="shared" si="6"/>
        <v>17706970</v>
      </c>
      <c r="J47" s="3">
        <f t="shared" si="6"/>
        <v>11613715</v>
      </c>
      <c r="K47" s="3">
        <f t="shared" si="6"/>
        <v>9809127</v>
      </c>
      <c r="L47" s="3">
        <f t="shared" si="6"/>
        <v>8071182</v>
      </c>
      <c r="M47" s="3">
        <f t="shared" si="6"/>
        <v>8555858</v>
      </c>
      <c r="N47" s="3">
        <f t="shared" si="6"/>
        <v>10138549</v>
      </c>
      <c r="O47" s="3">
        <f t="shared" si="6"/>
        <v>17762398</v>
      </c>
      <c r="P47" s="3">
        <f t="shared" si="6"/>
        <v>26969081</v>
      </c>
      <c r="Q47" s="3">
        <f t="shared" si="6"/>
        <v>36080259</v>
      </c>
      <c r="R47" s="3">
        <f t="shared" si="6"/>
        <v>38706572</v>
      </c>
      <c r="S47" s="3">
        <f t="shared" si="6"/>
        <v>32058775</v>
      </c>
      <c r="T47" s="3">
        <f t="shared" si="6"/>
        <v>22102783</v>
      </c>
      <c r="U47" s="3">
        <f t="shared" si="6"/>
        <v>17330826</v>
      </c>
      <c r="V47" s="3">
        <f t="shared" si="6"/>
        <v>12184373</v>
      </c>
      <c r="W47" s="3">
        <f t="shared" si="6"/>
        <v>9698939</v>
      </c>
      <c r="X47" s="3">
        <f t="shared" si="6"/>
        <v>8900993</v>
      </c>
      <c r="Y47" s="3">
        <f t="shared" si="6"/>
        <v>8532385</v>
      </c>
      <c r="Z47" s="3">
        <f t="shared" si="6"/>
        <v>11400335</v>
      </c>
      <c r="AA47" s="3">
        <f t="shared" si="6"/>
        <v>17708532</v>
      </c>
      <c r="AB47" s="3">
        <f t="shared" si="6"/>
        <v>27364272</v>
      </c>
      <c r="AC47" s="3">
        <f t="shared" si="6"/>
        <v>35031279</v>
      </c>
      <c r="AD47" s="3">
        <f t="shared" si="6"/>
        <v>37820636</v>
      </c>
      <c r="AE47" s="3">
        <f t="shared" si="6"/>
        <v>34424392</v>
      </c>
      <c r="AF47" s="3">
        <f t="shared" si="6"/>
        <v>27437001</v>
      </c>
      <c r="AG47" s="3">
        <f t="shared" si="6"/>
        <v>21728761</v>
      </c>
      <c r="AH47" s="3">
        <f t="shared" si="6"/>
        <v>13614991</v>
      </c>
      <c r="AI47" s="3">
        <f t="shared" si="6"/>
        <v>10402276</v>
      </c>
      <c r="AJ47" s="3">
        <f t="shared" si="6"/>
        <v>9271349</v>
      </c>
      <c r="AK47" s="3">
        <f t="shared" si="6"/>
        <v>8963979</v>
      </c>
      <c r="AL47" s="3">
        <f t="shared" si="6"/>
        <v>11539835</v>
      </c>
      <c r="AM47" s="3">
        <f t="shared" si="6"/>
        <v>17347438</v>
      </c>
      <c r="AN47" s="3">
        <f t="shared" si="6"/>
        <v>24572977</v>
      </c>
      <c r="AO47" s="3">
        <f t="shared" si="6"/>
        <v>38863516</v>
      </c>
      <c r="AP47" s="3"/>
      <c r="AQ47" s="3"/>
      <c r="AR47" s="3"/>
      <c r="AS47" s="3"/>
      <c r="AT47" s="3"/>
    </row>
    <row r="48" spans="6:46" ht="13.5" thickTop="1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6:46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6:46" ht="12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6:46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3" ht="12.75">
      <c r="B53" t="s">
        <v>30</v>
      </c>
    </row>
    <row r="54" spans="1:46" ht="12.75">
      <c r="A54" t="s">
        <v>5</v>
      </c>
      <c r="B54" t="s">
        <v>6</v>
      </c>
      <c r="C54">
        <v>101</v>
      </c>
      <c r="D54" t="s">
        <v>7</v>
      </c>
      <c r="F54" s="3">
        <v>3310468.92</v>
      </c>
      <c r="G54" s="3">
        <v>-389202.086</v>
      </c>
      <c r="H54" s="3">
        <v>-201009.39200000002</v>
      </c>
      <c r="I54" s="3">
        <v>369473.94</v>
      </c>
      <c r="J54" s="3">
        <v>414924.66</v>
      </c>
      <c r="K54" s="3">
        <v>503649.9</v>
      </c>
      <c r="L54" s="3">
        <v>0</v>
      </c>
      <c r="M54" s="3">
        <v>0</v>
      </c>
      <c r="N54" s="3">
        <v>0</v>
      </c>
      <c r="O54" s="3">
        <v>22656.24</v>
      </c>
      <c r="P54" s="3">
        <v>364415.04</v>
      </c>
      <c r="Q54" s="3">
        <v>616074.1440000001</v>
      </c>
      <c r="R54" s="3">
        <v>-951335.564</v>
      </c>
      <c r="S54" s="3">
        <v>669845.332</v>
      </c>
      <c r="T54" s="3">
        <v>1364907.94</v>
      </c>
      <c r="U54" s="3">
        <v>-309893.04</v>
      </c>
      <c r="V54" s="3">
        <v>779779.8</v>
      </c>
      <c r="W54" s="3">
        <v>148841.55</v>
      </c>
      <c r="X54" s="3">
        <v>0</v>
      </c>
      <c r="Y54" s="3">
        <v>0</v>
      </c>
      <c r="Z54" s="3">
        <v>0</v>
      </c>
      <c r="AA54" s="3">
        <v>11553.39</v>
      </c>
      <c r="AB54" s="3">
        <v>34888.86</v>
      </c>
      <c r="AC54" s="3">
        <v>549016.608</v>
      </c>
      <c r="AD54" s="3">
        <v>-969945.824</v>
      </c>
      <c r="AE54" s="3">
        <v>-91868.28700000001</v>
      </c>
      <c r="AF54" s="3">
        <v>-1181245.5</v>
      </c>
      <c r="AG54" s="3">
        <v>-1472623.74</v>
      </c>
      <c r="AH54" s="3">
        <v>747492.48</v>
      </c>
      <c r="AI54" s="3">
        <v>-314879.4</v>
      </c>
      <c r="AJ54" s="3">
        <v>0</v>
      </c>
      <c r="AK54" s="3">
        <v>0</v>
      </c>
      <c r="AL54" s="3">
        <v>0</v>
      </c>
      <c r="AM54" s="3">
        <v>293226.75</v>
      </c>
      <c r="AN54" s="3">
        <v>1320570.72</v>
      </c>
      <c r="AO54" s="3">
        <v>-2124474.4</v>
      </c>
      <c r="AP54" s="3"/>
      <c r="AQ54" s="3"/>
      <c r="AR54" s="3"/>
      <c r="AS54" s="3"/>
      <c r="AT54" s="3"/>
    </row>
    <row r="55" spans="1:46" ht="12.75">
      <c r="A55" t="s">
        <v>8</v>
      </c>
      <c r="B55" t="s">
        <v>6</v>
      </c>
      <c r="C55">
        <v>101</v>
      </c>
      <c r="D55" t="s">
        <v>9</v>
      </c>
      <c r="F55" s="3">
        <v>721004.328</v>
      </c>
      <c r="G55" s="3">
        <v>-84964.707</v>
      </c>
      <c r="H55" s="3">
        <v>-43891.632</v>
      </c>
      <c r="I55" s="3">
        <v>62797.02</v>
      </c>
      <c r="J55" s="3">
        <v>70189.925</v>
      </c>
      <c r="K55" s="3">
        <v>85533.43500000001</v>
      </c>
      <c r="L55" s="3">
        <v>0</v>
      </c>
      <c r="M55" s="3">
        <v>0</v>
      </c>
      <c r="N55" s="3">
        <v>0</v>
      </c>
      <c r="O55" s="3">
        <v>3827.1740000000004</v>
      </c>
      <c r="P55" s="3">
        <v>61586.304000000004</v>
      </c>
      <c r="Q55" s="3">
        <v>133832.736</v>
      </c>
      <c r="R55" s="3">
        <v>-205174.62</v>
      </c>
      <c r="S55" s="3">
        <v>145920.528</v>
      </c>
      <c r="T55" s="3">
        <v>294929.1</v>
      </c>
      <c r="U55" s="3">
        <v>-52333.047000000006</v>
      </c>
      <c r="V55" s="3">
        <v>131928.16</v>
      </c>
      <c r="W55" s="3">
        <v>25274.288</v>
      </c>
      <c r="X55" s="3">
        <v>0</v>
      </c>
      <c r="Y55" s="3">
        <v>0</v>
      </c>
      <c r="Z55" s="3">
        <v>0</v>
      </c>
      <c r="AA55" s="3">
        <v>1952.2880000000002</v>
      </c>
      <c r="AB55" s="3">
        <v>5879.679</v>
      </c>
      <c r="AC55" s="3">
        <v>119430.612</v>
      </c>
      <c r="AD55" s="3">
        <v>-210191.598</v>
      </c>
      <c r="AE55" s="3">
        <v>-19886.391</v>
      </c>
      <c r="AF55" s="3">
        <v>-255879</v>
      </c>
      <c r="AG55" s="3">
        <v>-248948.154</v>
      </c>
      <c r="AH55" s="3">
        <v>126363.32800000001</v>
      </c>
      <c r="AI55" s="3">
        <v>-53496.612</v>
      </c>
      <c r="AJ55" s="3">
        <v>0</v>
      </c>
      <c r="AK55" s="3">
        <v>0</v>
      </c>
      <c r="AL55" s="3">
        <v>0</v>
      </c>
      <c r="AM55" s="3">
        <v>49432.5</v>
      </c>
      <c r="AN55" s="3">
        <v>221381.888</v>
      </c>
      <c r="AO55" s="3">
        <v>-457112.16</v>
      </c>
      <c r="AP55" s="3"/>
      <c r="AQ55" s="3"/>
      <c r="AR55" s="3"/>
      <c r="AS55" s="3"/>
      <c r="AT55" s="3"/>
    </row>
    <row r="56" spans="1:46" ht="12.75">
      <c r="A56" t="s">
        <v>10</v>
      </c>
      <c r="B56" t="s">
        <v>6</v>
      </c>
      <c r="C56">
        <v>101</v>
      </c>
      <c r="D56" t="s">
        <v>11</v>
      </c>
      <c r="F56" s="3">
        <v>10472.351999999999</v>
      </c>
      <c r="G56" s="3">
        <v>-1203.5439999999999</v>
      </c>
      <c r="H56" s="3">
        <v>-614.432</v>
      </c>
      <c r="I56" s="3">
        <v>918.918</v>
      </c>
      <c r="J56" s="3">
        <v>996.336</v>
      </c>
      <c r="K56" s="3">
        <v>1253.07</v>
      </c>
      <c r="L56" s="3">
        <v>0</v>
      </c>
      <c r="M56" s="3">
        <v>0</v>
      </c>
      <c r="N56" s="3">
        <v>0</v>
      </c>
      <c r="O56" s="3">
        <v>53.856</v>
      </c>
      <c r="P56" s="3">
        <v>900.864</v>
      </c>
      <c r="Q56" s="3">
        <v>1883.808</v>
      </c>
      <c r="R56" s="3">
        <v>-2685.6079999999997</v>
      </c>
      <c r="S56" s="3">
        <v>2150.5119999999997</v>
      </c>
      <c r="T56" s="3">
        <v>4115.344</v>
      </c>
      <c r="U56" s="3">
        <v>-760.104</v>
      </c>
      <c r="V56" s="3">
        <v>1935.144</v>
      </c>
      <c r="W56" s="3">
        <v>377.91</v>
      </c>
      <c r="X56" s="3">
        <v>0</v>
      </c>
      <c r="Y56" s="3">
        <v>0</v>
      </c>
      <c r="Z56" s="3">
        <v>0</v>
      </c>
      <c r="AA56" s="3">
        <v>28.458</v>
      </c>
      <c r="AB56" s="3">
        <v>84.456</v>
      </c>
      <c r="AC56" s="3">
        <v>1648.3319999999999</v>
      </c>
      <c r="AD56" s="3">
        <v>-2872.976</v>
      </c>
      <c r="AE56" s="3">
        <v>-265.86</v>
      </c>
      <c r="AF56" s="3">
        <v>-3418.2</v>
      </c>
      <c r="AG56" s="3">
        <v>-3354.372</v>
      </c>
      <c r="AH56" s="3">
        <v>1703.808</v>
      </c>
      <c r="AI56" s="3">
        <v>-710.532</v>
      </c>
      <c r="AJ56" s="3">
        <v>0</v>
      </c>
      <c r="AK56" s="3">
        <v>0</v>
      </c>
      <c r="AL56" s="3">
        <v>0</v>
      </c>
      <c r="AM56" s="3">
        <v>665.55</v>
      </c>
      <c r="AN56" s="3">
        <v>2981.6639999999998</v>
      </c>
      <c r="AO56" s="3">
        <v>-6009.28</v>
      </c>
      <c r="AP56" s="3"/>
      <c r="AQ56" s="3"/>
      <c r="AR56" s="3"/>
      <c r="AS56" s="3"/>
      <c r="AT56" s="3"/>
    </row>
    <row r="57" spans="1:46" ht="12.75">
      <c r="A57" t="s">
        <v>12</v>
      </c>
      <c r="B57" t="s">
        <v>6</v>
      </c>
      <c r="C57">
        <v>101</v>
      </c>
      <c r="D57" t="s">
        <v>13</v>
      </c>
      <c r="F57" s="3">
        <v>4041945.6</v>
      </c>
      <c r="G57" s="3">
        <v>-475370.337</v>
      </c>
      <c r="H57" s="3">
        <v>-245515.45600000003</v>
      </c>
      <c r="I57" s="3">
        <v>433189.878</v>
      </c>
      <c r="J57" s="3">
        <v>486110.921</v>
      </c>
      <c r="K57" s="3">
        <v>590436.4049999999</v>
      </c>
      <c r="L57" s="3">
        <v>0</v>
      </c>
      <c r="M57" s="3">
        <v>0</v>
      </c>
      <c r="N57" s="3">
        <v>0</v>
      </c>
      <c r="O57" s="3">
        <v>26537.27</v>
      </c>
      <c r="P57" s="3">
        <v>426902.208</v>
      </c>
      <c r="Q57" s="3">
        <v>751790.6880000001</v>
      </c>
      <c r="R57" s="3">
        <v>-1159195.792</v>
      </c>
      <c r="S57" s="3">
        <v>817916.3720000001</v>
      </c>
      <c r="T57" s="3">
        <v>1663952.384</v>
      </c>
      <c r="U57" s="3">
        <v>-362986.191</v>
      </c>
      <c r="V57" s="3">
        <v>913643.1039999999</v>
      </c>
      <c r="W57" s="3">
        <v>174493.748</v>
      </c>
      <c r="X57" s="3">
        <v>0</v>
      </c>
      <c r="Y57" s="3">
        <v>0</v>
      </c>
      <c r="Z57" s="3">
        <v>0</v>
      </c>
      <c r="AA57" s="3">
        <v>13534.136</v>
      </c>
      <c r="AB57" s="3">
        <v>40852.995</v>
      </c>
      <c r="AC57" s="3">
        <v>670095.552</v>
      </c>
      <c r="AD57" s="3">
        <v>-1183010.398</v>
      </c>
      <c r="AE57" s="3">
        <v>-112020.53800000002</v>
      </c>
      <c r="AF57" s="3">
        <v>-1440542.7</v>
      </c>
      <c r="AG57" s="3">
        <v>-1724926.266</v>
      </c>
      <c r="AH57" s="3">
        <v>875559.6159999999</v>
      </c>
      <c r="AI57" s="3">
        <v>-369086.544</v>
      </c>
      <c r="AJ57" s="3">
        <v>0</v>
      </c>
      <c r="AK57" s="3">
        <v>0</v>
      </c>
      <c r="AL57" s="3">
        <v>0</v>
      </c>
      <c r="AM57" s="3">
        <v>343324.8</v>
      </c>
      <c r="AN57" s="3">
        <v>1544934.272</v>
      </c>
      <c r="AO57" s="3">
        <v>-2587595.84</v>
      </c>
      <c r="AP57" s="3"/>
      <c r="AQ57" s="3"/>
      <c r="AR57" s="3"/>
      <c r="AS57" s="3"/>
      <c r="AT57" s="3"/>
    </row>
    <row r="58" spans="1:46" ht="12.75">
      <c r="A58" t="s">
        <v>14</v>
      </c>
      <c r="B58" t="s">
        <v>6</v>
      </c>
      <c r="C58">
        <v>111</v>
      </c>
      <c r="D58" t="s">
        <v>7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/>
      <c r="AQ58" s="3"/>
      <c r="AR58" s="3"/>
      <c r="AS58" s="3"/>
      <c r="AT58" s="3"/>
    </row>
    <row r="59" spans="1:46" ht="12.75">
      <c r="A59" t="s">
        <v>15</v>
      </c>
      <c r="B59" t="s">
        <v>6</v>
      </c>
      <c r="C59">
        <v>111</v>
      </c>
      <c r="D59" t="s">
        <v>9</v>
      </c>
      <c r="F59" s="3">
        <v>1169654.64</v>
      </c>
      <c r="G59" s="3">
        <v>-140027.496</v>
      </c>
      <c r="H59" s="3">
        <v>-72160.032</v>
      </c>
      <c r="I59" s="3">
        <v>119994.86399999999</v>
      </c>
      <c r="J59" s="3">
        <v>134121.004</v>
      </c>
      <c r="K59" s="3">
        <v>162526.05</v>
      </c>
      <c r="L59" s="3">
        <v>0</v>
      </c>
      <c r="M59" s="3">
        <v>0</v>
      </c>
      <c r="N59" s="3">
        <v>0</v>
      </c>
      <c r="O59" s="3">
        <v>7208.2919999999995</v>
      </c>
      <c r="P59" s="3">
        <v>115875.84</v>
      </c>
      <c r="Q59" s="3">
        <v>218163.456</v>
      </c>
      <c r="R59" s="3">
        <v>-332010.028</v>
      </c>
      <c r="S59" s="3">
        <v>238410.53600000002</v>
      </c>
      <c r="T59" s="3">
        <v>484503.74</v>
      </c>
      <c r="U59" s="3">
        <v>-100214.496</v>
      </c>
      <c r="V59" s="3">
        <v>250853.088</v>
      </c>
      <c r="W59" s="3">
        <v>47834.617999999995</v>
      </c>
      <c r="X59" s="3">
        <v>0</v>
      </c>
      <c r="Y59" s="3">
        <v>0</v>
      </c>
      <c r="Z59" s="3">
        <v>0</v>
      </c>
      <c r="AA59" s="3">
        <v>3626.778</v>
      </c>
      <c r="AB59" s="3">
        <v>11044.416</v>
      </c>
      <c r="AC59" s="3">
        <v>192758.748</v>
      </c>
      <c r="AD59" s="3">
        <v>-341352.67600000004</v>
      </c>
      <c r="AE59" s="3">
        <v>-32470.144</v>
      </c>
      <c r="AF59" s="3">
        <v>-416631.6</v>
      </c>
      <c r="AG59" s="3">
        <v>-474321.45599999995</v>
      </c>
      <c r="AH59" s="3">
        <v>239235.32799999998</v>
      </c>
      <c r="AI59" s="3">
        <v>-100265.41799999999</v>
      </c>
      <c r="AJ59" s="3">
        <v>0</v>
      </c>
      <c r="AK59" s="3">
        <v>0</v>
      </c>
      <c r="AL59" s="3">
        <v>0</v>
      </c>
      <c r="AM59" s="3">
        <v>92602.6</v>
      </c>
      <c r="AN59" s="3">
        <v>415704.576</v>
      </c>
      <c r="AO59" s="3">
        <v>-739930.24</v>
      </c>
      <c r="AP59" s="3"/>
      <c r="AQ59" s="3"/>
      <c r="AR59" s="3"/>
      <c r="AS59" s="3"/>
      <c r="AT59" s="3"/>
    </row>
    <row r="60" spans="1:46" ht="12.75">
      <c r="A60" t="s">
        <v>16</v>
      </c>
      <c r="B60" t="s">
        <v>6</v>
      </c>
      <c r="C60">
        <v>111</v>
      </c>
      <c r="D60" t="s">
        <v>11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/>
      <c r="AQ60" s="3"/>
      <c r="AR60" s="3"/>
      <c r="AS60" s="3"/>
      <c r="AT60" s="3"/>
    </row>
    <row r="61" spans="1:46" ht="12.75">
      <c r="A61" t="s">
        <v>17</v>
      </c>
      <c r="B61" t="s">
        <v>6</v>
      </c>
      <c r="C61">
        <v>111</v>
      </c>
      <c r="D61" t="s">
        <v>13</v>
      </c>
      <c r="F61" s="3">
        <v>1169654.64</v>
      </c>
      <c r="G61" s="3">
        <v>-140027.496</v>
      </c>
      <c r="H61" s="3">
        <v>-72160.032</v>
      </c>
      <c r="I61" s="3">
        <v>119994.86399999999</v>
      </c>
      <c r="J61" s="3">
        <v>134121.004</v>
      </c>
      <c r="K61" s="3">
        <v>162526.05</v>
      </c>
      <c r="L61" s="3">
        <v>0</v>
      </c>
      <c r="M61" s="3">
        <v>0</v>
      </c>
      <c r="N61" s="3">
        <v>0</v>
      </c>
      <c r="O61" s="3">
        <v>7208.2919999999995</v>
      </c>
      <c r="P61" s="3">
        <v>115875.84</v>
      </c>
      <c r="Q61" s="3">
        <v>218163.456</v>
      </c>
      <c r="R61" s="3">
        <v>-332010.028</v>
      </c>
      <c r="S61" s="3">
        <v>238410.53600000002</v>
      </c>
      <c r="T61" s="3">
        <v>484503.74</v>
      </c>
      <c r="U61" s="3">
        <v>-100214.496</v>
      </c>
      <c r="V61" s="3">
        <v>250853.088</v>
      </c>
      <c r="W61" s="3">
        <v>47834.617999999995</v>
      </c>
      <c r="X61" s="3">
        <v>0</v>
      </c>
      <c r="Y61" s="3">
        <v>0</v>
      </c>
      <c r="Z61" s="3">
        <v>0</v>
      </c>
      <c r="AA61" s="3">
        <v>3626.778</v>
      </c>
      <c r="AB61" s="3">
        <v>11044.416</v>
      </c>
      <c r="AC61" s="3">
        <v>192758.748</v>
      </c>
      <c r="AD61" s="3">
        <v>-341352.67600000004</v>
      </c>
      <c r="AE61" s="3">
        <v>-32470.144</v>
      </c>
      <c r="AF61" s="3">
        <v>-416631.6</v>
      </c>
      <c r="AG61" s="3">
        <v>-474321.45599999995</v>
      </c>
      <c r="AH61" s="3">
        <v>239235.32799999998</v>
      </c>
      <c r="AI61" s="3">
        <v>-100265.41799999999</v>
      </c>
      <c r="AJ61" s="3">
        <v>0</v>
      </c>
      <c r="AK61" s="3">
        <v>0</v>
      </c>
      <c r="AL61" s="3">
        <v>0</v>
      </c>
      <c r="AM61" s="3">
        <v>92602.6</v>
      </c>
      <c r="AN61" s="3">
        <v>415704.576</v>
      </c>
      <c r="AO61" s="3">
        <v>-739930.24</v>
      </c>
      <c r="AP61" s="3"/>
      <c r="AQ61" s="3"/>
      <c r="AR61" s="3"/>
      <c r="AS61" s="3"/>
      <c r="AT61" s="3"/>
    </row>
    <row r="62" spans="1:46" ht="12.75">
      <c r="A62" t="s">
        <v>18</v>
      </c>
      <c r="B62" t="s">
        <v>6</v>
      </c>
      <c r="C62">
        <v>121</v>
      </c>
      <c r="D62" t="s">
        <v>7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/>
      <c r="AQ62" s="3"/>
      <c r="AR62" s="3"/>
      <c r="AS62" s="3"/>
      <c r="AT62" s="3"/>
    </row>
    <row r="63" spans="1:46" ht="12.75">
      <c r="A63" t="s">
        <v>19</v>
      </c>
      <c r="B63" t="s">
        <v>6</v>
      </c>
      <c r="C63">
        <v>121</v>
      </c>
      <c r="D63" t="s">
        <v>9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/>
      <c r="AQ63" s="3"/>
      <c r="AR63" s="3"/>
      <c r="AS63" s="3"/>
      <c r="AT63" s="3"/>
    </row>
    <row r="64" spans="1:46" ht="12.75">
      <c r="A64" t="s">
        <v>20</v>
      </c>
      <c r="B64" t="s">
        <v>6</v>
      </c>
      <c r="C64">
        <v>121</v>
      </c>
      <c r="D64" t="s">
        <v>11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t="s">
        <v>21</v>
      </c>
      <c r="B65" t="s">
        <v>6</v>
      </c>
      <c r="C65">
        <v>121</v>
      </c>
      <c r="D65" t="s">
        <v>13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/>
      <c r="AQ65" s="3"/>
      <c r="AR65" s="3"/>
      <c r="AS65" s="3"/>
      <c r="AT65" s="3"/>
    </row>
    <row r="66" spans="1:17" ht="12.75">
      <c r="A66" t="s">
        <v>22</v>
      </c>
      <c r="B66" t="s">
        <v>6</v>
      </c>
      <c r="C66">
        <v>131</v>
      </c>
      <c r="D66" t="s">
        <v>23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t="s">
        <v>24</v>
      </c>
      <c r="B67" t="s">
        <v>6</v>
      </c>
      <c r="C67">
        <v>146</v>
      </c>
      <c r="D67" t="s">
        <v>25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t="s">
        <v>26</v>
      </c>
      <c r="B68" t="s">
        <v>6</v>
      </c>
      <c r="C68">
        <v>148</v>
      </c>
      <c r="D68" t="s">
        <v>27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4:46" ht="12.75">
      <c r="D69" t="s">
        <v>28</v>
      </c>
      <c r="F69" s="3">
        <v>5211600.24</v>
      </c>
      <c r="G69" s="3">
        <v>-615397.833</v>
      </c>
      <c r="H69" s="3">
        <v>-317675.488</v>
      </c>
      <c r="I69" s="3">
        <v>553184.742</v>
      </c>
      <c r="J69" s="3">
        <v>620231.9249999999</v>
      </c>
      <c r="K69" s="3">
        <v>752962.4549999998</v>
      </c>
      <c r="L69" s="3">
        <v>0</v>
      </c>
      <c r="M69" s="3">
        <v>0</v>
      </c>
      <c r="N69" s="3">
        <v>0</v>
      </c>
      <c r="O69" s="3">
        <v>33745.562</v>
      </c>
      <c r="P69" s="3">
        <v>542778.048</v>
      </c>
      <c r="Q69" s="3">
        <v>969954.1440000001</v>
      </c>
      <c r="R69" s="3">
        <v>-1491205.82</v>
      </c>
      <c r="S69" s="3">
        <v>1056326.908</v>
      </c>
      <c r="T69" s="3">
        <v>2148456.124</v>
      </c>
      <c r="U69" s="3">
        <v>-463200.687</v>
      </c>
      <c r="V69" s="3">
        <v>1164496.1919999998</v>
      </c>
      <c r="W69" s="3">
        <v>222328.36599999998</v>
      </c>
      <c r="X69" s="3">
        <v>0</v>
      </c>
      <c r="Y69" s="3">
        <v>0</v>
      </c>
      <c r="Z69" s="3">
        <v>0</v>
      </c>
      <c r="AA69" s="3">
        <v>17160.914</v>
      </c>
      <c r="AB69" s="3">
        <v>51897.411</v>
      </c>
      <c r="AC69" s="3">
        <v>862854.3</v>
      </c>
      <c r="AD69" s="3">
        <v>-1524363.074</v>
      </c>
      <c r="AE69" s="3">
        <v>-144490.68200000003</v>
      </c>
      <c r="AF69" s="3">
        <v>-1857174.3</v>
      </c>
      <c r="AG69" s="3">
        <v>-2199247.722</v>
      </c>
      <c r="AH69" s="3">
        <v>1114794.944</v>
      </c>
      <c r="AI69" s="3">
        <v>-469351.962</v>
      </c>
      <c r="AJ69" s="3">
        <v>0</v>
      </c>
      <c r="AK69" s="3">
        <v>0</v>
      </c>
      <c r="AL69" s="3">
        <v>0</v>
      </c>
      <c r="AM69" s="3">
        <v>435927.4</v>
      </c>
      <c r="AN69" s="3">
        <v>1960638.8480000002</v>
      </c>
      <c r="AO69" s="3">
        <v>-3327526.08</v>
      </c>
      <c r="AP69" s="3"/>
      <c r="AQ69" s="3"/>
      <c r="AR69" s="3"/>
      <c r="AS69" s="3"/>
      <c r="AT69" s="3"/>
    </row>
    <row r="71" ht="12.75">
      <c r="B71" t="s">
        <v>31</v>
      </c>
    </row>
    <row r="72" spans="1:46" ht="12.75">
      <c r="A72" t="s">
        <v>5</v>
      </c>
      <c r="B72" t="s">
        <v>6</v>
      </c>
      <c r="C72">
        <v>101</v>
      </c>
      <c r="D72" t="s">
        <v>7</v>
      </c>
      <c r="F72" s="3">
        <v>16871144.92</v>
      </c>
      <c r="G72" s="3">
        <v>13660381.914</v>
      </c>
      <c r="H72" s="3">
        <v>11946427.608</v>
      </c>
      <c r="I72" s="3">
        <v>7166886.94</v>
      </c>
      <c r="J72" s="3">
        <v>4023640.66</v>
      </c>
      <c r="K72" s="3">
        <v>2929368.9</v>
      </c>
      <c r="L72" s="3">
        <v>2008896</v>
      </c>
      <c r="M72" s="3">
        <v>1939665</v>
      </c>
      <c r="N72" s="3">
        <v>2691322</v>
      </c>
      <c r="O72" s="3">
        <v>6744410.24</v>
      </c>
      <c r="P72" s="3">
        <v>12625834.04</v>
      </c>
      <c r="Q72" s="3">
        <v>17922440.144</v>
      </c>
      <c r="R72" s="3">
        <v>17084758.436</v>
      </c>
      <c r="S72" s="3">
        <v>14510114.332</v>
      </c>
      <c r="T72" s="3">
        <v>11278614.94</v>
      </c>
      <c r="U72" s="3">
        <v>6613938.96</v>
      </c>
      <c r="V72" s="3">
        <v>4446221.8</v>
      </c>
      <c r="W72" s="3">
        <v>2578784.55</v>
      </c>
      <c r="X72" s="3">
        <v>1858003</v>
      </c>
      <c r="Y72" s="3">
        <v>2157207</v>
      </c>
      <c r="Z72" s="3">
        <v>2521030</v>
      </c>
      <c r="AA72" s="3">
        <v>6629387.39</v>
      </c>
      <c r="AB72" s="3">
        <v>12299035.86</v>
      </c>
      <c r="AC72" s="3">
        <v>17125449.608</v>
      </c>
      <c r="AD72" s="3">
        <v>17291282.176</v>
      </c>
      <c r="AE72" s="3">
        <v>15199081.713</v>
      </c>
      <c r="AF72" s="3">
        <v>11337790.5</v>
      </c>
      <c r="AG72" s="3">
        <v>7795128.26</v>
      </c>
      <c r="AH72" s="3">
        <v>4984574.48</v>
      </c>
      <c r="AI72" s="3">
        <v>2835469.6</v>
      </c>
      <c r="AJ72" s="3">
        <v>1968151</v>
      </c>
      <c r="AK72" s="3">
        <v>2095259</v>
      </c>
      <c r="AL72" s="3">
        <v>2541019</v>
      </c>
      <c r="AM72" s="3">
        <v>6634205.75</v>
      </c>
      <c r="AN72" s="3">
        <v>11664636.72</v>
      </c>
      <c r="AO72" s="3">
        <v>17510159.6</v>
      </c>
      <c r="AP72" s="3"/>
      <c r="AQ72" s="3"/>
      <c r="AR72" s="3"/>
      <c r="AS72" s="3"/>
      <c r="AT72" s="3"/>
    </row>
    <row r="73" spans="1:46" ht="12.75">
      <c r="A73" t="s">
        <v>8</v>
      </c>
      <c r="B73" t="s">
        <v>6</v>
      </c>
      <c r="C73">
        <v>101</v>
      </c>
      <c r="D73" t="s">
        <v>9</v>
      </c>
      <c r="F73" s="3">
        <v>3903663.3279999997</v>
      </c>
      <c r="G73" s="3">
        <v>2448016.293</v>
      </c>
      <c r="H73" s="3">
        <v>2432556.368</v>
      </c>
      <c r="I73" s="3">
        <v>1243729.02</v>
      </c>
      <c r="J73" s="3">
        <v>483069.925</v>
      </c>
      <c r="K73" s="3">
        <v>259979.435</v>
      </c>
      <c r="L73" s="3">
        <v>238007</v>
      </c>
      <c r="M73" s="3">
        <v>215488</v>
      </c>
      <c r="N73" s="3">
        <v>382775</v>
      </c>
      <c r="O73" s="3">
        <v>993124.174</v>
      </c>
      <c r="P73" s="3">
        <v>2366145.304</v>
      </c>
      <c r="Q73" s="3">
        <v>3667763.736</v>
      </c>
      <c r="R73" s="3">
        <v>3642654.38</v>
      </c>
      <c r="S73" s="3">
        <v>3203677.528</v>
      </c>
      <c r="T73" s="3">
        <v>2076517.1</v>
      </c>
      <c r="U73" s="3">
        <v>820539.953</v>
      </c>
      <c r="V73" s="3">
        <v>567092.16</v>
      </c>
      <c r="W73" s="3">
        <v>298052.288</v>
      </c>
      <c r="X73" s="3">
        <v>202115</v>
      </c>
      <c r="Y73" s="3">
        <v>247926</v>
      </c>
      <c r="Z73" s="3">
        <v>318039</v>
      </c>
      <c r="AA73" s="3">
        <v>1019480.288</v>
      </c>
      <c r="AB73" s="3">
        <v>2358727.679</v>
      </c>
      <c r="AC73" s="3">
        <v>3477223.612</v>
      </c>
      <c r="AD73" s="3">
        <v>3701257.402</v>
      </c>
      <c r="AE73" s="3">
        <v>3125744.609</v>
      </c>
      <c r="AF73" s="3">
        <v>2037895</v>
      </c>
      <c r="AG73" s="3">
        <v>1284088.846</v>
      </c>
      <c r="AH73" s="3">
        <v>664688.328</v>
      </c>
      <c r="AI73" s="3">
        <v>242806.388</v>
      </c>
      <c r="AJ73" s="3">
        <v>208011</v>
      </c>
      <c r="AK73" s="3">
        <v>232572</v>
      </c>
      <c r="AL73" s="3">
        <v>265644</v>
      </c>
      <c r="AM73" s="3">
        <v>884744.5</v>
      </c>
      <c r="AN73" s="3">
        <v>1937379.888</v>
      </c>
      <c r="AO73" s="3">
        <v>3550036.84</v>
      </c>
      <c r="AP73" s="3"/>
      <c r="AQ73" s="3"/>
      <c r="AR73" s="3"/>
      <c r="AS73" s="3"/>
      <c r="AT73" s="3"/>
    </row>
    <row r="74" spans="1:46" ht="12.75">
      <c r="A74" t="s">
        <v>10</v>
      </c>
      <c r="B74" t="s">
        <v>6</v>
      </c>
      <c r="C74">
        <v>101</v>
      </c>
      <c r="D74" t="s">
        <v>11</v>
      </c>
      <c r="F74" s="3">
        <v>23195.352</v>
      </c>
      <c r="G74" s="3">
        <v>32319.456</v>
      </c>
      <c r="H74" s="3">
        <v>27749.568</v>
      </c>
      <c r="I74" s="3">
        <v>12245.918</v>
      </c>
      <c r="J74" s="3">
        <v>4568.336</v>
      </c>
      <c r="K74" s="3">
        <v>4192.07</v>
      </c>
      <c r="L74" s="3">
        <v>1555</v>
      </c>
      <c r="M74" s="3">
        <v>1831</v>
      </c>
      <c r="N74" s="3">
        <v>2813</v>
      </c>
      <c r="O74" s="3">
        <v>13492.856</v>
      </c>
      <c r="P74" s="3">
        <v>32815.864</v>
      </c>
      <c r="Q74" s="3">
        <v>52573.808</v>
      </c>
      <c r="R74" s="3">
        <v>45214.392</v>
      </c>
      <c r="S74" s="3">
        <v>44471.512</v>
      </c>
      <c r="T74" s="3">
        <v>27027.344</v>
      </c>
      <c r="U74" s="3">
        <v>8983.896</v>
      </c>
      <c r="V74" s="3">
        <v>8049.144</v>
      </c>
      <c r="W74" s="3">
        <v>1954.91</v>
      </c>
      <c r="X74" s="3">
        <v>623</v>
      </c>
      <c r="Y74" s="3">
        <v>1574</v>
      </c>
      <c r="Z74" s="3">
        <v>2024</v>
      </c>
      <c r="AA74" s="3">
        <v>12301.458</v>
      </c>
      <c r="AB74" s="3">
        <v>31235.456</v>
      </c>
      <c r="AC74" s="3">
        <v>45826.332</v>
      </c>
      <c r="AD74" s="3">
        <v>46270.024</v>
      </c>
      <c r="AE74" s="3">
        <v>32602.14</v>
      </c>
      <c r="AF74" s="3">
        <v>26971.8</v>
      </c>
      <c r="AG74" s="3">
        <v>10744.628</v>
      </c>
      <c r="AH74" s="3">
        <v>6674.808</v>
      </c>
      <c r="AI74" s="3">
        <v>1642.4679999999998</v>
      </c>
      <c r="AJ74" s="3">
        <v>1017</v>
      </c>
      <c r="AK74" s="3">
        <v>908</v>
      </c>
      <c r="AL74" s="3">
        <v>1328</v>
      </c>
      <c r="AM74" s="3">
        <v>7153.55</v>
      </c>
      <c r="AN74" s="3">
        <v>24309.664</v>
      </c>
      <c r="AO74" s="3">
        <v>49141.72</v>
      </c>
      <c r="AP74" s="3"/>
      <c r="AQ74" s="3"/>
      <c r="AR74" s="3"/>
      <c r="AS74" s="3"/>
      <c r="AT74" s="3"/>
    </row>
    <row r="75" spans="1:46" ht="12.75">
      <c r="A75" t="s">
        <v>12</v>
      </c>
      <c r="B75" t="s">
        <v>6</v>
      </c>
      <c r="C75">
        <v>101</v>
      </c>
      <c r="D75" t="s">
        <v>13</v>
      </c>
      <c r="F75" s="3">
        <v>20810771.6</v>
      </c>
      <c r="G75" s="3">
        <v>16150854.663</v>
      </c>
      <c r="H75" s="3">
        <v>14417403.544</v>
      </c>
      <c r="I75" s="3">
        <v>8429854.878</v>
      </c>
      <c r="J75" s="3">
        <v>4515526.921</v>
      </c>
      <c r="K75" s="3">
        <v>3194758.405</v>
      </c>
      <c r="L75" s="3">
        <v>2248755</v>
      </c>
      <c r="M75" s="3">
        <v>2157135</v>
      </c>
      <c r="N75" s="3">
        <v>3077124</v>
      </c>
      <c r="O75" s="3">
        <v>7752118.27</v>
      </c>
      <c r="P75" s="3">
        <v>15029627.208</v>
      </c>
      <c r="Q75" s="3">
        <v>21653857.688</v>
      </c>
      <c r="R75" s="3">
        <v>20785497.208</v>
      </c>
      <c r="S75" s="3">
        <v>17771562.372</v>
      </c>
      <c r="T75" s="3">
        <v>13391796.384</v>
      </c>
      <c r="U75" s="3">
        <v>7449746.809</v>
      </c>
      <c r="V75" s="3">
        <v>5024886.104</v>
      </c>
      <c r="W75" s="3">
        <v>2879825.748</v>
      </c>
      <c r="X75" s="3">
        <v>2061089</v>
      </c>
      <c r="Y75" s="3">
        <v>2406879</v>
      </c>
      <c r="Z75" s="3">
        <v>2841337</v>
      </c>
      <c r="AA75" s="3">
        <v>7662460.136</v>
      </c>
      <c r="AB75" s="3">
        <v>14694256.995</v>
      </c>
      <c r="AC75" s="3">
        <v>20660139.552</v>
      </c>
      <c r="AD75" s="3">
        <v>21052716.601999998</v>
      </c>
      <c r="AE75" s="3">
        <v>18371624.462</v>
      </c>
      <c r="AF75" s="3">
        <v>13412469.3</v>
      </c>
      <c r="AG75" s="3">
        <v>9098031.734</v>
      </c>
      <c r="AH75" s="3">
        <v>5661274.616</v>
      </c>
      <c r="AI75" s="3">
        <v>3081254.4560000002</v>
      </c>
      <c r="AJ75" s="3">
        <v>2177550</v>
      </c>
      <c r="AK75" s="3">
        <v>2328928</v>
      </c>
      <c r="AL75" s="3">
        <v>2808246</v>
      </c>
      <c r="AM75" s="3">
        <v>7526865.8</v>
      </c>
      <c r="AN75" s="3">
        <v>13631025.272</v>
      </c>
      <c r="AO75" s="3">
        <v>21118840.16</v>
      </c>
      <c r="AP75" s="3"/>
      <c r="AQ75" s="3"/>
      <c r="AR75" s="3"/>
      <c r="AS75" s="3"/>
      <c r="AT75" s="3"/>
    </row>
    <row r="76" spans="1:46" ht="12.75">
      <c r="A76" t="s">
        <v>14</v>
      </c>
      <c r="B76" t="s">
        <v>6</v>
      </c>
      <c r="C76">
        <v>111</v>
      </c>
      <c r="D76" t="s">
        <v>7</v>
      </c>
      <c r="F76" s="3">
        <v>582667</v>
      </c>
      <c r="G76" s="3">
        <v>736559</v>
      </c>
      <c r="H76" s="3">
        <v>598527</v>
      </c>
      <c r="I76" s="3">
        <v>393158</v>
      </c>
      <c r="J76" s="3">
        <v>323056</v>
      </c>
      <c r="K76" s="3">
        <v>190103</v>
      </c>
      <c r="L76" s="3">
        <v>141519</v>
      </c>
      <c r="M76" s="3">
        <v>117648</v>
      </c>
      <c r="N76" s="3">
        <v>120914</v>
      </c>
      <c r="O76" s="3">
        <v>259775</v>
      </c>
      <c r="P76" s="3">
        <v>459762</v>
      </c>
      <c r="Q76" s="3">
        <v>642052</v>
      </c>
      <c r="R76" s="3">
        <v>1042585</v>
      </c>
      <c r="S76" s="3">
        <v>571827</v>
      </c>
      <c r="T76" s="3">
        <v>567612</v>
      </c>
      <c r="U76" s="3">
        <v>455077</v>
      </c>
      <c r="V76" s="3">
        <v>240531</v>
      </c>
      <c r="W76" s="3">
        <v>182544</v>
      </c>
      <c r="X76" s="3">
        <v>114412</v>
      </c>
      <c r="Y76" s="3">
        <v>98482</v>
      </c>
      <c r="Z76" s="3">
        <v>179364</v>
      </c>
      <c r="AA76" s="3">
        <v>390549</v>
      </c>
      <c r="AB76" s="3">
        <v>382049</v>
      </c>
      <c r="AC76" s="3">
        <v>772195</v>
      </c>
      <c r="AD76" s="3">
        <v>692218</v>
      </c>
      <c r="AE76" s="3">
        <v>696963</v>
      </c>
      <c r="AF76" s="3">
        <v>561322</v>
      </c>
      <c r="AG76" s="3">
        <v>435881</v>
      </c>
      <c r="AH76" s="3">
        <v>230737</v>
      </c>
      <c r="AI76" s="3">
        <v>187096</v>
      </c>
      <c r="AJ76" s="3">
        <v>127824</v>
      </c>
      <c r="AK76" s="3">
        <v>92767</v>
      </c>
      <c r="AL76" s="3">
        <v>140710</v>
      </c>
      <c r="AM76" s="3">
        <v>299575</v>
      </c>
      <c r="AN76" s="3">
        <v>460191</v>
      </c>
      <c r="AO76" s="3">
        <v>188174</v>
      </c>
      <c r="AP76" s="3"/>
      <c r="AQ76" s="3"/>
      <c r="AR76" s="3"/>
      <c r="AS76" s="3"/>
      <c r="AT76" s="3"/>
    </row>
    <row r="77" spans="1:46" ht="12.75">
      <c r="A77" t="s">
        <v>15</v>
      </c>
      <c r="B77" t="s">
        <v>6</v>
      </c>
      <c r="C77">
        <v>111</v>
      </c>
      <c r="D77" t="s">
        <v>9</v>
      </c>
      <c r="F77" s="3">
        <v>6467261.64</v>
      </c>
      <c r="G77" s="3">
        <v>5573964.504</v>
      </c>
      <c r="H77" s="3">
        <v>4859031.968</v>
      </c>
      <c r="I77" s="3">
        <v>3055274.864</v>
      </c>
      <c r="J77" s="3">
        <v>1728807.004</v>
      </c>
      <c r="K77" s="3">
        <v>1123893.05</v>
      </c>
      <c r="L77" s="3">
        <v>1109400</v>
      </c>
      <c r="M77" s="3">
        <v>1034858</v>
      </c>
      <c r="N77" s="3">
        <v>1415226</v>
      </c>
      <c r="O77" s="3">
        <v>2967738.292</v>
      </c>
      <c r="P77" s="3">
        <v>4905497.84</v>
      </c>
      <c r="Q77" s="3">
        <v>6986347.456</v>
      </c>
      <c r="R77" s="3">
        <v>6783270.972</v>
      </c>
      <c r="S77" s="3">
        <v>6033686.536</v>
      </c>
      <c r="T77" s="3">
        <v>4571492.74</v>
      </c>
      <c r="U77" s="3">
        <v>2949117.504</v>
      </c>
      <c r="V77" s="3">
        <v>2049294.088</v>
      </c>
      <c r="W77" s="3">
        <v>1628035.618</v>
      </c>
      <c r="X77" s="3">
        <v>1156465</v>
      </c>
      <c r="Y77" s="3">
        <v>962160</v>
      </c>
      <c r="Z77" s="3">
        <v>1845707</v>
      </c>
      <c r="AA77" s="3">
        <v>2975640.778</v>
      </c>
      <c r="AB77" s="3">
        <v>4902558.416</v>
      </c>
      <c r="AC77" s="3">
        <v>6426691.748</v>
      </c>
      <c r="AD77" s="3">
        <v>6997063.324</v>
      </c>
      <c r="AE77" s="3">
        <v>5863201.856</v>
      </c>
      <c r="AF77" s="3">
        <v>4792816.4</v>
      </c>
      <c r="AG77" s="3">
        <v>3925513.544</v>
      </c>
      <c r="AH77" s="3">
        <v>1930981.328</v>
      </c>
      <c r="AI77" s="3">
        <v>1533322.582</v>
      </c>
      <c r="AJ77" s="3">
        <v>1003298</v>
      </c>
      <c r="AK77" s="3">
        <v>1165847</v>
      </c>
      <c r="AL77" s="3">
        <v>1399749</v>
      </c>
      <c r="AM77" s="3">
        <v>3269973.6</v>
      </c>
      <c r="AN77" s="3">
        <v>4466851.576</v>
      </c>
      <c r="AO77" s="3">
        <v>6723208.76</v>
      </c>
      <c r="AP77" s="3"/>
      <c r="AQ77" s="3"/>
      <c r="AR77" s="3"/>
      <c r="AS77" s="3"/>
      <c r="AT77" s="3"/>
    </row>
    <row r="78" spans="1:46" ht="12.75">
      <c r="A78" t="s">
        <v>16</v>
      </c>
      <c r="B78" t="s">
        <v>6</v>
      </c>
      <c r="C78">
        <v>111</v>
      </c>
      <c r="D78" t="s">
        <v>11</v>
      </c>
      <c r="F78" s="3">
        <v>110496</v>
      </c>
      <c r="G78" s="3">
        <v>287147</v>
      </c>
      <c r="H78" s="3">
        <v>219275</v>
      </c>
      <c r="I78" s="3">
        <v>193297</v>
      </c>
      <c r="J78" s="3">
        <v>96481</v>
      </c>
      <c r="K78" s="3">
        <v>103871</v>
      </c>
      <c r="L78" s="3">
        <v>101958</v>
      </c>
      <c r="M78" s="3">
        <v>103929</v>
      </c>
      <c r="N78" s="3">
        <v>151932</v>
      </c>
      <c r="O78" s="3">
        <v>194242</v>
      </c>
      <c r="P78" s="3">
        <v>214947</v>
      </c>
      <c r="Q78" s="3">
        <v>357934</v>
      </c>
      <c r="R78" s="3">
        <v>305252</v>
      </c>
      <c r="S78" s="3">
        <v>269026</v>
      </c>
      <c r="T78" s="3">
        <v>217702</v>
      </c>
      <c r="U78" s="3">
        <v>139740</v>
      </c>
      <c r="V78" s="3">
        <v>101665</v>
      </c>
      <c r="W78" s="3">
        <v>129904</v>
      </c>
      <c r="X78" s="3">
        <v>80223</v>
      </c>
      <c r="Y78" s="3">
        <v>102240</v>
      </c>
      <c r="Z78" s="3">
        <v>80709</v>
      </c>
      <c r="AA78" s="3">
        <v>178497</v>
      </c>
      <c r="AB78" s="3">
        <v>215871</v>
      </c>
      <c r="AC78" s="3">
        <v>301211</v>
      </c>
      <c r="AD78" s="3">
        <v>431596</v>
      </c>
      <c r="AE78" s="3">
        <v>286972</v>
      </c>
      <c r="AF78" s="3">
        <v>207033</v>
      </c>
      <c r="AG78" s="3">
        <v>182215</v>
      </c>
      <c r="AH78" s="3">
        <v>117787</v>
      </c>
      <c r="AI78" s="3">
        <v>125066</v>
      </c>
      <c r="AJ78" s="3">
        <v>107203</v>
      </c>
      <c r="AK78" s="3">
        <v>142406</v>
      </c>
      <c r="AL78" s="3">
        <v>173592</v>
      </c>
      <c r="AM78" s="3">
        <v>235147</v>
      </c>
      <c r="AN78" s="3">
        <v>235195</v>
      </c>
      <c r="AO78" s="3">
        <v>382962</v>
      </c>
      <c r="AP78" s="3"/>
      <c r="AQ78" s="3"/>
      <c r="AR78" s="3"/>
      <c r="AS78" s="3"/>
      <c r="AT78" s="3"/>
    </row>
    <row r="79" spans="1:46" ht="12.75">
      <c r="A79" t="s">
        <v>17</v>
      </c>
      <c r="B79" t="s">
        <v>6</v>
      </c>
      <c r="C79">
        <v>111</v>
      </c>
      <c r="D79" t="s">
        <v>13</v>
      </c>
      <c r="F79" s="3">
        <v>7216373.64</v>
      </c>
      <c r="G79" s="3">
        <v>6642856.504</v>
      </c>
      <c r="H79" s="3">
        <v>5727691.968</v>
      </c>
      <c r="I79" s="3">
        <v>3678964.864</v>
      </c>
      <c r="J79" s="3">
        <v>2169908.004</v>
      </c>
      <c r="K79" s="3">
        <v>1428638.05</v>
      </c>
      <c r="L79" s="3">
        <v>1360028</v>
      </c>
      <c r="M79" s="3">
        <v>1257288</v>
      </c>
      <c r="N79" s="3">
        <v>1689027</v>
      </c>
      <c r="O79" s="3">
        <v>3431547.292</v>
      </c>
      <c r="P79" s="3">
        <v>5609748.84</v>
      </c>
      <c r="Q79" s="3">
        <v>8035582.456</v>
      </c>
      <c r="R79" s="3">
        <v>8197842.972</v>
      </c>
      <c r="S79" s="3">
        <v>6943418.536</v>
      </c>
      <c r="T79" s="3">
        <v>5393806.74</v>
      </c>
      <c r="U79" s="3">
        <v>3559426.504</v>
      </c>
      <c r="V79" s="3">
        <v>2406380.088</v>
      </c>
      <c r="W79" s="3">
        <v>1951525.618</v>
      </c>
      <c r="X79" s="3">
        <v>1357249</v>
      </c>
      <c r="Y79" s="3">
        <v>1164082</v>
      </c>
      <c r="Z79" s="3">
        <v>2107028</v>
      </c>
      <c r="AA79" s="3">
        <v>3550618.778</v>
      </c>
      <c r="AB79" s="3">
        <v>5528261.416</v>
      </c>
      <c r="AC79" s="3">
        <v>7553205.748</v>
      </c>
      <c r="AD79" s="3">
        <v>8189750.324</v>
      </c>
      <c r="AE79" s="3">
        <v>6920938.856</v>
      </c>
      <c r="AF79" s="3">
        <v>5618576.4</v>
      </c>
      <c r="AG79" s="3">
        <v>4568275.544</v>
      </c>
      <c r="AH79" s="3">
        <v>2325420.3279999997</v>
      </c>
      <c r="AI79" s="3">
        <v>1866098.582</v>
      </c>
      <c r="AJ79" s="3">
        <v>1247532</v>
      </c>
      <c r="AK79" s="3">
        <v>1402467</v>
      </c>
      <c r="AL79" s="3">
        <v>1715966</v>
      </c>
      <c r="AM79" s="3">
        <v>3820287.6</v>
      </c>
      <c r="AN79" s="3">
        <v>5189012.576</v>
      </c>
      <c r="AO79" s="3">
        <v>7339420.76</v>
      </c>
      <c r="AP79" s="3"/>
      <c r="AQ79" s="3"/>
      <c r="AR79" s="3"/>
      <c r="AS79" s="3"/>
      <c r="AT79" s="3"/>
    </row>
    <row r="80" spans="1:46" ht="12.75">
      <c r="A80" t="s">
        <v>18</v>
      </c>
      <c r="B80" t="s">
        <v>6</v>
      </c>
      <c r="C80">
        <v>121</v>
      </c>
      <c r="D80" t="s">
        <v>7</v>
      </c>
      <c r="F80" s="3">
        <v>411</v>
      </c>
      <c r="G80" s="3">
        <v>442</v>
      </c>
      <c r="H80" s="3">
        <v>-113</v>
      </c>
      <c r="I80" s="3">
        <v>-356</v>
      </c>
      <c r="J80" s="3">
        <v>-458</v>
      </c>
      <c r="K80" s="3">
        <v>431</v>
      </c>
      <c r="L80" s="3">
        <v>-147</v>
      </c>
      <c r="M80" s="3">
        <v>189</v>
      </c>
      <c r="N80" s="3">
        <v>-479</v>
      </c>
      <c r="O80" s="3">
        <v>365</v>
      </c>
      <c r="P80" s="3">
        <v>52</v>
      </c>
      <c r="Q80" s="3">
        <v>109</v>
      </c>
      <c r="R80" s="3">
        <v>-1832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/>
      <c r="AQ80" s="3"/>
      <c r="AR80" s="3"/>
      <c r="AS80" s="3"/>
      <c r="AT80" s="3"/>
    </row>
    <row r="81" spans="1:46" ht="12.75">
      <c r="A81" t="s">
        <v>19</v>
      </c>
      <c r="B81" t="s">
        <v>6</v>
      </c>
      <c r="C81">
        <v>121</v>
      </c>
      <c r="D81" t="s">
        <v>9</v>
      </c>
      <c r="F81" s="3">
        <v>383195</v>
      </c>
      <c r="G81" s="3">
        <v>818677</v>
      </c>
      <c r="H81" s="3">
        <v>604681</v>
      </c>
      <c r="I81" s="3">
        <v>499468</v>
      </c>
      <c r="J81" s="3">
        <v>384141</v>
      </c>
      <c r="K81" s="3">
        <v>435617</v>
      </c>
      <c r="L81" s="3">
        <v>344997</v>
      </c>
      <c r="M81" s="3">
        <v>373573</v>
      </c>
      <c r="N81" s="3">
        <v>349430</v>
      </c>
      <c r="O81" s="3">
        <v>561435</v>
      </c>
      <c r="P81" s="3">
        <v>611657</v>
      </c>
      <c r="Q81" s="3">
        <v>721470</v>
      </c>
      <c r="R81" s="3">
        <v>835141</v>
      </c>
      <c r="S81" s="3">
        <v>704247</v>
      </c>
      <c r="T81" s="3">
        <v>551651</v>
      </c>
      <c r="U81" s="3">
        <v>471778</v>
      </c>
      <c r="V81" s="3">
        <v>369104</v>
      </c>
      <c r="W81" s="3">
        <v>331582</v>
      </c>
      <c r="X81" s="3">
        <v>329795</v>
      </c>
      <c r="Y81" s="3">
        <v>288953</v>
      </c>
      <c r="Z81" s="3">
        <v>281404</v>
      </c>
      <c r="AA81" s="3">
        <v>539014</v>
      </c>
      <c r="AB81" s="3">
        <v>564803</v>
      </c>
      <c r="AC81" s="3">
        <v>708989</v>
      </c>
      <c r="AD81" s="3">
        <v>693258</v>
      </c>
      <c r="AE81" s="3">
        <v>690187</v>
      </c>
      <c r="AF81" s="3">
        <v>701419</v>
      </c>
      <c r="AG81" s="3">
        <v>-178293</v>
      </c>
      <c r="AH81" s="3">
        <v>518943</v>
      </c>
      <c r="AI81" s="3">
        <v>432032</v>
      </c>
      <c r="AJ81" s="3">
        <v>292860</v>
      </c>
      <c r="AK81" s="3">
        <v>316757</v>
      </c>
      <c r="AL81" s="3">
        <v>329406</v>
      </c>
      <c r="AM81" s="3">
        <v>464549</v>
      </c>
      <c r="AN81" s="3">
        <v>500267</v>
      </c>
      <c r="AO81" s="3">
        <v>636423</v>
      </c>
      <c r="AP81" s="3"/>
      <c r="AQ81" s="3"/>
      <c r="AR81" s="3"/>
      <c r="AS81" s="3"/>
      <c r="AT81" s="3"/>
    </row>
    <row r="82" spans="1:46" ht="12.75">
      <c r="A82" t="s">
        <v>20</v>
      </c>
      <c r="B82" t="s">
        <v>6</v>
      </c>
      <c r="C82">
        <v>121</v>
      </c>
      <c r="D82" t="s">
        <v>11</v>
      </c>
      <c r="F82" s="3">
        <v>96476</v>
      </c>
      <c r="G82" s="3">
        <v>91785</v>
      </c>
      <c r="H82" s="3">
        <v>113868</v>
      </c>
      <c r="I82" s="3">
        <v>110670</v>
      </c>
      <c r="J82" s="3">
        <v>105840</v>
      </c>
      <c r="K82" s="3">
        <v>168384</v>
      </c>
      <c r="L82" s="3">
        <v>141460</v>
      </c>
      <c r="M82" s="3">
        <v>154751</v>
      </c>
      <c r="N82" s="3">
        <v>150619</v>
      </c>
      <c r="O82" s="3">
        <v>189697</v>
      </c>
      <c r="P82" s="3">
        <v>105811</v>
      </c>
      <c r="Q82" s="3">
        <v>107118</v>
      </c>
      <c r="R82" s="3">
        <v>74722</v>
      </c>
      <c r="S82" s="3">
        <v>29062</v>
      </c>
      <c r="T82" s="3">
        <v>56718</v>
      </c>
      <c r="U82" s="3">
        <v>71940</v>
      </c>
      <c r="V82" s="3">
        <v>85210</v>
      </c>
      <c r="W82" s="3">
        <v>89567</v>
      </c>
      <c r="X82" s="3">
        <v>92699</v>
      </c>
      <c r="Y82" s="3">
        <v>105580</v>
      </c>
      <c r="Z82" s="3">
        <v>57527</v>
      </c>
      <c r="AA82" s="3">
        <v>109253</v>
      </c>
      <c r="AB82" s="3">
        <v>128776</v>
      </c>
      <c r="AC82" s="3">
        <v>81586</v>
      </c>
      <c r="AD82" s="3">
        <v>-7960</v>
      </c>
      <c r="AE82" s="3">
        <v>-31784</v>
      </c>
      <c r="AF82" s="3">
        <v>109734</v>
      </c>
      <c r="AG82" s="3">
        <v>64938</v>
      </c>
      <c r="AH82" s="3">
        <v>59620</v>
      </c>
      <c r="AI82" s="3">
        <v>76910</v>
      </c>
      <c r="AJ82" s="3">
        <v>170515</v>
      </c>
      <c r="AK82" s="3">
        <v>31866</v>
      </c>
      <c r="AL82" s="3">
        <v>103660</v>
      </c>
      <c r="AM82" s="3">
        <v>254760</v>
      </c>
      <c r="AN82" s="3">
        <v>52508</v>
      </c>
      <c r="AO82" s="3">
        <v>65280</v>
      </c>
      <c r="AP82" s="3"/>
      <c r="AQ82" s="3"/>
      <c r="AR82" s="3"/>
      <c r="AS82" s="3"/>
      <c r="AT82" s="3"/>
    </row>
    <row r="83" spans="1:46" ht="12.75">
      <c r="A83" t="s">
        <v>21</v>
      </c>
      <c r="B83" t="s">
        <v>6</v>
      </c>
      <c r="C83">
        <v>121</v>
      </c>
      <c r="D83" t="s">
        <v>13</v>
      </c>
      <c r="F83" s="3">
        <v>480082</v>
      </c>
      <c r="G83" s="3">
        <v>910904</v>
      </c>
      <c r="H83" s="3">
        <v>718436</v>
      </c>
      <c r="I83" s="3">
        <v>609782</v>
      </c>
      <c r="J83" s="3">
        <v>489523</v>
      </c>
      <c r="K83" s="3">
        <v>604432</v>
      </c>
      <c r="L83" s="3">
        <v>486310</v>
      </c>
      <c r="M83" s="3">
        <v>528513</v>
      </c>
      <c r="N83" s="3">
        <v>499570</v>
      </c>
      <c r="O83" s="3">
        <v>751497</v>
      </c>
      <c r="P83" s="3">
        <v>717520</v>
      </c>
      <c r="Q83" s="3">
        <v>828697</v>
      </c>
      <c r="R83" s="3">
        <v>908031</v>
      </c>
      <c r="S83" s="3">
        <v>733309</v>
      </c>
      <c r="T83" s="3">
        <v>608369</v>
      </c>
      <c r="U83" s="3">
        <v>543718</v>
      </c>
      <c r="V83" s="3">
        <v>454314</v>
      </c>
      <c r="W83" s="3">
        <v>421149</v>
      </c>
      <c r="X83" s="3">
        <v>422494</v>
      </c>
      <c r="Y83" s="3">
        <v>394533</v>
      </c>
      <c r="Z83" s="3">
        <v>338931</v>
      </c>
      <c r="AA83" s="3">
        <v>648267</v>
      </c>
      <c r="AB83" s="3">
        <v>693579</v>
      </c>
      <c r="AC83" s="3">
        <v>790575</v>
      </c>
      <c r="AD83" s="3">
        <v>685298</v>
      </c>
      <c r="AE83" s="3">
        <v>658403</v>
      </c>
      <c r="AF83" s="3">
        <v>811153</v>
      </c>
      <c r="AG83" s="3">
        <v>-113355</v>
      </c>
      <c r="AH83" s="3">
        <v>578563</v>
      </c>
      <c r="AI83" s="3">
        <v>508942</v>
      </c>
      <c r="AJ83" s="3">
        <v>463375</v>
      </c>
      <c r="AK83" s="3">
        <v>348623</v>
      </c>
      <c r="AL83" s="3">
        <v>433066</v>
      </c>
      <c r="AM83" s="3">
        <v>719309</v>
      </c>
      <c r="AN83" s="3">
        <v>552775</v>
      </c>
      <c r="AO83" s="3">
        <v>701703</v>
      </c>
      <c r="AP83" s="3"/>
      <c r="AQ83" s="3"/>
      <c r="AR83" s="3"/>
      <c r="AS83" s="3"/>
      <c r="AT83" s="3"/>
    </row>
    <row r="84" spans="1:46" ht="12.75">
      <c r="A84" t="s">
        <v>22</v>
      </c>
      <c r="B84" t="s">
        <v>6</v>
      </c>
      <c r="C84">
        <v>131</v>
      </c>
      <c r="D84" t="s">
        <v>23</v>
      </c>
      <c r="F84" s="3">
        <v>79033</v>
      </c>
      <c r="G84" s="3">
        <v>73746</v>
      </c>
      <c r="H84" s="3">
        <v>75280</v>
      </c>
      <c r="I84" s="3">
        <v>67227</v>
      </c>
      <c r="J84" s="3">
        <v>56865</v>
      </c>
      <c r="K84" s="3">
        <v>40563</v>
      </c>
      <c r="L84" s="3">
        <v>31401</v>
      </c>
      <c r="M84" s="3">
        <v>24316</v>
      </c>
      <c r="N84" s="3">
        <v>26942</v>
      </c>
      <c r="O84" s="3">
        <v>36942</v>
      </c>
      <c r="P84" s="3">
        <v>50798</v>
      </c>
      <c r="Q84" s="3">
        <v>80909</v>
      </c>
      <c r="R84" s="3">
        <v>75087</v>
      </c>
      <c r="S84" s="3">
        <v>84056</v>
      </c>
      <c r="T84" s="3">
        <v>76611</v>
      </c>
      <c r="U84" s="3">
        <v>63911</v>
      </c>
      <c r="V84" s="3">
        <v>50186</v>
      </c>
      <c r="W84" s="3">
        <v>44662</v>
      </c>
      <c r="X84" s="3">
        <v>32191</v>
      </c>
      <c r="Y84" s="3">
        <v>22511</v>
      </c>
      <c r="Z84" s="3">
        <v>25947</v>
      </c>
      <c r="AA84" s="3">
        <v>31352</v>
      </c>
      <c r="AB84" s="3">
        <v>56927</v>
      </c>
      <c r="AC84" s="3">
        <v>80019</v>
      </c>
      <c r="AD84" s="3">
        <v>73637</v>
      </c>
      <c r="AE84" s="3">
        <v>93723</v>
      </c>
      <c r="AF84" s="3">
        <v>74260</v>
      </c>
      <c r="AG84" s="3">
        <v>67610</v>
      </c>
      <c r="AH84" s="3">
        <v>56425</v>
      </c>
      <c r="AI84" s="3">
        <v>39006</v>
      </c>
      <c r="AJ84" s="3">
        <v>31997</v>
      </c>
      <c r="AK84" s="3">
        <v>22754</v>
      </c>
      <c r="AL84" s="3">
        <v>26857</v>
      </c>
      <c r="AM84" s="3">
        <v>31848</v>
      </c>
      <c r="AN84" s="3">
        <v>47455</v>
      </c>
      <c r="AO84" s="3">
        <v>61119</v>
      </c>
      <c r="AP84" s="3"/>
      <c r="AQ84" s="3"/>
      <c r="AR84" s="3"/>
      <c r="AS84" s="3"/>
      <c r="AT84" s="3"/>
    </row>
    <row r="85" spans="1:46" ht="12.75">
      <c r="A85" t="s">
        <v>24</v>
      </c>
      <c r="B85" t="s">
        <v>6</v>
      </c>
      <c r="C85">
        <v>146</v>
      </c>
      <c r="D85" t="s">
        <v>25</v>
      </c>
      <c r="F85" s="3">
        <v>2790912</v>
      </c>
      <c r="G85" s="3">
        <v>1947811</v>
      </c>
      <c r="H85" s="3">
        <v>2308934</v>
      </c>
      <c r="I85" s="3">
        <v>2027060</v>
      </c>
      <c r="J85" s="3">
        <v>1951628</v>
      </c>
      <c r="K85" s="3">
        <v>1812720</v>
      </c>
      <c r="L85" s="3">
        <v>1060321</v>
      </c>
      <c r="M85" s="3">
        <v>1356131</v>
      </c>
      <c r="N85" s="3">
        <v>1581978</v>
      </c>
      <c r="O85" s="3">
        <v>2147152</v>
      </c>
      <c r="P85" s="3">
        <v>2508982</v>
      </c>
      <c r="Q85" s="3">
        <v>2185254</v>
      </c>
      <c r="R85" s="3">
        <v>2452403</v>
      </c>
      <c r="S85" s="3">
        <v>2913841</v>
      </c>
      <c r="T85" s="3">
        <v>1754458</v>
      </c>
      <c r="U85" s="3">
        <v>1874352</v>
      </c>
      <c r="V85" s="3">
        <v>1810484</v>
      </c>
      <c r="W85" s="3">
        <v>1652094</v>
      </c>
      <c r="X85" s="3">
        <v>1742272</v>
      </c>
      <c r="Y85" s="3">
        <v>1532892</v>
      </c>
      <c r="Z85" s="3">
        <v>2058553</v>
      </c>
      <c r="AA85" s="3">
        <v>2236836</v>
      </c>
      <c r="AB85" s="3">
        <v>2352303</v>
      </c>
      <c r="AC85" s="3">
        <v>2317330</v>
      </c>
      <c r="AD85" s="3">
        <v>2353576</v>
      </c>
      <c r="AE85" s="3">
        <v>2809820</v>
      </c>
      <c r="AF85" s="3">
        <v>2059945</v>
      </c>
      <c r="AG85" s="3">
        <v>5188337</v>
      </c>
      <c r="AH85" s="3">
        <v>-834804</v>
      </c>
      <c r="AI85" s="3">
        <v>1378835</v>
      </c>
      <c r="AJ85" s="3">
        <v>1881557</v>
      </c>
      <c r="AK85" s="3">
        <v>1746912</v>
      </c>
      <c r="AL85" s="3">
        <v>2497328</v>
      </c>
      <c r="AM85" s="3">
        <v>1985651</v>
      </c>
      <c r="AN85" s="3">
        <v>2379689</v>
      </c>
      <c r="AO85" s="3">
        <v>2215620</v>
      </c>
      <c r="AP85" s="3"/>
      <c r="AQ85" s="3"/>
      <c r="AR85" s="3"/>
      <c r="AS85" s="3"/>
      <c r="AT85" s="3"/>
    </row>
    <row r="86" spans="1:46" ht="12.75">
      <c r="A86" t="s">
        <v>26</v>
      </c>
      <c r="B86" t="s">
        <v>6</v>
      </c>
      <c r="C86">
        <v>148</v>
      </c>
      <c r="D86" t="s">
        <v>27</v>
      </c>
      <c r="F86" s="3">
        <v>4849386</v>
      </c>
      <c r="G86" s="3">
        <v>3845044</v>
      </c>
      <c r="H86" s="3">
        <v>3193504</v>
      </c>
      <c r="I86" s="3">
        <v>3447266</v>
      </c>
      <c r="J86" s="3">
        <v>3050496</v>
      </c>
      <c r="K86" s="3">
        <v>3480978</v>
      </c>
      <c r="L86" s="3">
        <v>2884367</v>
      </c>
      <c r="M86" s="3">
        <v>3232475</v>
      </c>
      <c r="N86" s="3">
        <v>3263908</v>
      </c>
      <c r="O86" s="3">
        <v>3676887</v>
      </c>
      <c r="P86" s="3">
        <v>3595183</v>
      </c>
      <c r="Q86" s="3">
        <v>4265913</v>
      </c>
      <c r="R86" s="3">
        <v>4796505</v>
      </c>
      <c r="S86" s="3">
        <v>4668915</v>
      </c>
      <c r="T86" s="3">
        <v>3026198</v>
      </c>
      <c r="U86" s="3">
        <v>3376471</v>
      </c>
      <c r="V86" s="3">
        <v>3602619</v>
      </c>
      <c r="W86" s="3">
        <v>2972011</v>
      </c>
      <c r="X86" s="3">
        <v>3285698</v>
      </c>
      <c r="Y86" s="3">
        <v>3011488</v>
      </c>
      <c r="Z86" s="3">
        <v>4028539</v>
      </c>
      <c r="AA86" s="3">
        <v>3596159</v>
      </c>
      <c r="AB86" s="3">
        <v>4090842</v>
      </c>
      <c r="AC86" s="3">
        <v>4492864</v>
      </c>
      <c r="AD86" s="3">
        <v>3941295</v>
      </c>
      <c r="AE86" s="3">
        <v>5425392</v>
      </c>
      <c r="AF86" s="3">
        <v>3603423</v>
      </c>
      <c r="AG86" s="3">
        <v>720614</v>
      </c>
      <c r="AH86" s="3">
        <v>6942907</v>
      </c>
      <c r="AI86" s="3">
        <v>3058788</v>
      </c>
      <c r="AJ86" s="3">
        <v>3469338</v>
      </c>
      <c r="AK86" s="3">
        <v>3114295</v>
      </c>
      <c r="AL86" s="3">
        <v>4058372</v>
      </c>
      <c r="AM86" s="3">
        <v>3699404</v>
      </c>
      <c r="AN86" s="3">
        <v>4733659</v>
      </c>
      <c r="AO86" s="3">
        <v>4099287</v>
      </c>
      <c r="AP86" s="3"/>
      <c r="AQ86" s="3"/>
      <c r="AR86" s="3"/>
      <c r="AS86" s="3"/>
      <c r="AT86" s="3"/>
    </row>
    <row r="87" spans="4:46" ht="12.75">
      <c r="D87" t="s">
        <v>28</v>
      </c>
      <c r="F87" s="3">
        <v>36226558.24</v>
      </c>
      <c r="G87" s="3">
        <v>29571216.167</v>
      </c>
      <c r="H87" s="3">
        <v>26441249.512000002</v>
      </c>
      <c r="I87" s="3">
        <v>18260154.742</v>
      </c>
      <c r="J87" s="3">
        <v>12233946.925</v>
      </c>
      <c r="K87" s="3">
        <v>10562089.455</v>
      </c>
      <c r="L87" s="3">
        <v>8071182</v>
      </c>
      <c r="M87" s="3">
        <v>8555858</v>
      </c>
      <c r="N87" s="3">
        <v>10138549</v>
      </c>
      <c r="O87" s="3">
        <v>17796143.562</v>
      </c>
      <c r="P87" s="3">
        <v>27511859.048</v>
      </c>
      <c r="Q87" s="3">
        <v>37050213.144</v>
      </c>
      <c r="R87" s="3">
        <v>37215366.18</v>
      </c>
      <c r="S87" s="3">
        <v>33115101.908</v>
      </c>
      <c r="T87" s="3">
        <v>24251239.123999998</v>
      </c>
      <c r="U87" s="3">
        <v>16867625.313</v>
      </c>
      <c r="V87" s="3">
        <v>13348869.192</v>
      </c>
      <c r="W87" s="3">
        <v>9921267.366</v>
      </c>
      <c r="X87" s="3">
        <v>8900993</v>
      </c>
      <c r="Y87" s="3">
        <v>8532385</v>
      </c>
      <c r="Z87" s="3">
        <v>11400335</v>
      </c>
      <c r="AA87" s="3">
        <v>17725692.914</v>
      </c>
      <c r="AB87" s="3">
        <v>27416169.411</v>
      </c>
      <c r="AC87" s="3">
        <v>35894133.3</v>
      </c>
      <c r="AD87" s="3">
        <v>36296272.926</v>
      </c>
      <c r="AE87" s="3">
        <v>34279901.318</v>
      </c>
      <c r="AF87" s="3">
        <v>25579826.700000003</v>
      </c>
      <c r="AG87" s="3">
        <v>19529513.277999997</v>
      </c>
      <c r="AH87" s="3">
        <v>14729785.944</v>
      </c>
      <c r="AI87" s="3">
        <v>9932924.038</v>
      </c>
      <c r="AJ87" s="3">
        <v>9271349</v>
      </c>
      <c r="AK87" s="3">
        <v>8963979</v>
      </c>
      <c r="AL87" s="3">
        <v>11539835</v>
      </c>
      <c r="AM87" s="3">
        <v>17783365.4</v>
      </c>
      <c r="AN87" s="3">
        <v>26533615.848</v>
      </c>
      <c r="AO87" s="3">
        <v>35535989.92</v>
      </c>
      <c r="AP87" s="3"/>
      <c r="AQ87" s="3"/>
      <c r="AR87" s="3"/>
      <c r="AS87" s="3"/>
      <c r="AT87" s="3"/>
    </row>
    <row r="88" spans="6:46" ht="12.7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t="s">
        <v>200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6:46" ht="13.5" thickBot="1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2:46" ht="13.5" thickTop="1">
      <c r="B91" s="240" t="s">
        <v>196</v>
      </c>
      <c r="C91" s="241"/>
      <c r="D91" s="241"/>
      <c r="E91" s="241"/>
      <c r="F91" s="241"/>
      <c r="G91" s="241"/>
      <c r="H91" s="242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2:8" ht="12.75">
      <c r="B92" s="244" t="s">
        <v>85</v>
      </c>
      <c r="C92" s="245">
        <v>2006</v>
      </c>
      <c r="D92" s="245"/>
      <c r="E92" s="245">
        <v>2007</v>
      </c>
      <c r="F92" s="245"/>
      <c r="G92" s="245">
        <v>2008</v>
      </c>
      <c r="H92" s="246"/>
    </row>
    <row r="93" spans="2:8" ht="40.5" customHeight="1">
      <c r="B93" s="237"/>
      <c r="C93" s="215" t="s">
        <v>86</v>
      </c>
      <c r="D93" s="61" t="s">
        <v>87</v>
      </c>
      <c r="E93" s="215" t="s">
        <v>86</v>
      </c>
      <c r="F93" s="61" t="s">
        <v>87</v>
      </c>
      <c r="G93" s="215" t="s">
        <v>86</v>
      </c>
      <c r="H93" s="62" t="s">
        <v>87</v>
      </c>
    </row>
    <row r="94" spans="2:8" ht="12.75">
      <c r="B94" s="36" t="s">
        <v>88</v>
      </c>
      <c r="C94" s="37">
        <f>SUM(F41:Q41)</f>
        <v>113401760</v>
      </c>
      <c r="D94" s="37">
        <f>SUM(F75:Q75)</f>
        <v>119437787.17700002</v>
      </c>
      <c r="E94" s="37">
        <f>SUM(R41:AC41)</f>
        <v>114857170</v>
      </c>
      <c r="F94" s="37">
        <f>SUM(R75:AC75)</f>
        <v>117629476.30800001</v>
      </c>
      <c r="G94" s="37">
        <f>SUM(AD41:AO41)</f>
        <v>124922190</v>
      </c>
      <c r="H94" s="44">
        <f>SUM(AD75:AO75)</f>
        <v>120268826.40199998</v>
      </c>
    </row>
    <row r="95" spans="2:8" ht="12.75">
      <c r="B95" s="35" t="s">
        <v>89</v>
      </c>
      <c r="C95" s="38">
        <f aca="true" t="shared" si="7" ref="C95:C100">SUM(F42:Q42)</f>
        <v>46532298</v>
      </c>
      <c r="D95" s="38">
        <f>SUM(F79:Q79)</f>
        <v>48247654.618</v>
      </c>
      <c r="E95" s="38">
        <f aca="true" t="shared" si="8" ref="E95:E100">SUM(R42:AC42)</f>
        <v>48916038</v>
      </c>
      <c r="F95" s="38">
        <f>SUM(R79:AC79)</f>
        <v>49712845.400000006</v>
      </c>
      <c r="G95" s="38">
        <f aca="true" t="shared" si="9" ref="G95:G100">SUM(AD42:AO42)</f>
        <v>51561175</v>
      </c>
      <c r="H95" s="46">
        <f>SUM(AD79:AO79)</f>
        <v>50203745.96999999</v>
      </c>
    </row>
    <row r="96" spans="2:8" ht="12.75">
      <c r="B96" s="36" t="s">
        <v>90</v>
      </c>
      <c r="C96" s="37">
        <f t="shared" si="7"/>
        <v>7625266</v>
      </c>
      <c r="D96" s="37">
        <f>SUM(F83:Q83)</f>
        <v>7625266</v>
      </c>
      <c r="E96" s="37">
        <f t="shared" si="8"/>
        <v>6957269</v>
      </c>
      <c r="F96" s="37">
        <f>SUM(R83:AC83)</f>
        <v>6957269</v>
      </c>
      <c r="G96" s="37">
        <f t="shared" si="9"/>
        <v>6347855</v>
      </c>
      <c r="H96" s="44">
        <f>SUM(AD83:AO83)</f>
        <v>6347855</v>
      </c>
    </row>
    <row r="97" spans="2:8" ht="12.75">
      <c r="B97" s="35" t="s">
        <v>91</v>
      </c>
      <c r="C97" s="38">
        <f t="shared" si="7"/>
        <v>644022</v>
      </c>
      <c r="D97" s="38">
        <f>SUM(F84:Q84)</f>
        <v>644022</v>
      </c>
      <c r="E97" s="38">
        <f t="shared" si="8"/>
        <v>643460</v>
      </c>
      <c r="F97" s="38">
        <f>SUM(R84:AC84)</f>
        <v>643460</v>
      </c>
      <c r="G97" s="38">
        <f t="shared" si="9"/>
        <v>626691</v>
      </c>
      <c r="H97" s="46">
        <f>SUM(AD84:AO84)</f>
        <v>626691</v>
      </c>
    </row>
    <row r="98" spans="2:8" ht="12.75">
      <c r="B98" s="36" t="s">
        <v>92</v>
      </c>
      <c r="C98" s="37">
        <f t="shared" si="7"/>
        <v>23678883</v>
      </c>
      <c r="D98" s="37">
        <f>SUM(F85:Q85)</f>
        <v>23678883</v>
      </c>
      <c r="E98" s="37">
        <f t="shared" si="8"/>
        <v>24697818</v>
      </c>
      <c r="F98" s="37">
        <f>SUM(R85:AC85)</f>
        <v>24697818</v>
      </c>
      <c r="G98" s="37">
        <f t="shared" si="9"/>
        <v>25662466</v>
      </c>
      <c r="H98" s="44">
        <f>SUM(AD85:AO85)</f>
        <v>25662466</v>
      </c>
    </row>
    <row r="99" spans="2:8" ht="12.75">
      <c r="B99" s="35" t="s">
        <v>93</v>
      </c>
      <c r="C99" s="38">
        <f t="shared" si="7"/>
        <v>42785407</v>
      </c>
      <c r="D99" s="38">
        <f>SUM(F86:Q86)</f>
        <v>42785407</v>
      </c>
      <c r="E99" s="38">
        <f t="shared" si="8"/>
        <v>44948309</v>
      </c>
      <c r="F99" s="38">
        <f>SUM(R86:AC86)</f>
        <v>44948309</v>
      </c>
      <c r="G99" s="38">
        <f t="shared" si="9"/>
        <v>46866774</v>
      </c>
      <c r="H99" s="46">
        <f>SUM(AD86:AO86)</f>
        <v>46866774</v>
      </c>
    </row>
    <row r="100" spans="2:8" ht="13.5" thickBot="1">
      <c r="B100" s="39" t="s">
        <v>28</v>
      </c>
      <c r="C100" s="40">
        <f t="shared" si="7"/>
        <v>234667636</v>
      </c>
      <c r="D100" s="40">
        <f>SUM(F87:Q87)</f>
        <v>242419019.79500002</v>
      </c>
      <c r="E100" s="40">
        <f t="shared" si="8"/>
        <v>241020064</v>
      </c>
      <c r="F100" s="40">
        <f>SUM(R87:AC87)</f>
        <v>244589177.708</v>
      </c>
      <c r="G100" s="40">
        <f t="shared" si="9"/>
        <v>255987151</v>
      </c>
      <c r="H100" s="48">
        <f>SUM(AD87:AO87)</f>
        <v>249976358.37199998</v>
      </c>
    </row>
    <row r="101" ht="13.5" thickTop="1"/>
    <row r="102" ht="13.5" thickBot="1"/>
    <row r="103" spans="2:7" ht="13.5" thickTop="1">
      <c r="B103" s="243" t="s">
        <v>94</v>
      </c>
      <c r="C103" s="241" t="s">
        <v>95</v>
      </c>
      <c r="D103" s="241"/>
      <c r="E103" s="241"/>
      <c r="F103" s="241"/>
      <c r="G103" s="242"/>
    </row>
    <row r="104" spans="2:7" ht="12.75">
      <c r="B104" s="237"/>
      <c r="C104" s="41">
        <v>2004</v>
      </c>
      <c r="D104" s="41">
        <v>2005</v>
      </c>
      <c r="E104" s="41">
        <v>2006</v>
      </c>
      <c r="F104" s="41">
        <v>2007</v>
      </c>
      <c r="G104" s="42">
        <v>2008</v>
      </c>
    </row>
    <row r="105" spans="2:7" ht="12.75">
      <c r="B105" s="43">
        <v>101</v>
      </c>
      <c r="C105" s="37">
        <v>129659.33333333333</v>
      </c>
      <c r="D105" s="37">
        <v>132870.33333333334</v>
      </c>
      <c r="E105" s="37">
        <v>136404.25</v>
      </c>
      <c r="F105" s="37">
        <v>139482</v>
      </c>
      <c r="G105" s="44">
        <v>141883.33333333334</v>
      </c>
    </row>
    <row r="106" spans="2:7" ht="12.75">
      <c r="B106" s="45">
        <v>111</v>
      </c>
      <c r="C106" s="38">
        <v>2272.4166666666665</v>
      </c>
      <c r="D106" s="38">
        <v>2202.4166666666665</v>
      </c>
      <c r="E106" s="38">
        <v>2206.3333333333335</v>
      </c>
      <c r="F106" s="38">
        <v>2242.5</v>
      </c>
      <c r="G106" s="46">
        <v>2257.9166666666665</v>
      </c>
    </row>
    <row r="107" spans="2:7" ht="12.75">
      <c r="B107" s="43">
        <v>121</v>
      </c>
      <c r="C107" s="37">
        <v>38.41666666666667</v>
      </c>
      <c r="D107" s="37">
        <v>34.83333333333333</v>
      </c>
      <c r="E107" s="37">
        <v>31.833333333333332</v>
      </c>
      <c r="F107" s="37">
        <v>31.5</v>
      </c>
      <c r="G107" s="44">
        <v>31.75</v>
      </c>
    </row>
    <row r="108" spans="2:7" ht="12.75">
      <c r="B108" s="45">
        <v>131</v>
      </c>
      <c r="C108" s="38">
        <v>1.3333333333333333</v>
      </c>
      <c r="D108" s="38">
        <v>1</v>
      </c>
      <c r="E108" s="38">
        <v>1</v>
      </c>
      <c r="F108" s="38">
        <v>1</v>
      </c>
      <c r="G108" s="46">
        <v>1</v>
      </c>
    </row>
    <row r="109" spans="2:7" ht="12.75">
      <c r="B109" s="43">
        <v>146</v>
      </c>
      <c r="C109" s="37">
        <v>24.166666666666668</v>
      </c>
      <c r="D109" s="37">
        <v>25</v>
      </c>
      <c r="E109" s="37">
        <v>26.333333333333332</v>
      </c>
      <c r="F109" s="37">
        <v>28.75</v>
      </c>
      <c r="G109" s="44">
        <v>31.833333333333332</v>
      </c>
    </row>
    <row r="110" spans="2:7" ht="13.5" thickBot="1">
      <c r="B110" s="47">
        <v>148</v>
      </c>
      <c r="C110" s="40">
        <v>5.833333333333333</v>
      </c>
      <c r="D110" s="40">
        <v>5.083333333333333</v>
      </c>
      <c r="E110" s="40">
        <v>5</v>
      </c>
      <c r="F110" s="40">
        <v>5</v>
      </c>
      <c r="G110" s="48">
        <v>5.666666666666667</v>
      </c>
    </row>
    <row r="111" ht="13.5" thickTop="1"/>
    <row r="112" ht="13.5" thickBot="1"/>
    <row r="113" spans="2:8" ht="13.5" thickTop="1">
      <c r="B113" s="240" t="s">
        <v>96</v>
      </c>
      <c r="C113" s="241"/>
      <c r="D113" s="241"/>
      <c r="E113" s="241"/>
      <c r="F113" s="241"/>
      <c r="G113" s="241"/>
      <c r="H113" s="242"/>
    </row>
    <row r="114" spans="2:8" ht="18.75" customHeight="1">
      <c r="B114" s="236" t="s">
        <v>85</v>
      </c>
      <c r="C114" s="238">
        <v>2006</v>
      </c>
      <c r="D114" s="238"/>
      <c r="E114" s="238">
        <v>2007</v>
      </c>
      <c r="F114" s="238"/>
      <c r="G114" s="238">
        <v>2008</v>
      </c>
      <c r="H114" s="239"/>
    </row>
    <row r="115" spans="2:8" ht="55.5" customHeight="1">
      <c r="B115" s="237"/>
      <c r="C115" s="49" t="s">
        <v>97</v>
      </c>
      <c r="D115" s="49" t="s">
        <v>98</v>
      </c>
      <c r="E115" s="49" t="s">
        <v>97</v>
      </c>
      <c r="F115" s="49" t="s">
        <v>98</v>
      </c>
      <c r="G115" s="49" t="s">
        <v>97</v>
      </c>
      <c r="H115" s="50" t="s">
        <v>98</v>
      </c>
    </row>
    <row r="116" spans="2:8" ht="12.75">
      <c r="B116" s="51" t="s">
        <v>88</v>
      </c>
      <c r="C116" s="52">
        <f aca="true" t="shared" si="10" ref="C116:C121">C94/E105</f>
        <v>831.3652983686359</v>
      </c>
      <c r="D116" s="52">
        <f>D94/E105</f>
        <v>875.6163182378849</v>
      </c>
      <c r="E116" s="52">
        <f>E94/F105</f>
        <v>823.4551411651682</v>
      </c>
      <c r="F116" s="52">
        <f aca="true" t="shared" si="11" ref="F116:G121">F94/F105</f>
        <v>843.3308692734547</v>
      </c>
      <c r="G116" s="52">
        <f>G94/G105</f>
        <v>880.4571126512392</v>
      </c>
      <c r="H116" s="57">
        <f aca="true" t="shared" si="12" ref="H116:H121">H94/G105</f>
        <v>847.6600004839655</v>
      </c>
    </row>
    <row r="117" spans="2:8" ht="12.75">
      <c r="B117" s="53" t="s">
        <v>89</v>
      </c>
      <c r="C117" s="54">
        <f t="shared" si="10"/>
        <v>21090.32995920834</v>
      </c>
      <c r="D117" s="54">
        <f aca="true" t="shared" si="13" ref="D117:E121">D95/E106</f>
        <v>21867.799343405346</v>
      </c>
      <c r="E117" s="54">
        <f t="shared" si="13"/>
        <v>21813.171906354513</v>
      </c>
      <c r="F117" s="54">
        <f t="shared" si="11"/>
        <v>22168.492931995544</v>
      </c>
      <c r="G117" s="54">
        <f t="shared" si="11"/>
        <v>22835.729839453776</v>
      </c>
      <c r="H117" s="58">
        <f t="shared" si="12"/>
        <v>22234.5433341945</v>
      </c>
    </row>
    <row r="118" spans="2:8" ht="12.75">
      <c r="B118" s="51" t="s">
        <v>90</v>
      </c>
      <c r="C118" s="52">
        <f t="shared" si="10"/>
        <v>239537.15183246075</v>
      </c>
      <c r="D118" s="52">
        <f t="shared" si="13"/>
        <v>239537.15183246075</v>
      </c>
      <c r="E118" s="52">
        <f t="shared" si="13"/>
        <v>220865.68253968254</v>
      </c>
      <c r="F118" s="52">
        <f t="shared" si="11"/>
        <v>220865.68253968254</v>
      </c>
      <c r="G118" s="52">
        <f t="shared" si="11"/>
        <v>199932.44094488188</v>
      </c>
      <c r="H118" s="59">
        <f t="shared" si="12"/>
        <v>199932.44094488188</v>
      </c>
    </row>
    <row r="119" spans="2:8" ht="12.75">
      <c r="B119" s="53" t="s">
        <v>91</v>
      </c>
      <c r="C119" s="54">
        <f t="shared" si="10"/>
        <v>644022</v>
      </c>
      <c r="D119" s="54">
        <f t="shared" si="13"/>
        <v>644022</v>
      </c>
      <c r="E119" s="54">
        <f t="shared" si="13"/>
        <v>643460</v>
      </c>
      <c r="F119" s="54">
        <f t="shared" si="11"/>
        <v>643460</v>
      </c>
      <c r="G119" s="54">
        <f t="shared" si="11"/>
        <v>626691</v>
      </c>
      <c r="H119" s="58">
        <f t="shared" si="12"/>
        <v>626691</v>
      </c>
    </row>
    <row r="120" spans="2:8" ht="12.75">
      <c r="B120" s="51" t="s">
        <v>92</v>
      </c>
      <c r="C120" s="52">
        <f t="shared" si="10"/>
        <v>899198.088607595</v>
      </c>
      <c r="D120" s="52">
        <f t="shared" si="13"/>
        <v>899198.088607595</v>
      </c>
      <c r="E120" s="52">
        <f t="shared" si="13"/>
        <v>859054.5391304347</v>
      </c>
      <c r="F120" s="52">
        <f t="shared" si="11"/>
        <v>859054.5391304347</v>
      </c>
      <c r="G120" s="52">
        <f t="shared" si="11"/>
        <v>806150.7643979058</v>
      </c>
      <c r="H120" s="59">
        <f t="shared" si="12"/>
        <v>806150.7643979058</v>
      </c>
    </row>
    <row r="121" spans="2:8" ht="13.5" thickBot="1">
      <c r="B121" s="55" t="s">
        <v>199</v>
      </c>
      <c r="C121" s="56">
        <f t="shared" si="10"/>
        <v>8557081.4</v>
      </c>
      <c r="D121" s="56">
        <f t="shared" si="13"/>
        <v>8557081.4</v>
      </c>
      <c r="E121" s="56">
        <f t="shared" si="13"/>
        <v>8989661.8</v>
      </c>
      <c r="F121" s="56">
        <f t="shared" si="11"/>
        <v>8989661.8</v>
      </c>
      <c r="G121" s="56">
        <f t="shared" si="11"/>
        <v>8270607.176470588</v>
      </c>
      <c r="H121" s="60">
        <f t="shared" si="12"/>
        <v>8270607.176470588</v>
      </c>
    </row>
    <row r="122" ht="13.5" thickTop="1"/>
  </sheetData>
  <mergeCells count="12">
    <mergeCell ref="B91:H91"/>
    <mergeCell ref="B103:B104"/>
    <mergeCell ref="C103:G103"/>
    <mergeCell ref="B113:H113"/>
    <mergeCell ref="B92:B93"/>
    <mergeCell ref="C92:D92"/>
    <mergeCell ref="E92:F92"/>
    <mergeCell ref="G92:H92"/>
    <mergeCell ref="B114:B115"/>
    <mergeCell ref="C114:D114"/>
    <mergeCell ref="E114:F114"/>
    <mergeCell ref="G114:H114"/>
  </mergeCells>
  <printOptions horizontalCentered="1"/>
  <pageMargins left="0.25" right="0.25" top="0.75" bottom="0.5" header="0.5" footer="0.5"/>
  <pageSetup fitToWidth="3" horizontalDpi="600" verticalDpi="600" orientation="portrait" scale="40" r:id="rId1"/>
  <headerFooter alignWithMargins="0">
    <oddHeader>&amp;C&amp;"Arial,Bold"&amp;12Exhibit J-1 Weather Normalized Usage</oddHeader>
    <oddFooter>&amp;CPage &amp;P of &amp;N</oddFooter>
  </headerFooter>
  <colBreaks count="2" manualBreakCount="2">
    <brk id="17" max="88" man="1"/>
    <brk id="29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view="pageBreakPreview" zoomScaleSheetLayoutView="100" workbookViewId="0" topLeftCell="A3">
      <selection activeCell="C13" sqref="C13"/>
    </sheetView>
  </sheetViews>
  <sheetFormatPr defaultColWidth="9.140625" defaultRowHeight="12.75"/>
  <cols>
    <col min="1" max="1" width="9.57421875" style="4" customWidth="1"/>
    <col min="2" max="2" width="30.7109375" style="0" customWidth="1"/>
    <col min="3" max="3" width="17.7109375" style="0" bestFit="1" customWidth="1"/>
    <col min="4" max="4" width="15.28125" style="0" customWidth="1"/>
    <col min="5" max="5" width="13.28125" style="0" customWidth="1"/>
    <col min="6" max="6" width="11.421875" style="0" bestFit="1" customWidth="1"/>
    <col min="7" max="8" width="11.57421875" style="0" bestFit="1" customWidth="1"/>
    <col min="9" max="9" width="12.421875" style="0" bestFit="1" customWidth="1"/>
    <col min="10" max="38" width="11.421875" style="0" bestFit="1" customWidth="1"/>
    <col min="39" max="40" width="8.00390625" style="0" customWidth="1"/>
  </cols>
  <sheetData>
    <row r="1" ht="12.75" hidden="1">
      <c r="B1" t="s">
        <v>36</v>
      </c>
    </row>
    <row r="2" ht="12.75" hidden="1"/>
    <row r="3" spans="1:28" s="227" customFormat="1" ht="12.75">
      <c r="A3" s="228" t="s">
        <v>2</v>
      </c>
      <c r="B3" s="229" t="s">
        <v>39</v>
      </c>
      <c r="C3" s="228">
        <v>2006</v>
      </c>
      <c r="D3" s="228">
        <v>2007</v>
      </c>
      <c r="E3" s="228">
        <v>2008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</row>
    <row r="4" spans="2:28" ht="12.75">
      <c r="B4" s="7" t="s">
        <v>40</v>
      </c>
      <c r="C4" s="8">
        <f>SUM('J.1'!$F$9:$Q$9)</f>
        <v>112983336</v>
      </c>
      <c r="D4" s="8">
        <f>SUM('J.1'!$R$9:$AC$9)</f>
        <v>115583967</v>
      </c>
      <c r="E4" s="8">
        <f>SUM('J.1'!$AD$9:$AO$9)</f>
        <v>120062128</v>
      </c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2.75">
      <c r="B5" s="7" t="s">
        <v>41</v>
      </c>
      <c r="C5" s="8">
        <f>SUM('J.1'!$F$27:$Q$27)</f>
        <v>418424</v>
      </c>
      <c r="D5" s="8">
        <f>SUM('J.1'!$R$27:$AC$27)</f>
        <v>-726797</v>
      </c>
      <c r="E5" s="8">
        <f>SUM('J.1'!$AD$27:$AO$27)</f>
        <v>4860062</v>
      </c>
      <c r="F5" s="2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2.75">
      <c r="B6" s="7" t="s">
        <v>42</v>
      </c>
      <c r="C6" s="16">
        <v>1636851</v>
      </c>
      <c r="D6" s="16">
        <v>1673784</v>
      </c>
      <c r="E6" s="17">
        <v>1702600</v>
      </c>
      <c r="F6" s="2"/>
      <c r="G6" s="2"/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2.75">
      <c r="B7" s="7" t="s">
        <v>43</v>
      </c>
      <c r="C7" s="23">
        <f>5.5*C81</f>
        <v>5.2609315</v>
      </c>
      <c r="D7" s="23">
        <f>5.5*D81</f>
        <v>5.2609315</v>
      </c>
      <c r="E7" s="23">
        <f>5.5*E81</f>
        <v>5.263071</v>
      </c>
      <c r="G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6" ht="12.75">
      <c r="B8" s="7" t="s">
        <v>44</v>
      </c>
      <c r="C8" s="18">
        <v>0.19822</v>
      </c>
      <c r="D8" s="18">
        <v>0.19822</v>
      </c>
      <c r="E8" s="18">
        <v>0.21748</v>
      </c>
      <c r="F8" s="22"/>
    </row>
    <row r="9" spans="1:28" ht="12.75">
      <c r="A9" s="27">
        <v>101</v>
      </c>
      <c r="B9" s="28" t="s">
        <v>38</v>
      </c>
      <c r="C9" s="29">
        <f>(C4+C5)*C8+C6*C7</f>
        <v>31089857.8539065</v>
      </c>
      <c r="D9" s="30">
        <f>D6*D7+(D4+D5)*D8</f>
        <v>31572651.207195997</v>
      </c>
      <c r="E9" s="30">
        <f>E6*E7+(E4+E5)*E8</f>
        <v>36128982.565799996</v>
      </c>
      <c r="F9" s="6"/>
      <c r="G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2:5" ht="12.75">
      <c r="B10" s="7" t="s">
        <v>45</v>
      </c>
      <c r="C10" s="8">
        <f>SUM('J.1'!$F$57:$Q$57)</f>
        <v>6036027.176999999</v>
      </c>
      <c r="D10" s="8">
        <f>SUM('J.1'!$R$57:$AC$57)</f>
        <v>2772306.308</v>
      </c>
      <c r="E10" s="8">
        <f>SUM('J.1'!$AD$57:$AO$57)</f>
        <v>-4653363.598</v>
      </c>
    </row>
    <row r="11" spans="2:5" ht="12.75">
      <c r="B11" s="7" t="s">
        <v>46</v>
      </c>
      <c r="C11" s="9">
        <f>C10*C8</f>
        <v>1196461.30702494</v>
      </c>
      <c r="D11" s="9">
        <f>D10*D8</f>
        <v>549526.5563717601</v>
      </c>
      <c r="E11" s="9">
        <f>E10*E8</f>
        <v>-1012013.5152930401</v>
      </c>
    </row>
    <row r="12" spans="1:6" ht="12.75">
      <c r="A12" s="27">
        <v>101</v>
      </c>
      <c r="B12" s="28" t="s">
        <v>37</v>
      </c>
      <c r="C12" s="31">
        <f>C9+C11</f>
        <v>32286319.160931442</v>
      </c>
      <c r="D12" s="31">
        <f>D9+D11</f>
        <v>32122177.763567757</v>
      </c>
      <c r="E12" s="31">
        <f>E9+E11</f>
        <v>35116969.05050696</v>
      </c>
      <c r="F12" s="6"/>
    </row>
    <row r="13" spans="1:7" ht="12.75">
      <c r="A13" s="225" t="s">
        <v>81</v>
      </c>
      <c r="B13" s="18"/>
      <c r="G13" t="s">
        <v>201</v>
      </c>
    </row>
    <row r="14" ht="12.75">
      <c r="G14" t="s">
        <v>78</v>
      </c>
    </row>
    <row r="15" spans="2:9" ht="12.75">
      <c r="B15" s="7" t="s">
        <v>40</v>
      </c>
      <c r="C15" s="8">
        <f>SUM('J.1'!$F$13:$Q$13)</f>
        <v>46995907</v>
      </c>
      <c r="D15" s="8">
        <f>SUM('J.1'!$R$13:$AC$13)</f>
        <v>48333784</v>
      </c>
      <c r="E15" s="8">
        <f>SUM('J.1'!$AD$13:$AO$13)</f>
        <v>50220741</v>
      </c>
      <c r="G15">
        <v>2006</v>
      </c>
      <c r="H15">
        <v>2007</v>
      </c>
      <c r="I15">
        <v>2008</v>
      </c>
    </row>
    <row r="16" spans="2:9" ht="12.75">
      <c r="B16" s="7" t="s">
        <v>53</v>
      </c>
      <c r="C16" s="2">
        <f>4899498*46995907/50574006</f>
        <v>4552859.671719222</v>
      </c>
      <c r="D16" s="2">
        <f>4939831*48333784/48927178</f>
        <v>4879920.206117426</v>
      </c>
      <c r="E16" s="2">
        <f>4969711*50220741/49805428</f>
        <v>5011151.976765485</v>
      </c>
      <c r="G16">
        <f>200*$C$20</f>
        <v>5295200</v>
      </c>
      <c r="H16">
        <f>200*$D$20</f>
        <v>5382000</v>
      </c>
      <c r="I16">
        <f>200*$D$20</f>
        <v>5382000</v>
      </c>
    </row>
    <row r="17" spans="2:9" ht="12.75">
      <c r="B17" s="7" t="s">
        <v>54</v>
      </c>
      <c r="C17" s="2">
        <f>13582090*46995907/50574000</f>
        <v>12621161.832278049</v>
      </c>
      <c r="D17" s="2">
        <f>13554394*48333784/48927178</f>
        <v>13390004.873097239</v>
      </c>
      <c r="E17" s="2">
        <f>13794243*50220741/49805428</f>
        <v>13909269.186363844</v>
      </c>
      <c r="G17">
        <f>800*$C$20</f>
        <v>21180800</v>
      </c>
      <c r="H17">
        <f>800*$D$20</f>
        <v>21528000</v>
      </c>
      <c r="I17">
        <f>800*$D$20</f>
        <v>21528000</v>
      </c>
    </row>
    <row r="18" spans="2:5" ht="12.75">
      <c r="B18" s="7" t="s">
        <v>55</v>
      </c>
      <c r="C18" s="2">
        <f>32092418*46995907/50574006</f>
        <v>29821886.993352395</v>
      </c>
      <c r="D18" s="2">
        <f>30432953*48333784/48927178</f>
        <v>30063858.920785334</v>
      </c>
      <c r="E18" s="2">
        <f>31041474*50220741/49805428</f>
        <v>31300319.83687067</v>
      </c>
    </row>
    <row r="19" spans="2:5" ht="12.75">
      <c r="B19" s="7" t="s">
        <v>41</v>
      </c>
      <c r="C19" s="8">
        <f>SUM('J.1'!$F$31:$Q$31)</f>
        <v>-463609</v>
      </c>
      <c r="D19" s="8">
        <f>SUM('J.1'!$R$31:$AC$31)</f>
        <v>582254</v>
      </c>
      <c r="E19" s="8">
        <f>SUM('J.1'!$AD$31:$AO$31)</f>
        <v>1340434</v>
      </c>
    </row>
    <row r="20" spans="2:5" ht="12.75">
      <c r="B20" s="7" t="s">
        <v>42</v>
      </c>
      <c r="C20" s="19">
        <v>26476</v>
      </c>
      <c r="D20" s="19">
        <v>26910</v>
      </c>
      <c r="E20" s="19">
        <f>27068+27</f>
        <v>27095</v>
      </c>
    </row>
    <row r="21" spans="2:5" ht="12.75">
      <c r="B21" s="7" t="s">
        <v>50</v>
      </c>
      <c r="C21" s="5">
        <f>C23*200</f>
        <v>45.190000000000005</v>
      </c>
      <c r="D21" s="5">
        <f>D23*200</f>
        <v>45.190000000000005</v>
      </c>
      <c r="E21" s="5">
        <f>E23*200</f>
        <v>49.048</v>
      </c>
    </row>
    <row r="22" spans="2:4" ht="12.75">
      <c r="B22" s="7" t="s">
        <v>44</v>
      </c>
      <c r="D22" s="7"/>
    </row>
    <row r="23" spans="2:5" ht="12.75">
      <c r="B23" s="7" t="s">
        <v>47</v>
      </c>
      <c r="C23" s="18">
        <v>0.22595</v>
      </c>
      <c r="D23" s="18">
        <v>0.22595</v>
      </c>
      <c r="E23" s="18">
        <v>0.24524</v>
      </c>
    </row>
    <row r="24" spans="2:5" ht="12.75">
      <c r="B24" s="7" t="s">
        <v>48</v>
      </c>
      <c r="C24" s="18">
        <v>0.16172</v>
      </c>
      <c r="D24" s="18">
        <v>0.16172</v>
      </c>
      <c r="E24" s="18">
        <v>0.17675</v>
      </c>
    </row>
    <row r="25" spans="2:5" ht="12.75">
      <c r="B25" s="7" t="s">
        <v>49</v>
      </c>
      <c r="C25" s="18">
        <v>0.09904</v>
      </c>
      <c r="D25" s="18">
        <v>0.09904</v>
      </c>
      <c r="E25" s="18">
        <v>0.11314</v>
      </c>
    </row>
    <row r="26" spans="1:5" ht="12.75">
      <c r="A26" s="27" t="s">
        <v>32</v>
      </c>
      <c r="B26" s="28" t="s">
        <v>38</v>
      </c>
      <c r="C26" s="32">
        <f>C20*C21+C17*C24+(C18+C19)*C25</f>
        <v>6145188.583977628</v>
      </c>
      <c r="D26" s="32">
        <f>D20*D21+D17*D24+(D18+D19)*D25</f>
        <v>6416685.511751865</v>
      </c>
      <c r="E26" s="32">
        <f>E20*E21+E17*E24+(E18+E19)*E25</f>
        <v>7480393.777793357</v>
      </c>
    </row>
    <row r="27" spans="2:5" ht="12.75">
      <c r="B27" s="7" t="s">
        <v>45</v>
      </c>
      <c r="C27" s="8">
        <f>SUM('J.1'!$F$61:$Q$61)</f>
        <v>1715356.6179999998</v>
      </c>
      <c r="D27" s="8">
        <f>SUM('J.1'!$R$61:$AC$61)</f>
        <v>796807.4000000001</v>
      </c>
      <c r="E27" s="8">
        <f>SUM('J.1'!$AD$61:$AO$61)</f>
        <v>-1357429.03</v>
      </c>
    </row>
    <row r="28" spans="2:5" ht="12.75">
      <c r="B28" s="7" t="s">
        <v>46</v>
      </c>
      <c r="C28" s="9">
        <f>C27*C25</f>
        <v>169888.91944671998</v>
      </c>
      <c r="D28" s="9">
        <f>D27*D25</f>
        <v>78915.80489600002</v>
      </c>
      <c r="E28" s="9">
        <f>E27*E25</f>
        <v>-153579.5204542</v>
      </c>
    </row>
    <row r="29" spans="1:5" ht="12.75">
      <c r="A29" s="27" t="s">
        <v>32</v>
      </c>
      <c r="B29" s="28" t="s">
        <v>37</v>
      </c>
      <c r="C29" s="31">
        <f>C26+C28</f>
        <v>6315077.503424347</v>
      </c>
      <c r="D29" s="31">
        <f>D26+D28</f>
        <v>6495601.316647865</v>
      </c>
      <c r="E29" s="31">
        <f>E26+E28</f>
        <v>7326814.257339157</v>
      </c>
    </row>
    <row r="30" spans="2:7" ht="12.75">
      <c r="B30" s="7" t="s">
        <v>77</v>
      </c>
      <c r="G30" t="s">
        <v>202</v>
      </c>
    </row>
    <row r="31" ht="12.75">
      <c r="G31" t="s">
        <v>78</v>
      </c>
    </row>
    <row r="32" spans="2:10" ht="12.75">
      <c r="B32" s="7" t="s">
        <v>40</v>
      </c>
      <c r="C32" s="8">
        <f>SUM('J.1'!$F$17:$Q$17)</f>
        <v>7890572</v>
      </c>
      <c r="D32" s="8">
        <f>SUM('J.1'!$R$17:$AC$17)</f>
        <v>6932583</v>
      </c>
      <c r="E32" s="8">
        <f>SUM('J.1'!$AD$17:$AO$17)</f>
        <v>6296115</v>
      </c>
      <c r="G32">
        <v>2006</v>
      </c>
      <c r="H32">
        <v>2007</v>
      </c>
      <c r="I32">
        <v>2008</v>
      </c>
      <c r="J32" t="s">
        <v>80</v>
      </c>
    </row>
    <row r="33" spans="2:10" ht="12.75">
      <c r="B33" s="7" t="s">
        <v>53</v>
      </c>
      <c r="C33" s="2">
        <f>176145*7890572/7105806-4598</f>
        <v>191000.47326819788</v>
      </c>
      <c r="D33" s="2">
        <f>170361*6932583/6266840</f>
        <v>188458.89993409757</v>
      </c>
      <c r="E33" s="2">
        <f>188883*6296115/6498849</f>
        <v>182990.72490297898</v>
      </c>
      <c r="G33">
        <f>500*$C$39</f>
        <v>191000</v>
      </c>
      <c r="H33">
        <f>500*$D$39</f>
        <v>189000</v>
      </c>
      <c r="I33">
        <f>500*$D$39</f>
        <v>189000</v>
      </c>
      <c r="J33" s="3">
        <f>C33-G33</f>
        <v>0.4732681978784967</v>
      </c>
    </row>
    <row r="34" spans="2:10" ht="12.75">
      <c r="B34" s="7" t="s">
        <v>54</v>
      </c>
      <c r="C34" s="2">
        <f>176000*7890572/7105806-4437</f>
        <v>191000.45945217193</v>
      </c>
      <c r="D34" s="2">
        <f>168477*6932583/6266840</f>
        <v>186374.75762760817</v>
      </c>
      <c r="E34" s="2">
        <f>186787*6296115/6498849</f>
        <v>180960.11039877986</v>
      </c>
      <c r="G34">
        <f>500*$C$39</f>
        <v>191000</v>
      </c>
      <c r="H34">
        <f>500*$D$39</f>
        <v>189000</v>
      </c>
      <c r="I34">
        <f>500*$D$39</f>
        <v>189000</v>
      </c>
      <c r="J34" s="3">
        <f>C34-G34</f>
        <v>0.45945217192638665</v>
      </c>
    </row>
    <row r="35" spans="2:10" ht="12.75">
      <c r="B35" s="7" t="s">
        <v>55</v>
      </c>
      <c r="C35" s="2">
        <f>2961902*7890572/7105806+4598+4437</f>
        <v>3298049.7842403804</v>
      </c>
      <c r="D35" s="2">
        <f>2762785*6932583/6266840</f>
        <v>3056282.9629693753</v>
      </c>
      <c r="E35" s="2">
        <f>2972339*6296115/6498849</f>
        <v>2879615.7847312656</v>
      </c>
      <c r="G35">
        <f>9000*$C$39</f>
        <v>3438000</v>
      </c>
      <c r="H35">
        <f>9000*$D$39</f>
        <v>3402000</v>
      </c>
      <c r="I35">
        <f>9000*$D$39</f>
        <v>3402000</v>
      </c>
      <c r="J35" s="3">
        <f>C35-G35</f>
        <v>-139950.2157596196</v>
      </c>
    </row>
    <row r="36" spans="2:10" ht="12.75">
      <c r="B36" s="7" t="s">
        <v>56</v>
      </c>
      <c r="C36" s="2">
        <f>2393633*7890572/7105806</f>
        <v>2657986.0930731855</v>
      </c>
      <c r="D36" s="2">
        <f>2034760*6932583/6266840</f>
        <v>2250917.940314417</v>
      </c>
      <c r="E36" s="2">
        <f>2120520*6296115/6498849</f>
        <v>2054369.5937234424</v>
      </c>
      <c r="G36">
        <f>15000*$C$39</f>
        <v>5730000</v>
      </c>
      <c r="H36">
        <f>15000*$D$39</f>
        <v>5670000</v>
      </c>
      <c r="I36">
        <f>15000*$D$39</f>
        <v>5670000</v>
      </c>
      <c r="J36" s="3">
        <f>C36-G36</f>
        <v>-3072013.9069268145</v>
      </c>
    </row>
    <row r="37" spans="2:5" ht="12.75">
      <c r="B37" s="7" t="s">
        <v>57</v>
      </c>
      <c r="C37" s="2">
        <f>1398126*7890572/7105806</f>
        <v>1552535.1899660644</v>
      </c>
      <c r="D37" s="2">
        <f>1130457*6932583/6266840</f>
        <v>1250548.439154502</v>
      </c>
      <c r="E37" s="2">
        <f>1030320*6296115/6498849</f>
        <v>998178.7862435332</v>
      </c>
    </row>
    <row r="38" spans="2:5" ht="12.75">
      <c r="B38" s="7" t="s">
        <v>41</v>
      </c>
      <c r="C38" s="8">
        <f>SUM('J.1'!$F$35:$Q$35)</f>
        <v>-265306</v>
      </c>
      <c r="D38" s="8">
        <f>SUM('J.1'!$R$35:$AC$35)</f>
        <v>24686</v>
      </c>
      <c r="E38" s="8">
        <f>SUM('J.1'!$AD$35:$AO$35)</f>
        <v>51740</v>
      </c>
    </row>
    <row r="39" spans="2:5" ht="12.75">
      <c r="B39" s="7" t="s">
        <v>42</v>
      </c>
      <c r="C39" s="19">
        <v>382</v>
      </c>
      <c r="D39" s="19">
        <v>378</v>
      </c>
      <c r="E39" s="20">
        <f>317+60+4</f>
        <v>381</v>
      </c>
    </row>
    <row r="40" spans="2:5" ht="12.75">
      <c r="B40" s="7" t="s">
        <v>50</v>
      </c>
      <c r="C40" s="5">
        <f>C42*500</f>
        <v>106.41000000000001</v>
      </c>
      <c r="D40" s="5">
        <f>D42*500</f>
        <v>106.41000000000001</v>
      </c>
      <c r="E40" s="5">
        <f>E42*500</f>
        <v>116.045</v>
      </c>
    </row>
    <row r="41" spans="2:4" ht="12.75">
      <c r="B41" s="7" t="s">
        <v>44</v>
      </c>
      <c r="D41" s="7"/>
    </row>
    <row r="42" spans="2:5" ht="12.75">
      <c r="B42" s="7" t="s">
        <v>47</v>
      </c>
      <c r="C42" s="18">
        <v>0.21282</v>
      </c>
      <c r="D42" s="18">
        <v>0.21282</v>
      </c>
      <c r="E42" s="18">
        <v>0.23209</v>
      </c>
    </row>
    <row r="43" spans="2:5" ht="12.75">
      <c r="B43" s="7" t="s">
        <v>48</v>
      </c>
      <c r="C43" s="18">
        <v>0.16452</v>
      </c>
      <c r="D43" s="18">
        <v>0.16452</v>
      </c>
      <c r="E43" s="18">
        <v>0.17955</v>
      </c>
    </row>
    <row r="44" spans="2:5" ht="12.75">
      <c r="B44" s="7" t="s">
        <v>49</v>
      </c>
      <c r="C44" s="18">
        <v>0.10184</v>
      </c>
      <c r="D44" s="18">
        <v>0.10184</v>
      </c>
      <c r="E44" s="21">
        <v>0.1154</v>
      </c>
    </row>
    <row r="45" spans="2:5" ht="12.75">
      <c r="B45" s="7" t="s">
        <v>51</v>
      </c>
      <c r="C45" s="18">
        <v>0.06211</v>
      </c>
      <c r="D45" s="18">
        <v>0.06211</v>
      </c>
      <c r="E45" s="18">
        <v>0.07511</v>
      </c>
    </row>
    <row r="46" spans="2:5" ht="12.75">
      <c r="B46" s="7" t="s">
        <v>52</v>
      </c>
      <c r="C46" s="18">
        <v>0.05126</v>
      </c>
      <c r="D46" s="18">
        <v>0.05126</v>
      </c>
      <c r="E46" s="21">
        <v>0.06409</v>
      </c>
    </row>
    <row r="47" spans="1:5" ht="12.75">
      <c r="A47" s="27" t="s">
        <v>33</v>
      </c>
      <c r="B47" s="28" t="s">
        <v>38</v>
      </c>
      <c r="C47" s="32">
        <f>C39*C40+C34*C43+C35*C44+C36*C45+(C37+C38)*C46</f>
        <v>639016.2901345476</v>
      </c>
      <c r="D47" s="32">
        <f>D39*D40+D34*D43+D35*D44+D36*D45+(D37+D38)*D46</f>
        <v>587310.2426976835</v>
      </c>
      <c r="E47" s="32">
        <f>E39*E40+E34*E43+E35*E44+E36*E45+(E37+E38)*E46</f>
        <v>630605.1895750049</v>
      </c>
    </row>
    <row r="48" spans="2:5" ht="12.75">
      <c r="B48" s="7" t="s">
        <v>45</v>
      </c>
      <c r="C48" s="8">
        <f>SUM('J.1'!$F$65:$Q$65)</f>
        <v>0</v>
      </c>
      <c r="D48" s="8">
        <f>SUM('J.1'!$R$65:$AC$65)</f>
        <v>0</v>
      </c>
      <c r="E48" s="8">
        <f>SUM('J.1'!$AD$65:$AO$65)</f>
        <v>0</v>
      </c>
    </row>
    <row r="49" spans="2:5" ht="12.75">
      <c r="B49" s="7" t="s">
        <v>46</v>
      </c>
      <c r="C49" s="9">
        <f>C48*C46</f>
        <v>0</v>
      </c>
      <c r="D49" s="9">
        <f>D48*D46</f>
        <v>0</v>
      </c>
      <c r="E49" s="9">
        <f>E48*E46</f>
        <v>0</v>
      </c>
    </row>
    <row r="50" spans="1:5" ht="12.75">
      <c r="A50" s="27" t="s">
        <v>33</v>
      </c>
      <c r="B50" s="28" t="s">
        <v>37</v>
      </c>
      <c r="C50" s="31">
        <f>C47+C49</f>
        <v>639016.2901345476</v>
      </c>
      <c r="D50" s="31">
        <f>D47+D49</f>
        <v>587310.2426976835</v>
      </c>
      <c r="E50" s="31">
        <f>E47+E49</f>
        <v>630605.1895750049</v>
      </c>
    </row>
    <row r="51" ht="12.75">
      <c r="B51" s="7" t="s">
        <v>77</v>
      </c>
    </row>
    <row r="52" ht="12.75">
      <c r="G52" t="s">
        <v>82</v>
      </c>
    </row>
    <row r="53" spans="2:12" ht="12.75">
      <c r="B53" s="7" t="s">
        <v>40</v>
      </c>
      <c r="C53" s="8">
        <f>SUM('J.1'!$F$18:$Q$18)</f>
        <v>644022</v>
      </c>
      <c r="D53" s="8">
        <f>SUM('J.1'!$R$18:$AC$18)</f>
        <v>643460</v>
      </c>
      <c r="E53" s="8">
        <f>SUM('J.1'!$AD$18:$AO$18)</f>
        <v>626691</v>
      </c>
      <c r="H53">
        <v>2006</v>
      </c>
      <c r="I53" t="s">
        <v>47</v>
      </c>
      <c r="J53" t="s">
        <v>48</v>
      </c>
      <c r="K53" t="s">
        <v>49</v>
      </c>
      <c r="L53" t="s">
        <v>51</v>
      </c>
    </row>
    <row r="54" spans="2:12" ht="12.75">
      <c r="B54" s="7" t="s">
        <v>53</v>
      </c>
      <c r="C54" s="2">
        <v>120000</v>
      </c>
      <c r="D54" s="2">
        <v>120000</v>
      </c>
      <c r="E54" s="2">
        <v>120000</v>
      </c>
      <c r="G54" t="s">
        <v>58</v>
      </c>
      <c r="H54">
        <v>79033</v>
      </c>
      <c r="I54">
        <f>10000</f>
        <v>10000</v>
      </c>
      <c r="J54">
        <v>15000</v>
      </c>
      <c r="K54">
        <v>25000</v>
      </c>
      <c r="L54">
        <f>H54-50000</f>
        <v>29033</v>
      </c>
    </row>
    <row r="55" spans="2:12" ht="12.75">
      <c r="B55" s="7" t="s">
        <v>54</v>
      </c>
      <c r="C55" s="2">
        <v>179316</v>
      </c>
      <c r="D55" s="2">
        <v>177511</v>
      </c>
      <c r="E55" s="2">
        <v>177754</v>
      </c>
      <c r="G55" t="s">
        <v>59</v>
      </c>
      <c r="H55">
        <v>73746</v>
      </c>
      <c r="I55">
        <f>10000</f>
        <v>10000</v>
      </c>
      <c r="J55">
        <v>15000</v>
      </c>
      <c r="K55">
        <v>25000</v>
      </c>
      <c r="L55">
        <f>H55-50000</f>
        <v>23746</v>
      </c>
    </row>
    <row r="56" spans="2:12" ht="12.75">
      <c r="B56" s="7" t="s">
        <v>55</v>
      </c>
      <c r="C56" s="2">
        <v>210848</v>
      </c>
      <c r="D56" s="2">
        <v>209152</v>
      </c>
      <c r="E56" s="2">
        <v>202163</v>
      </c>
      <c r="G56" t="s">
        <v>60</v>
      </c>
      <c r="H56">
        <v>75280</v>
      </c>
      <c r="I56">
        <f>10000</f>
        <v>10000</v>
      </c>
      <c r="J56">
        <v>15000</v>
      </c>
      <c r="K56">
        <v>25000</v>
      </c>
      <c r="L56">
        <f>H56-50000</f>
        <v>25280</v>
      </c>
    </row>
    <row r="57" spans="2:12" ht="12.75">
      <c r="B57" s="7" t="s">
        <v>56</v>
      </c>
      <c r="C57" s="2">
        <v>133858</v>
      </c>
      <c r="D57" s="2">
        <v>136797</v>
      </c>
      <c r="E57" s="2">
        <v>126774</v>
      </c>
      <c r="G57" t="s">
        <v>61</v>
      </c>
      <c r="H57">
        <v>67227</v>
      </c>
      <c r="I57">
        <f>10000</f>
        <v>10000</v>
      </c>
      <c r="J57">
        <v>15000</v>
      </c>
      <c r="K57">
        <v>25000</v>
      </c>
      <c r="L57">
        <f>H57-50000</f>
        <v>17227</v>
      </c>
    </row>
    <row r="58" spans="2:12" ht="12.75">
      <c r="B58" s="7" t="s">
        <v>41</v>
      </c>
      <c r="C58" s="8">
        <f>SUM('J.1'!$F$36:$Q$36)</f>
        <v>0</v>
      </c>
      <c r="D58" s="8">
        <f>SUM('J.1'!$R$36:$AC$36)</f>
        <v>0</v>
      </c>
      <c r="E58" s="8">
        <f>SUM('J.1'!$AD$36:$AO$36)</f>
        <v>0</v>
      </c>
      <c r="G58" t="s">
        <v>62</v>
      </c>
      <c r="H58">
        <v>56865</v>
      </c>
      <c r="I58">
        <f>10000</f>
        <v>10000</v>
      </c>
      <c r="J58">
        <v>15000</v>
      </c>
      <c r="K58">
        <v>25000</v>
      </c>
      <c r="L58">
        <f>H58-50000</f>
        <v>6865</v>
      </c>
    </row>
    <row r="59" spans="2:11" ht="12.75">
      <c r="B59" s="7" t="s">
        <v>42</v>
      </c>
      <c r="C59" s="19">
        <v>12</v>
      </c>
      <c r="D59" s="19">
        <v>12</v>
      </c>
      <c r="E59" s="20">
        <v>12</v>
      </c>
      <c r="G59" t="s">
        <v>63</v>
      </c>
      <c r="H59">
        <v>40563</v>
      </c>
      <c r="I59">
        <f>10000</f>
        <v>10000</v>
      </c>
      <c r="J59">
        <v>15000</v>
      </c>
      <c r="K59">
        <f>H59-25000</f>
        <v>15563</v>
      </c>
    </row>
    <row r="60" spans="2:11" ht="12.75">
      <c r="B60" s="7" t="s">
        <v>50</v>
      </c>
      <c r="C60" s="5">
        <v>0</v>
      </c>
      <c r="D60" s="5">
        <v>0</v>
      </c>
      <c r="E60" s="5">
        <v>0</v>
      </c>
      <c r="G60" t="s">
        <v>64</v>
      </c>
      <c r="H60">
        <v>31401</v>
      </c>
      <c r="I60">
        <f>10000</f>
        <v>10000</v>
      </c>
      <c r="J60">
        <v>15000</v>
      </c>
      <c r="K60">
        <f>H60-25000</f>
        <v>6401</v>
      </c>
    </row>
    <row r="61" spans="2:10" ht="12.75">
      <c r="B61" s="7" t="s">
        <v>44</v>
      </c>
      <c r="D61" s="7"/>
      <c r="G61" t="s">
        <v>65</v>
      </c>
      <c r="H61">
        <v>24316</v>
      </c>
      <c r="I61">
        <f>10000</f>
        <v>10000</v>
      </c>
      <c r="J61">
        <f>H61-I61</f>
        <v>14316</v>
      </c>
    </row>
    <row r="62" spans="2:11" ht="12.75">
      <c r="B62" s="7" t="s">
        <v>47</v>
      </c>
      <c r="C62" s="18">
        <v>0.10871</v>
      </c>
      <c r="D62" s="18">
        <v>0.10871</v>
      </c>
      <c r="E62" s="18">
        <v>0.12227</v>
      </c>
      <c r="G62" t="s">
        <v>66</v>
      </c>
      <c r="H62">
        <v>26942</v>
      </c>
      <c r="I62">
        <f>10000</f>
        <v>10000</v>
      </c>
      <c r="J62">
        <v>15000</v>
      </c>
      <c r="K62">
        <f>H62-25000</f>
        <v>1942</v>
      </c>
    </row>
    <row r="63" spans="2:11" ht="12.75">
      <c r="B63" s="7" t="s">
        <v>48</v>
      </c>
      <c r="C63" s="18">
        <v>0.06974</v>
      </c>
      <c r="D63" s="18">
        <v>0.06974</v>
      </c>
      <c r="E63" s="18">
        <v>0.08273</v>
      </c>
      <c r="G63" t="s">
        <v>67</v>
      </c>
      <c r="H63">
        <v>36942</v>
      </c>
      <c r="I63">
        <f>10000</f>
        <v>10000</v>
      </c>
      <c r="J63">
        <v>15000</v>
      </c>
      <c r="K63">
        <f>H63-25000</f>
        <v>11942</v>
      </c>
    </row>
    <row r="64" spans="2:12" ht="12.75">
      <c r="B64" s="7" t="s">
        <v>49</v>
      </c>
      <c r="C64" s="18">
        <v>0.06017</v>
      </c>
      <c r="D64" s="18">
        <v>0.06017</v>
      </c>
      <c r="E64" s="18">
        <v>0.07302</v>
      </c>
      <c r="G64" t="s">
        <v>68</v>
      </c>
      <c r="H64">
        <v>50798</v>
      </c>
      <c r="I64">
        <f>10000</f>
        <v>10000</v>
      </c>
      <c r="J64">
        <v>15000</v>
      </c>
      <c r="K64">
        <v>25000</v>
      </c>
      <c r="L64">
        <f>H64-50000</f>
        <v>798</v>
      </c>
    </row>
    <row r="65" spans="2:12" ht="12.75">
      <c r="B65" s="7" t="s">
        <v>51</v>
      </c>
      <c r="C65" s="18">
        <v>0.05702</v>
      </c>
      <c r="D65" s="18">
        <v>0.05702</v>
      </c>
      <c r="E65" s="18">
        <v>0.06982</v>
      </c>
      <c r="G65" t="s">
        <v>69</v>
      </c>
      <c r="H65">
        <v>80909</v>
      </c>
      <c r="I65">
        <f>10000</f>
        <v>10000</v>
      </c>
      <c r="J65">
        <v>15000</v>
      </c>
      <c r="K65">
        <v>25000</v>
      </c>
      <c r="L65">
        <f>H65-50000</f>
        <v>30909</v>
      </c>
    </row>
    <row r="66" spans="1:12" ht="12.75">
      <c r="A66" s="27" t="s">
        <v>34</v>
      </c>
      <c r="B66" s="28" t="s">
        <v>38</v>
      </c>
      <c r="C66" s="32">
        <f>C54*C62+C55*C63+C56*C64+C57*C65</f>
        <v>45870.00516</v>
      </c>
      <c r="D66" s="32">
        <f>D54*D62+D55*D63+D56*D64+D57*D65</f>
        <v>45809.65792</v>
      </c>
      <c r="E66" s="32">
        <f>E54*E62+E55*E63+E56*E64+E57*E65</f>
        <v>52991.29136</v>
      </c>
      <c r="H66" s="13">
        <f>SUM(H54:H65)</f>
        <v>644022</v>
      </c>
      <c r="I66" s="13">
        <f>SUM(I54:I65)</f>
        <v>120000</v>
      </c>
      <c r="J66" s="13">
        <f>SUM(J54:J65)</f>
        <v>179316</v>
      </c>
      <c r="K66" s="13">
        <f>SUM(K54:K65)</f>
        <v>210848</v>
      </c>
      <c r="L66" s="13">
        <f>SUM(L54:L65)</f>
        <v>133858</v>
      </c>
    </row>
    <row r="67" spans="2:5" ht="12.75">
      <c r="B67" s="7" t="s">
        <v>45</v>
      </c>
      <c r="C67" s="8">
        <f>SUM('J.1'!$F$66:$Q$66)</f>
        <v>0</v>
      </c>
      <c r="D67" s="8">
        <f>SUM('J.1'!$R$66:$AC$66)</f>
        <v>0</v>
      </c>
      <c r="E67" s="8">
        <f>SUM('J.1'!$AD$66:$AO$66)</f>
        <v>0</v>
      </c>
    </row>
    <row r="68" spans="2:5" ht="12.75">
      <c r="B68" s="7" t="s">
        <v>46</v>
      </c>
      <c r="C68" s="5">
        <v>0</v>
      </c>
      <c r="D68" s="5">
        <v>0</v>
      </c>
      <c r="E68" s="5">
        <v>0</v>
      </c>
    </row>
    <row r="69" spans="1:12" ht="12.75">
      <c r="A69" s="27" t="s">
        <v>34</v>
      </c>
      <c r="B69" s="28" t="s">
        <v>37</v>
      </c>
      <c r="C69" s="33">
        <f>C66+C68</f>
        <v>45870.00516</v>
      </c>
      <c r="D69" s="33">
        <f>D66+D68</f>
        <v>45809.65792</v>
      </c>
      <c r="E69" s="33">
        <f>E66+E68</f>
        <v>52991.29136</v>
      </c>
      <c r="H69">
        <v>2007</v>
      </c>
      <c r="I69" t="s">
        <v>47</v>
      </c>
      <c r="J69" t="s">
        <v>48</v>
      </c>
      <c r="K69" t="s">
        <v>49</v>
      </c>
      <c r="L69" t="s">
        <v>51</v>
      </c>
    </row>
    <row r="70" spans="7:12" ht="12.75">
      <c r="G70" t="s">
        <v>58</v>
      </c>
      <c r="H70">
        <v>75087</v>
      </c>
      <c r="I70">
        <f>10000</f>
        <v>10000</v>
      </c>
      <c r="J70">
        <v>15000</v>
      </c>
      <c r="K70">
        <v>25000</v>
      </c>
      <c r="L70">
        <f>H70-50000</f>
        <v>25087</v>
      </c>
    </row>
    <row r="71" spans="7:12" ht="12.75">
      <c r="G71" t="s">
        <v>59</v>
      </c>
      <c r="H71">
        <v>84056</v>
      </c>
      <c r="I71">
        <f>10000</f>
        <v>10000</v>
      </c>
      <c r="J71">
        <v>15000</v>
      </c>
      <c r="K71">
        <v>25000</v>
      </c>
      <c r="L71">
        <f>H71-50000</f>
        <v>34056</v>
      </c>
    </row>
    <row r="72" spans="2:12" ht="12.75">
      <c r="B72" s="7" t="s">
        <v>40</v>
      </c>
      <c r="C72" s="8">
        <f>SUM('J.1'!$F$19:$Q$19)</f>
        <v>23483563</v>
      </c>
      <c r="D72" s="8">
        <f>SUM('J.1'!$R$19:$AC$19)</f>
        <v>24592790</v>
      </c>
      <c r="E72" s="8">
        <f>SUM('J.1'!$AD$19:$AO$19)</f>
        <v>25279476</v>
      </c>
      <c r="G72" t="s">
        <v>60</v>
      </c>
      <c r="H72">
        <v>76611</v>
      </c>
      <c r="I72">
        <f>10000</f>
        <v>10000</v>
      </c>
      <c r="J72">
        <v>15000</v>
      </c>
      <c r="K72">
        <v>25000</v>
      </c>
      <c r="L72">
        <f>H72-50000</f>
        <v>26611</v>
      </c>
    </row>
    <row r="73" spans="2:12" ht="12.75">
      <c r="B73" s="7" t="s">
        <v>41</v>
      </c>
      <c r="C73" s="8">
        <f>SUM('J.1'!$F$37:$Q$37)</f>
        <v>195320</v>
      </c>
      <c r="D73" s="8">
        <f>SUM('J.1'!$R$37:$AC$37)</f>
        <v>105028</v>
      </c>
      <c r="E73" s="8">
        <f>SUM('J.1'!$AD$37:$AO$37)</f>
        <v>382990</v>
      </c>
      <c r="G73" t="s">
        <v>61</v>
      </c>
      <c r="H73">
        <v>63911</v>
      </c>
      <c r="I73">
        <f>10000</f>
        <v>10000</v>
      </c>
      <c r="J73">
        <v>15000</v>
      </c>
      <c r="K73">
        <v>25000</v>
      </c>
      <c r="L73">
        <f>H73-50000</f>
        <v>13911</v>
      </c>
    </row>
    <row r="74" spans="2:12" ht="12.75">
      <c r="B74" s="7" t="s">
        <v>42</v>
      </c>
      <c r="C74" s="19">
        <v>316</v>
      </c>
      <c r="D74" s="19">
        <v>345</v>
      </c>
      <c r="E74" s="20">
        <v>382</v>
      </c>
      <c r="G74" t="s">
        <v>62</v>
      </c>
      <c r="H74">
        <v>50186</v>
      </c>
      <c r="I74">
        <f>10000</f>
        <v>10000</v>
      </c>
      <c r="J74">
        <v>15000</v>
      </c>
      <c r="K74">
        <v>25000</v>
      </c>
      <c r="L74">
        <f>H74-50000</f>
        <v>186</v>
      </c>
    </row>
    <row r="75" spans="2:11" ht="12.75">
      <c r="B75" s="7" t="s">
        <v>43</v>
      </c>
      <c r="C75" s="5">
        <v>200</v>
      </c>
      <c r="D75" s="5">
        <v>200</v>
      </c>
      <c r="E75" s="5">
        <v>200</v>
      </c>
      <c r="G75" t="s">
        <v>63</v>
      </c>
      <c r="H75">
        <v>44662</v>
      </c>
      <c r="I75">
        <f>10000</f>
        <v>10000</v>
      </c>
      <c r="J75">
        <v>15000</v>
      </c>
      <c r="K75">
        <f>H75-25000</f>
        <v>19662</v>
      </c>
    </row>
    <row r="76" spans="2:11" ht="12.75">
      <c r="B76" s="7" t="s">
        <v>70</v>
      </c>
      <c r="C76">
        <v>0.00056</v>
      </c>
      <c r="D76">
        <v>0.00056</v>
      </c>
      <c r="E76">
        <v>0.00056</v>
      </c>
      <c r="G76" t="s">
        <v>64</v>
      </c>
      <c r="H76">
        <v>32191</v>
      </c>
      <c r="I76">
        <f>10000</f>
        <v>10000</v>
      </c>
      <c r="J76">
        <v>15000</v>
      </c>
      <c r="K76">
        <f>H76-25000</f>
        <v>7191</v>
      </c>
    </row>
    <row r="77" spans="2:10" ht="12.75">
      <c r="B77" s="7" t="s">
        <v>83</v>
      </c>
      <c r="C77" s="10">
        <f>(0.0019*10+0.00187*2)/12</f>
        <v>0.001895</v>
      </c>
      <c r="D77" s="10">
        <f>(0.00187*10+0.00008*2)/12</f>
        <v>0.0015716666666666665</v>
      </c>
      <c r="E77">
        <f>0.00008</f>
        <v>8E-05</v>
      </c>
      <c r="G77" t="s">
        <v>65</v>
      </c>
      <c r="H77">
        <v>22511</v>
      </c>
      <c r="I77">
        <f>10000</f>
        <v>10000</v>
      </c>
      <c r="J77">
        <f>H77-I77</f>
        <v>12511</v>
      </c>
    </row>
    <row r="78" spans="2:11" ht="12.75">
      <c r="B78" s="7" t="s">
        <v>73</v>
      </c>
      <c r="C78" s="12">
        <f>(C72+C73)*(C76+C77)</f>
        <v>58131.657764999996</v>
      </c>
      <c r="D78" s="12">
        <f>(D72+D73)*(D76+D77)</f>
        <v>52647.51536999999</v>
      </c>
      <c r="E78" s="12">
        <f>(E72+E73)*(E76+E77)</f>
        <v>16423.97824</v>
      </c>
      <c r="G78" t="s">
        <v>66</v>
      </c>
      <c r="H78">
        <v>25947</v>
      </c>
      <c r="I78">
        <f>10000</f>
        <v>10000</v>
      </c>
      <c r="J78">
        <v>15000</v>
      </c>
      <c r="K78">
        <f>H78-25000</f>
        <v>947</v>
      </c>
    </row>
    <row r="79" spans="2:11" ht="12.75">
      <c r="B79" s="7" t="s">
        <v>71</v>
      </c>
      <c r="C79" s="12">
        <v>1659686.31</v>
      </c>
      <c r="D79" s="12">
        <v>1833959.08</v>
      </c>
      <c r="E79" s="12">
        <v>1902506.74</v>
      </c>
      <c r="G79" t="s">
        <v>67</v>
      </c>
      <c r="H79">
        <v>31352</v>
      </c>
      <c r="I79">
        <f>10000</f>
        <v>10000</v>
      </c>
      <c r="J79">
        <v>15000</v>
      </c>
      <c r="K79">
        <f>H79-25000</f>
        <v>6352</v>
      </c>
    </row>
    <row r="80" spans="1:12" ht="12.75">
      <c r="A80" s="14"/>
      <c r="B80" s="7" t="s">
        <v>72</v>
      </c>
      <c r="C80" s="12">
        <v>-21929</v>
      </c>
      <c r="D80" s="12">
        <v>-68004</v>
      </c>
      <c r="E80" s="12">
        <v>36678</v>
      </c>
      <c r="G80" t="s">
        <v>68</v>
      </c>
      <c r="H80">
        <v>56927</v>
      </c>
      <c r="I80">
        <f>10000</f>
        <v>10000</v>
      </c>
      <c r="J80">
        <v>15000</v>
      </c>
      <c r="K80">
        <v>25000</v>
      </c>
      <c r="L80">
        <f>H80-50000</f>
        <v>6927</v>
      </c>
    </row>
    <row r="81" spans="2:12" ht="12.75">
      <c r="B81" s="25" t="s">
        <v>84</v>
      </c>
      <c r="C81" s="26">
        <v>0.956533</v>
      </c>
      <c r="D81" s="26">
        <v>0.956533</v>
      </c>
      <c r="E81" s="26">
        <v>0.956922</v>
      </c>
      <c r="G81" t="s">
        <v>69</v>
      </c>
      <c r="H81">
        <v>80019</v>
      </c>
      <c r="I81">
        <f>10000</f>
        <v>10000</v>
      </c>
      <c r="J81">
        <v>15000</v>
      </c>
      <c r="K81">
        <v>25000</v>
      </c>
      <c r="L81">
        <f>H81-50000</f>
        <v>30019</v>
      </c>
    </row>
    <row r="82" spans="2:12" ht="12.75">
      <c r="B82" s="7"/>
      <c r="C82" s="24"/>
      <c r="D82" s="24"/>
      <c r="E82" s="24"/>
      <c r="H82" s="13">
        <f>SUM(H70:H81)</f>
        <v>643460</v>
      </c>
      <c r="I82" s="13">
        <f>SUM(I70:I81)</f>
        <v>120000</v>
      </c>
      <c r="J82" s="13">
        <f>SUM(J70:J81)</f>
        <v>177511</v>
      </c>
      <c r="K82" s="13">
        <f>SUM(K70:K81)</f>
        <v>209152</v>
      </c>
      <c r="L82" s="13">
        <f>SUM(L70:L81)</f>
        <v>136797</v>
      </c>
    </row>
    <row r="83" spans="1:5" ht="12.75">
      <c r="A83" s="27">
        <v>146</v>
      </c>
      <c r="B83" s="28" t="s">
        <v>38</v>
      </c>
      <c r="C83" s="31">
        <f>(C79+C80-C78)*C81</f>
        <v>1510964.0640093014</v>
      </c>
      <c r="D83" s="31">
        <f>(D79+D80-D78)*D81</f>
        <v>1638835.224718228</v>
      </c>
      <c r="E83" s="31">
        <f>(E79+E80-E78)*E81</f>
        <v>1839932.0736649027</v>
      </c>
    </row>
    <row r="84" spans="2:5" ht="12.75">
      <c r="B84" s="7" t="s">
        <v>45</v>
      </c>
      <c r="C84" s="8">
        <f>SUM('J.1'!$F$67:$Q$67)</f>
        <v>0</v>
      </c>
      <c r="D84" s="8">
        <f>SUM('J.1'!$R$67:$AC$67)</f>
        <v>0</v>
      </c>
      <c r="E84" s="8">
        <f>SUM('J.1'!$AD$67:$AO$67)</f>
        <v>0</v>
      </c>
    </row>
    <row r="85" spans="2:12" ht="12.75">
      <c r="B85" s="7" t="s">
        <v>46</v>
      </c>
      <c r="C85" s="5">
        <v>0</v>
      </c>
      <c r="D85" s="5">
        <v>0</v>
      </c>
      <c r="E85" s="5">
        <v>0</v>
      </c>
      <c r="H85">
        <v>2008</v>
      </c>
      <c r="I85" t="s">
        <v>47</v>
      </c>
      <c r="J85" t="s">
        <v>48</v>
      </c>
      <c r="K85" t="s">
        <v>49</v>
      </c>
      <c r="L85" t="s">
        <v>51</v>
      </c>
    </row>
    <row r="86" spans="1:12" ht="12.75">
      <c r="A86" s="27">
        <v>146</v>
      </c>
      <c r="B86" s="28" t="s">
        <v>37</v>
      </c>
      <c r="C86" s="34">
        <f>C83+C85</f>
        <v>1510964.0640093014</v>
      </c>
      <c r="D86" s="34">
        <f>D83+D85</f>
        <v>1638835.224718228</v>
      </c>
      <c r="E86" s="34">
        <f>E83+E85</f>
        <v>1839932.0736649027</v>
      </c>
      <c r="G86" t="s">
        <v>58</v>
      </c>
      <c r="H86">
        <v>73637</v>
      </c>
      <c r="I86">
        <f>10000</f>
        <v>10000</v>
      </c>
      <c r="J86">
        <v>15000</v>
      </c>
      <c r="K86">
        <v>25000</v>
      </c>
      <c r="L86">
        <f>H86-50000</f>
        <v>23637</v>
      </c>
    </row>
    <row r="87" spans="7:12" ht="12.75">
      <c r="G87" t="s">
        <v>59</v>
      </c>
      <c r="H87">
        <v>93723</v>
      </c>
      <c r="I87">
        <f>10000</f>
        <v>10000</v>
      </c>
      <c r="J87">
        <v>15000</v>
      </c>
      <c r="K87">
        <v>25000</v>
      </c>
      <c r="L87">
        <f>H87-50000</f>
        <v>43723</v>
      </c>
    </row>
    <row r="88" spans="1:12" ht="12.75">
      <c r="A88" s="7" t="s">
        <v>79</v>
      </c>
      <c r="G88" t="s">
        <v>60</v>
      </c>
      <c r="H88">
        <v>74260</v>
      </c>
      <c r="I88">
        <f>10000</f>
        <v>10000</v>
      </c>
      <c r="J88">
        <v>15000</v>
      </c>
      <c r="K88">
        <v>25000</v>
      </c>
      <c r="L88">
        <f>H88-50000</f>
        <v>24260</v>
      </c>
    </row>
    <row r="89" spans="1:12" ht="12.75">
      <c r="A89" s="7"/>
      <c r="B89" t="s">
        <v>74</v>
      </c>
      <c r="C89" s="12">
        <v>53960.38</v>
      </c>
      <c r="D89" s="12">
        <v>46939.65</v>
      </c>
      <c r="E89" s="12">
        <v>45643.33</v>
      </c>
      <c r="G89" t="s">
        <v>61</v>
      </c>
      <c r="H89">
        <v>67610</v>
      </c>
      <c r="I89">
        <f>10000</f>
        <v>10000</v>
      </c>
      <c r="J89">
        <v>15000</v>
      </c>
      <c r="K89">
        <v>25000</v>
      </c>
      <c r="L89">
        <f>H89-50000</f>
        <v>17610</v>
      </c>
    </row>
    <row r="90" spans="2:12" ht="12.75">
      <c r="B90" t="s">
        <v>75</v>
      </c>
      <c r="C90" s="12">
        <v>1039821.77</v>
      </c>
      <c r="D90" s="12">
        <v>1067985.17</v>
      </c>
      <c r="E90" s="12">
        <v>1107074.97</v>
      </c>
      <c r="G90" t="s">
        <v>62</v>
      </c>
      <c r="H90">
        <v>56425</v>
      </c>
      <c r="I90">
        <f>10000</f>
        <v>10000</v>
      </c>
      <c r="J90">
        <v>15000</v>
      </c>
      <c r="K90">
        <v>25000</v>
      </c>
      <c r="L90">
        <f>H90-50000</f>
        <v>6425</v>
      </c>
    </row>
    <row r="91" spans="2:11" ht="12.75">
      <c r="B91" t="s">
        <v>76</v>
      </c>
      <c r="C91" s="12">
        <v>-57926</v>
      </c>
      <c r="D91" s="12">
        <v>-8962</v>
      </c>
      <c r="E91" s="12">
        <v>16520</v>
      </c>
      <c r="G91" t="s">
        <v>63</v>
      </c>
      <c r="H91">
        <v>39006</v>
      </c>
      <c r="I91">
        <f>10000</f>
        <v>10000</v>
      </c>
      <c r="J91">
        <v>15000</v>
      </c>
      <c r="K91">
        <f>H91-25000</f>
        <v>14006</v>
      </c>
    </row>
    <row r="92" spans="7:11" ht="12.75">
      <c r="G92" t="s">
        <v>64</v>
      </c>
      <c r="H92">
        <v>31997</v>
      </c>
      <c r="I92">
        <f>10000</f>
        <v>10000</v>
      </c>
      <c r="J92">
        <v>15000</v>
      </c>
      <c r="K92">
        <f>H92-25000</f>
        <v>6997</v>
      </c>
    </row>
    <row r="93" spans="1:10" ht="12.75">
      <c r="A93" s="27">
        <v>148</v>
      </c>
      <c r="B93" s="28" t="s">
        <v>38</v>
      </c>
      <c r="C93" s="31">
        <f>SUM(C89:C91)*C81</f>
        <v>990830.5907279499</v>
      </c>
      <c r="D93" s="31">
        <f>SUM(D89:D91)*D81</f>
        <v>1057889.9341030598</v>
      </c>
      <c r="E93" s="31">
        <f>SUM(E89:E91)*E81</f>
        <v>1118869.8525126001</v>
      </c>
      <c r="G93" t="s">
        <v>65</v>
      </c>
      <c r="H93">
        <v>22754</v>
      </c>
      <c r="I93">
        <f>10000</f>
        <v>10000</v>
      </c>
      <c r="J93">
        <f>H93-I93</f>
        <v>12754</v>
      </c>
    </row>
    <row r="94" spans="7:11" ht="12.75">
      <c r="G94" t="s">
        <v>66</v>
      </c>
      <c r="H94">
        <v>26857</v>
      </c>
      <c r="I94">
        <f>10000</f>
        <v>10000</v>
      </c>
      <c r="J94">
        <v>15000</v>
      </c>
      <c r="K94">
        <f>H94-25000</f>
        <v>1857</v>
      </c>
    </row>
    <row r="95" spans="1:11" ht="12.75">
      <c r="A95" s="14"/>
      <c r="C95" s="6"/>
      <c r="D95" s="6"/>
      <c r="E95" s="6"/>
      <c r="G95" t="s">
        <v>67</v>
      </c>
      <c r="H95">
        <v>31848</v>
      </c>
      <c r="I95">
        <f>10000</f>
        <v>10000</v>
      </c>
      <c r="J95">
        <v>15000</v>
      </c>
      <c r="K95">
        <f>H95-25000</f>
        <v>6848</v>
      </c>
    </row>
    <row r="96" spans="4:11" ht="12.75">
      <c r="D96" s="6"/>
      <c r="E96" s="6"/>
      <c r="G96" t="s">
        <v>68</v>
      </c>
      <c r="H96">
        <v>47455</v>
      </c>
      <c r="I96">
        <f>10000</f>
        <v>10000</v>
      </c>
      <c r="J96">
        <v>15000</v>
      </c>
      <c r="K96">
        <f>H96-25000</f>
        <v>22455</v>
      </c>
    </row>
    <row r="97" spans="5:12" ht="12.75">
      <c r="E97" s="6"/>
      <c r="G97" t="s">
        <v>69</v>
      </c>
      <c r="H97">
        <v>61119</v>
      </c>
      <c r="I97">
        <f>10000</f>
        <v>10000</v>
      </c>
      <c r="J97">
        <v>15000</v>
      </c>
      <c r="K97">
        <v>25000</v>
      </c>
      <c r="L97">
        <f>H97-50000</f>
        <v>11119</v>
      </c>
    </row>
    <row r="98" spans="8:12" ht="12.75">
      <c r="H98" s="13">
        <f>SUM(H86:H97)</f>
        <v>626691</v>
      </c>
      <c r="I98" s="13">
        <f>SUM(I86:I97)</f>
        <v>120000</v>
      </c>
      <c r="J98" s="13">
        <f>SUM(J86:J97)</f>
        <v>177754</v>
      </c>
      <c r="K98" s="13">
        <f>SUM(K86:K97)</f>
        <v>202163</v>
      </c>
      <c r="L98" s="13">
        <f>SUM(L86:L97)</f>
        <v>126774</v>
      </c>
    </row>
  </sheetData>
  <printOptions/>
  <pageMargins left="0.75" right="0.75" top="1" bottom="1" header="0.5" footer="0.5"/>
  <pageSetup horizontalDpi="600" verticalDpi="600" orientation="portrait" scale="71" r:id="rId1"/>
  <headerFooter alignWithMargins="0">
    <oddHeader>&amp;C&amp;"Arial,Bold"&amp;12Exhibit J-2 Weather Normalization Margin Impact</oddHeader>
    <oddFooter>&amp;CPage &amp;P of &amp;N</oddFooter>
  </headerFooter>
  <rowBreaks count="1" manualBreakCount="1">
    <brk id="51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4" bestFit="1" customWidth="1"/>
    <col min="2" max="5" width="12.28125" style="0" customWidth="1"/>
    <col min="6" max="6" width="11.7109375" style="0" bestFit="1" customWidth="1"/>
    <col min="7" max="7" width="11.57421875" style="0" customWidth="1"/>
  </cols>
  <sheetData>
    <row r="1" spans="1:7" ht="13.5" thickTop="1">
      <c r="A1" s="240" t="s">
        <v>99</v>
      </c>
      <c r="B1" s="241"/>
      <c r="C1" s="241"/>
      <c r="D1" s="241"/>
      <c r="E1" s="241"/>
      <c r="F1" s="241"/>
      <c r="G1" s="242"/>
    </row>
    <row r="2" spans="1:7" ht="12.75">
      <c r="A2" s="247" t="s">
        <v>94</v>
      </c>
      <c r="B2" s="245">
        <v>2006</v>
      </c>
      <c r="C2" s="245"/>
      <c r="D2" s="245">
        <v>2007</v>
      </c>
      <c r="E2" s="245"/>
      <c r="F2" s="245">
        <v>2008</v>
      </c>
      <c r="G2" s="246"/>
    </row>
    <row r="3" spans="1:7" s="63" customFormat="1" ht="38.25">
      <c r="A3" s="247"/>
      <c r="B3" s="61" t="s">
        <v>100</v>
      </c>
      <c r="C3" s="61" t="s">
        <v>101</v>
      </c>
      <c r="D3" s="61" t="s">
        <v>100</v>
      </c>
      <c r="E3" s="61" t="s">
        <v>101</v>
      </c>
      <c r="F3" s="61" t="s">
        <v>100</v>
      </c>
      <c r="G3" s="62" t="s">
        <v>101</v>
      </c>
    </row>
    <row r="4" spans="1:7" ht="12.75">
      <c r="A4" s="64">
        <v>101</v>
      </c>
      <c r="B4" s="230">
        <f>'J.2'!C9</f>
        <v>31089857.8539065</v>
      </c>
      <c r="C4" s="230">
        <f>'J.2'!C12</f>
        <v>32286319.160931442</v>
      </c>
      <c r="D4" s="230">
        <f>'J.2'!D9</f>
        <v>31572651.207195997</v>
      </c>
      <c r="E4" s="230">
        <f>'J.2'!D12</f>
        <v>32122177.763567757</v>
      </c>
      <c r="F4" s="230">
        <f>'J.2'!E9</f>
        <v>36128982.565799996</v>
      </c>
      <c r="G4" s="231">
        <f>'J.2'!E12</f>
        <v>35116969.05050696</v>
      </c>
    </row>
    <row r="5" spans="1:7" ht="12.75">
      <c r="A5" s="65" t="s">
        <v>32</v>
      </c>
      <c r="B5" s="232">
        <f>'J.2'!C26</f>
        <v>6145188.583977628</v>
      </c>
      <c r="C5" s="232">
        <f>'J.2'!C29</f>
        <v>6315077.503424347</v>
      </c>
      <c r="D5" s="232">
        <f>'J.2'!D26</f>
        <v>6416685.511751865</v>
      </c>
      <c r="E5" s="232">
        <f>'J.2'!D29</f>
        <v>6495601.316647865</v>
      </c>
      <c r="F5" s="232">
        <f>'J.2'!E26</f>
        <v>7480393.777793357</v>
      </c>
      <c r="G5" s="233">
        <f>'J.2'!E29</f>
        <v>7326814.257339157</v>
      </c>
    </row>
    <row r="6" spans="1:7" ht="12.75">
      <c r="A6" s="64" t="s">
        <v>33</v>
      </c>
      <c r="B6" s="230">
        <f>'J.2'!C47</f>
        <v>639016.2901345476</v>
      </c>
      <c r="C6" s="230">
        <f>'J.2'!C50</f>
        <v>639016.2901345476</v>
      </c>
      <c r="D6" s="230">
        <f>'J.2'!D47</f>
        <v>587310.2426976835</v>
      </c>
      <c r="E6" s="230">
        <f>'J.2'!D50</f>
        <v>587310.2426976835</v>
      </c>
      <c r="F6" s="230">
        <f>'J.2'!E47</f>
        <v>630605.1895750049</v>
      </c>
      <c r="G6" s="231">
        <f>'J.2'!E50</f>
        <v>630605.1895750049</v>
      </c>
    </row>
    <row r="7" spans="1:7" ht="12.75">
      <c r="A7" s="65" t="s">
        <v>34</v>
      </c>
      <c r="B7" s="232">
        <f>'J.2'!C66</f>
        <v>45870.00516</v>
      </c>
      <c r="C7" s="232">
        <f>B7</f>
        <v>45870.00516</v>
      </c>
      <c r="D7" s="232">
        <f>'J.2'!D66</f>
        <v>45809.65792</v>
      </c>
      <c r="E7" s="232">
        <f>D7</f>
        <v>45809.65792</v>
      </c>
      <c r="F7" s="232">
        <f>'J.2'!E66</f>
        <v>52991.29136</v>
      </c>
      <c r="G7" s="233">
        <f>F7</f>
        <v>52991.29136</v>
      </c>
    </row>
    <row r="8" spans="1:7" ht="12.75">
      <c r="A8" s="64">
        <v>146</v>
      </c>
      <c r="B8" s="230">
        <f>'J.2'!C83</f>
        <v>1510964.0640093014</v>
      </c>
      <c r="C8" s="230">
        <f>B8</f>
        <v>1510964.0640093014</v>
      </c>
      <c r="D8" s="230">
        <f>'J.2'!D83</f>
        <v>1638835.224718228</v>
      </c>
      <c r="E8" s="230">
        <f>D8</f>
        <v>1638835.224718228</v>
      </c>
      <c r="F8" s="230">
        <f>'J.2'!E83</f>
        <v>1839932.0736649027</v>
      </c>
      <c r="G8" s="231">
        <f>F8</f>
        <v>1839932.0736649027</v>
      </c>
    </row>
    <row r="9" spans="1:7" ht="12.75">
      <c r="A9" s="65">
        <v>148</v>
      </c>
      <c r="B9" s="232">
        <f>'J.2'!C93</f>
        <v>990830.5907279499</v>
      </c>
      <c r="C9" s="232">
        <f>B9</f>
        <v>990830.5907279499</v>
      </c>
      <c r="D9" s="232">
        <f>'J.2'!D93</f>
        <v>1057889.9341030598</v>
      </c>
      <c r="E9" s="232">
        <f>D9</f>
        <v>1057889.9341030598</v>
      </c>
      <c r="F9" s="232">
        <f>'J.2'!E93</f>
        <v>1118869.8525126001</v>
      </c>
      <c r="G9" s="233">
        <f>F9</f>
        <v>1118869.8525126001</v>
      </c>
    </row>
    <row r="10" spans="1:7" ht="13.5" thickBot="1">
      <c r="A10" s="66" t="s">
        <v>13</v>
      </c>
      <c r="B10" s="234">
        <f aca="true" t="shared" si="0" ref="B10:G10">SUM(B4:B9)</f>
        <v>40421727.387915924</v>
      </c>
      <c r="C10" s="234">
        <f t="shared" si="0"/>
        <v>41788077.61438759</v>
      </c>
      <c r="D10" s="234">
        <f>SUM(D4:D9)</f>
        <v>41319181.77838684</v>
      </c>
      <c r="E10" s="234">
        <f t="shared" si="0"/>
        <v>41947624.13965459</v>
      </c>
      <c r="F10" s="234">
        <f>SUM(F4:F9)</f>
        <v>47251774.75070585</v>
      </c>
      <c r="G10" s="235">
        <f t="shared" si="0"/>
        <v>46086181.714958616</v>
      </c>
    </row>
    <row r="11" ht="13.5" thickTop="1"/>
  </sheetData>
  <mergeCells count="5">
    <mergeCell ref="A1:G1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B10" sqref="B10"/>
    </sheetView>
  </sheetViews>
  <sheetFormatPr defaultColWidth="9.140625" defaultRowHeight="12.75"/>
  <cols>
    <col min="1" max="1" width="42.7109375" style="0" customWidth="1"/>
    <col min="2" max="3" width="11.140625" style="0" customWidth="1"/>
    <col min="4" max="4" width="11.140625" style="0" bestFit="1" customWidth="1"/>
  </cols>
  <sheetData>
    <row r="1" ht="13.5" thickBot="1"/>
    <row r="2" spans="1:4" ht="13.5" thickTop="1">
      <c r="A2" s="240" t="s">
        <v>197</v>
      </c>
      <c r="B2" s="241"/>
      <c r="C2" s="241"/>
      <c r="D2" s="242"/>
    </row>
    <row r="3" spans="1:4" ht="12.75">
      <c r="A3" s="212"/>
      <c r="B3" s="213">
        <v>2006</v>
      </c>
      <c r="C3" s="213">
        <v>2007</v>
      </c>
      <c r="D3" s="214">
        <v>2008</v>
      </c>
    </row>
    <row r="4" spans="1:4" ht="12.75">
      <c r="A4" s="218" t="s">
        <v>191</v>
      </c>
      <c r="B4" s="54">
        <v>136404.25</v>
      </c>
      <c r="C4" s="54">
        <v>139482</v>
      </c>
      <c r="D4" s="58">
        <f>'J.1'!G105</f>
        <v>141883.33333333334</v>
      </c>
    </row>
    <row r="5" spans="1:4" ht="12.75">
      <c r="A5" s="219" t="s">
        <v>192</v>
      </c>
      <c r="B5" s="52">
        <v>124995.583333333</v>
      </c>
      <c r="C5" s="52">
        <v>127843.66666666699</v>
      </c>
      <c r="D5" s="59">
        <v>130071</v>
      </c>
    </row>
    <row r="6" spans="1:4" ht="13.5" thickBot="1">
      <c r="A6" s="220" t="s">
        <v>193</v>
      </c>
      <c r="B6" s="216">
        <f>B5/B4</f>
        <v>0.9163613548209312</v>
      </c>
      <c r="C6" s="216">
        <f>C5/C4</f>
        <v>0.9165603208060322</v>
      </c>
      <c r="D6" s="217">
        <f>D5/D4</f>
        <v>0.9167461529425583</v>
      </c>
    </row>
    <row r="7" ht="14.25" thickBot="1" thickTop="1"/>
    <row r="8" spans="1:4" ht="13.5" thickTop="1">
      <c r="A8" s="240" t="s">
        <v>198</v>
      </c>
      <c r="B8" s="241"/>
      <c r="C8" s="241"/>
      <c r="D8" s="242"/>
    </row>
    <row r="9" spans="1:4" ht="12.75">
      <c r="A9" s="212"/>
      <c r="B9" s="213">
        <v>2006</v>
      </c>
      <c r="C9" s="213">
        <v>2007</v>
      </c>
      <c r="D9" s="214">
        <v>2008</v>
      </c>
    </row>
    <row r="10" spans="1:4" ht="12.75">
      <c r="A10" s="218" t="s">
        <v>194</v>
      </c>
      <c r="B10" s="221">
        <f>'J.1'!C94</f>
        <v>113401760</v>
      </c>
      <c r="C10" s="221">
        <f>'J.1'!E94</f>
        <v>114857170</v>
      </c>
      <c r="D10" s="222">
        <f>'J.1'!G94</f>
        <v>124922190</v>
      </c>
    </row>
    <row r="11" spans="1:4" ht="12.75">
      <c r="A11" s="219" t="s">
        <v>195</v>
      </c>
      <c r="B11" s="223">
        <f>SUM('J.1'!F6:Q6)+SUM('J.1'!F24:Q24)</f>
        <v>95518967</v>
      </c>
      <c r="C11" s="223">
        <f>SUM('J.1'!R6:AC6)+SUM('J.1'!R24:AC24)</f>
        <v>96804941</v>
      </c>
      <c r="D11" s="224">
        <f>SUM('J.1'!AD6:AO6)+SUM('J.1'!AD24:AO24)</f>
        <v>105650505</v>
      </c>
    </row>
    <row r="12" spans="1:4" ht="13.5" thickBot="1">
      <c r="A12" s="220" t="s">
        <v>193</v>
      </c>
      <c r="B12" s="216">
        <f>B11/B10</f>
        <v>0.8423058601559623</v>
      </c>
      <c r="C12" s="216">
        <f>C11/C10</f>
        <v>0.8428288891324764</v>
      </c>
      <c r="D12" s="217">
        <f>D11/D10</f>
        <v>0.8457304903156116</v>
      </c>
    </row>
    <row r="13" ht="13.5" thickTop="1"/>
  </sheetData>
  <mergeCells count="2">
    <mergeCell ref="A2:D2"/>
    <mergeCell ref="A8:D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6"/>
  <sheetViews>
    <sheetView view="pageBreakPreview" zoomScale="60" workbookViewId="0" topLeftCell="A1">
      <selection activeCell="R34" sqref="R34"/>
    </sheetView>
  </sheetViews>
  <sheetFormatPr defaultColWidth="9.140625" defaultRowHeight="12.75"/>
  <cols>
    <col min="1" max="2" width="9.28125" style="0" bestFit="1" customWidth="1"/>
    <col min="3" max="3" width="20.57421875" style="0" bestFit="1" customWidth="1"/>
    <col min="4" max="4" width="14.140625" style="0" bestFit="1" customWidth="1"/>
    <col min="5" max="5" width="4.421875" style="0" bestFit="1" customWidth="1"/>
    <col min="6" max="6" width="9.28125" style="0" bestFit="1" customWidth="1"/>
    <col min="7" max="7" width="3.57421875" style="0" bestFit="1" customWidth="1"/>
    <col min="8" max="8" width="10.140625" style="0" bestFit="1" customWidth="1"/>
    <col min="9" max="9" width="3.8515625" style="0" bestFit="1" customWidth="1"/>
    <col min="10" max="11" width="10.140625" style="0" bestFit="1" customWidth="1"/>
    <col min="12" max="12" width="4.57421875" style="0" bestFit="1" customWidth="1"/>
    <col min="13" max="13" width="9.28125" style="0" bestFit="1" customWidth="1"/>
    <col min="14" max="14" width="7.28125" style="0" bestFit="1" customWidth="1"/>
    <col min="15" max="15" width="12.57421875" style="0" bestFit="1" customWidth="1"/>
    <col min="16" max="16" width="3.57421875" style="0" bestFit="1" customWidth="1"/>
    <col min="17" max="17" width="11.57421875" style="0" bestFit="1" customWidth="1"/>
    <col min="18" max="18" width="16.7109375" style="0" bestFit="1" customWidth="1"/>
    <col min="19" max="19" width="11.00390625" style="0" customWidth="1"/>
  </cols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5" spans="1:18" ht="12.75">
      <c r="A5" s="67" t="s">
        <v>105</v>
      </c>
      <c r="B5" s="68"/>
      <c r="C5" s="69"/>
      <c r="D5" s="70"/>
      <c r="E5" s="71"/>
      <c r="F5" s="72" t="s">
        <v>106</v>
      </c>
      <c r="G5" s="71"/>
      <c r="H5" s="72" t="s">
        <v>106</v>
      </c>
      <c r="I5" s="71"/>
      <c r="J5" s="72"/>
      <c r="K5" s="72" t="s">
        <v>106</v>
      </c>
      <c r="L5" s="72"/>
      <c r="M5" s="72" t="s">
        <v>106</v>
      </c>
      <c r="N5" s="71"/>
      <c r="O5" s="72" t="s">
        <v>106</v>
      </c>
      <c r="P5" s="73"/>
      <c r="Q5" s="74" t="s">
        <v>107</v>
      </c>
      <c r="R5" s="75"/>
    </row>
    <row r="6" spans="1:19" ht="12.75">
      <c r="A6" s="76" t="s">
        <v>108</v>
      </c>
      <c r="B6" s="77" t="s">
        <v>109</v>
      </c>
      <c r="C6" s="78" t="s">
        <v>110</v>
      </c>
      <c r="D6" s="79" t="s">
        <v>111</v>
      </c>
      <c r="E6" s="80"/>
      <c r="F6" s="81" t="s">
        <v>112</v>
      </c>
      <c r="G6" s="80"/>
      <c r="H6" s="81" t="s">
        <v>113</v>
      </c>
      <c r="I6" s="80"/>
      <c r="J6" s="82" t="s">
        <v>114</v>
      </c>
      <c r="K6" s="81" t="s">
        <v>115</v>
      </c>
      <c r="L6" s="81"/>
      <c r="M6" s="81" t="s">
        <v>116</v>
      </c>
      <c r="N6" s="80"/>
      <c r="O6" s="81" t="s">
        <v>117</v>
      </c>
      <c r="P6" s="83"/>
      <c r="Q6" s="84" t="s">
        <v>118</v>
      </c>
      <c r="R6" s="75" t="s">
        <v>119</v>
      </c>
      <c r="S6" t="s">
        <v>120</v>
      </c>
    </row>
    <row r="7" spans="1:18" ht="12.75">
      <c r="A7" s="85" t="s">
        <v>121</v>
      </c>
      <c r="B7" s="85"/>
      <c r="C7" s="86"/>
      <c r="D7" s="87"/>
      <c r="E7" s="86"/>
      <c r="F7" s="86"/>
      <c r="G7" s="86"/>
      <c r="H7" s="86"/>
      <c r="I7" s="86"/>
      <c r="J7" s="88"/>
      <c r="K7" s="86"/>
      <c r="L7" s="86"/>
      <c r="M7" s="86"/>
      <c r="N7" s="89"/>
      <c r="O7" s="4"/>
      <c r="P7" s="7"/>
      <c r="Q7" s="89"/>
      <c r="R7" s="75"/>
    </row>
    <row r="8" spans="1:19" ht="12.75">
      <c r="A8" s="90">
        <v>39753</v>
      </c>
      <c r="B8" s="91">
        <v>5.5</v>
      </c>
      <c r="C8" s="14" t="s">
        <v>122</v>
      </c>
      <c r="D8" s="92">
        <v>1.12076</v>
      </c>
      <c r="E8" s="4" t="s">
        <v>123</v>
      </c>
      <c r="F8" s="93">
        <v>-0.00839</v>
      </c>
      <c r="G8" s="94" t="s">
        <v>124</v>
      </c>
      <c r="H8" s="87">
        <v>-0.04653</v>
      </c>
      <c r="I8" s="86" t="s">
        <v>125</v>
      </c>
      <c r="J8" s="95">
        <f>D8+F8+H8</f>
        <v>1.0658400000000001</v>
      </c>
      <c r="K8" s="86">
        <v>0.04967</v>
      </c>
      <c r="L8" s="96" t="s">
        <v>126</v>
      </c>
      <c r="M8" s="86">
        <v>0.00593</v>
      </c>
      <c r="N8" s="4" t="s">
        <v>127</v>
      </c>
      <c r="O8" s="4">
        <v>0.02603</v>
      </c>
      <c r="P8" s="7" t="s">
        <v>124</v>
      </c>
      <c r="Q8" s="97">
        <f>SUM(J8+K8+M8+O8)</f>
        <v>1.1474700000000002</v>
      </c>
      <c r="R8" s="98" t="s">
        <v>128</v>
      </c>
      <c r="S8" s="99" t="s">
        <v>129</v>
      </c>
    </row>
    <row r="9" spans="1:19" ht="12.75">
      <c r="A9" s="90">
        <v>39448</v>
      </c>
      <c r="B9" s="91">
        <v>5.5</v>
      </c>
      <c r="C9" s="14" t="s">
        <v>122</v>
      </c>
      <c r="D9" s="92">
        <v>1.12076</v>
      </c>
      <c r="E9" s="4" t="s">
        <v>123</v>
      </c>
      <c r="F9" s="86">
        <v>-0.00839</v>
      </c>
      <c r="G9" s="100" t="s">
        <v>124</v>
      </c>
      <c r="H9" s="87">
        <v>-0.003</v>
      </c>
      <c r="I9" s="86" t="s">
        <v>130</v>
      </c>
      <c r="J9" s="95">
        <f>D9+F9+H9</f>
        <v>1.1093700000000002</v>
      </c>
      <c r="K9" s="101">
        <v>0</v>
      </c>
      <c r="L9" s="96" t="s">
        <v>131</v>
      </c>
      <c r="M9" s="86">
        <v>0.00257</v>
      </c>
      <c r="N9" s="4" t="s">
        <v>132</v>
      </c>
      <c r="O9" s="4">
        <v>0.02603</v>
      </c>
      <c r="P9" s="7" t="s">
        <v>124</v>
      </c>
      <c r="Q9" s="97">
        <f>SUM(J9+K9+M9+O9)</f>
        <v>1.1379700000000001</v>
      </c>
      <c r="R9" s="98" t="s">
        <v>133</v>
      </c>
      <c r="S9" t="s">
        <v>134</v>
      </c>
    </row>
    <row r="10" spans="1:19" ht="12.75">
      <c r="A10" s="102">
        <v>39387</v>
      </c>
      <c r="B10" s="91">
        <v>5.5</v>
      </c>
      <c r="C10" s="14" t="s">
        <v>122</v>
      </c>
      <c r="D10" s="92">
        <v>0.89117</v>
      </c>
      <c r="E10" s="4" t="s">
        <v>135</v>
      </c>
      <c r="F10" s="86">
        <v>-0.00839</v>
      </c>
      <c r="G10" s="100" t="s">
        <v>124</v>
      </c>
      <c r="H10" s="87">
        <v>-0.003</v>
      </c>
      <c r="I10" s="86" t="s">
        <v>130</v>
      </c>
      <c r="J10" s="95">
        <f>D10+F10+H10</f>
        <v>0.87978</v>
      </c>
      <c r="K10" s="86">
        <v>0.20991</v>
      </c>
      <c r="L10" s="96" t="s">
        <v>136</v>
      </c>
      <c r="M10" s="86">
        <v>0.00257</v>
      </c>
      <c r="N10" s="4" t="s">
        <v>132</v>
      </c>
      <c r="O10" s="4">
        <v>0.02445</v>
      </c>
      <c r="P10" s="7" t="s">
        <v>137</v>
      </c>
      <c r="Q10" s="97">
        <f>SUM(J10+K10+M10+O10)</f>
        <v>1.11671</v>
      </c>
      <c r="R10" s="98" t="s">
        <v>128</v>
      </c>
      <c r="S10" t="s">
        <v>138</v>
      </c>
    </row>
    <row r="11" spans="1:19" ht="12.75">
      <c r="A11" s="102">
        <v>39022</v>
      </c>
      <c r="B11" s="91">
        <v>5.5</v>
      </c>
      <c r="C11" s="14" t="s">
        <v>122</v>
      </c>
      <c r="D11" s="92">
        <v>0.89117</v>
      </c>
      <c r="E11" s="4" t="s">
        <v>135</v>
      </c>
      <c r="F11" s="86">
        <v>0</v>
      </c>
      <c r="G11" s="100" t="s">
        <v>137</v>
      </c>
      <c r="H11" s="86">
        <v>0.06455</v>
      </c>
      <c r="I11" s="86" t="s">
        <v>124</v>
      </c>
      <c r="J11" s="95">
        <f>D11+F11+H11</f>
        <v>0.95572</v>
      </c>
      <c r="K11" s="86">
        <v>0.20991</v>
      </c>
      <c r="L11" s="96" t="s">
        <v>136</v>
      </c>
      <c r="M11" s="86"/>
      <c r="N11" s="4"/>
      <c r="O11" s="4">
        <v>0.02445</v>
      </c>
      <c r="P11" s="7" t="s">
        <v>137</v>
      </c>
      <c r="Q11" s="97">
        <f>SUM(J11+K11+O11)</f>
        <v>1.19008</v>
      </c>
      <c r="R11" s="98" t="s">
        <v>139</v>
      </c>
      <c r="S11" t="s">
        <v>140</v>
      </c>
    </row>
    <row r="12" spans="1:19" ht="12.75">
      <c r="A12" s="102">
        <v>38718</v>
      </c>
      <c r="B12" s="91">
        <v>5.5</v>
      </c>
      <c r="C12" s="14" t="s">
        <v>122</v>
      </c>
      <c r="D12" s="92">
        <v>0.89117</v>
      </c>
      <c r="E12" s="4" t="s">
        <v>141</v>
      </c>
      <c r="F12" s="4">
        <v>0</v>
      </c>
      <c r="G12" s="100" t="s">
        <v>137</v>
      </c>
      <c r="H12" s="103">
        <v>0.02584</v>
      </c>
      <c r="I12" s="100" t="s">
        <v>137</v>
      </c>
      <c r="J12" s="95">
        <f>D12+F12+H12</f>
        <v>0.91701</v>
      </c>
      <c r="K12" s="103">
        <v>0.23163</v>
      </c>
      <c r="L12" s="4" t="s">
        <v>142</v>
      </c>
      <c r="M12" s="103"/>
      <c r="N12" s="4"/>
      <c r="O12" s="4">
        <v>0.01062</v>
      </c>
      <c r="P12" s="104" t="s">
        <v>123</v>
      </c>
      <c r="Q12" s="97">
        <f>SUM(J12+K12+O12)</f>
        <v>1.15926</v>
      </c>
      <c r="R12" s="98" t="s">
        <v>143</v>
      </c>
      <c r="S12" t="s">
        <v>144</v>
      </c>
    </row>
    <row r="15" spans="1:16" ht="12.75">
      <c r="A15" s="67" t="s">
        <v>105</v>
      </c>
      <c r="B15" s="68"/>
      <c r="C15" s="69"/>
      <c r="D15" s="70"/>
      <c r="E15" s="71"/>
      <c r="F15" s="72" t="s">
        <v>106</v>
      </c>
      <c r="G15" s="71"/>
      <c r="H15" s="72" t="s">
        <v>106</v>
      </c>
      <c r="I15" s="71"/>
      <c r="J15" s="105"/>
      <c r="K15" s="72" t="s">
        <v>106</v>
      </c>
      <c r="L15" s="71"/>
      <c r="M15" s="72" t="s">
        <v>106</v>
      </c>
      <c r="N15" s="71"/>
      <c r="O15" s="74" t="s">
        <v>107</v>
      </c>
      <c r="P15" s="98"/>
    </row>
    <row r="16" spans="1:16" ht="12.75">
      <c r="A16" s="76" t="s">
        <v>108</v>
      </c>
      <c r="B16" s="77"/>
      <c r="C16" s="78" t="s">
        <v>110</v>
      </c>
      <c r="D16" s="79" t="s">
        <v>111</v>
      </c>
      <c r="E16" s="80"/>
      <c r="F16" s="81" t="s">
        <v>112</v>
      </c>
      <c r="G16" s="80"/>
      <c r="H16" s="81" t="s">
        <v>113</v>
      </c>
      <c r="I16" s="80"/>
      <c r="J16" s="82" t="s">
        <v>114</v>
      </c>
      <c r="K16" s="81" t="s">
        <v>115</v>
      </c>
      <c r="L16" s="80"/>
      <c r="M16" s="81" t="s">
        <v>117</v>
      </c>
      <c r="N16" s="80"/>
      <c r="O16" s="84" t="s">
        <v>118</v>
      </c>
      <c r="P16" s="98"/>
    </row>
    <row r="17" spans="1:16" ht="12.75">
      <c r="A17" s="85" t="s">
        <v>145</v>
      </c>
      <c r="B17" s="85"/>
      <c r="C17" s="106"/>
      <c r="D17" s="107"/>
      <c r="E17" s="108"/>
      <c r="F17" s="109"/>
      <c r="G17" s="108"/>
      <c r="H17" s="110"/>
      <c r="I17" s="111"/>
      <c r="J17" s="112"/>
      <c r="K17" s="110"/>
      <c r="L17" s="111"/>
      <c r="M17" s="109"/>
      <c r="N17" s="108"/>
      <c r="O17" s="113"/>
      <c r="P17" s="98"/>
    </row>
    <row r="18" spans="1:19" ht="12.75">
      <c r="A18" s="90">
        <v>39753</v>
      </c>
      <c r="B18" s="90"/>
      <c r="C18" s="114" t="s">
        <v>146</v>
      </c>
      <c r="D18" s="115">
        <v>135.07</v>
      </c>
      <c r="E18" s="116" t="s">
        <v>123</v>
      </c>
      <c r="F18" s="103"/>
      <c r="G18" s="116" t="s">
        <v>124</v>
      </c>
      <c r="H18" s="117"/>
      <c r="I18" s="118" t="s">
        <v>125</v>
      </c>
      <c r="J18" s="119">
        <f>D18</f>
        <v>135.07</v>
      </c>
      <c r="K18" s="14"/>
      <c r="L18" s="118" t="s">
        <v>126</v>
      </c>
      <c r="M18" s="4"/>
      <c r="N18" s="116" t="s">
        <v>124</v>
      </c>
      <c r="O18" s="120">
        <f>J18+K18+M18</f>
        <v>135.07</v>
      </c>
      <c r="P18" s="121"/>
      <c r="Q18" s="122"/>
      <c r="R18" s="123" t="s">
        <v>147</v>
      </c>
      <c r="S18" s="99" t="s">
        <v>148</v>
      </c>
    </row>
    <row r="19" spans="1:18" ht="12.75">
      <c r="A19" s="4"/>
      <c r="B19" s="4"/>
      <c r="C19" s="124" t="s">
        <v>149</v>
      </c>
      <c r="D19" s="117">
        <v>0.47163</v>
      </c>
      <c r="E19" s="4"/>
      <c r="F19" s="103">
        <v>-0.00836</v>
      </c>
      <c r="G19" s="4"/>
      <c r="H19" s="117">
        <v>-0.04417</v>
      </c>
      <c r="I19" s="14"/>
      <c r="J19" s="125">
        <f>D19+F19+H19</f>
        <v>0.41910000000000003</v>
      </c>
      <c r="K19" s="117">
        <v>0.04964</v>
      </c>
      <c r="L19" s="14"/>
      <c r="M19" s="4">
        <v>0.02278</v>
      </c>
      <c r="N19" s="4"/>
      <c r="O19" s="126">
        <f>J19+K19+M19</f>
        <v>0.49152000000000007</v>
      </c>
      <c r="P19" s="98"/>
      <c r="R19" s="98"/>
    </row>
    <row r="20" spans="1:18" ht="12.75">
      <c r="A20" s="14"/>
      <c r="B20" s="14"/>
      <c r="C20" s="127">
        <v>200</v>
      </c>
      <c r="D20" s="128">
        <v>1.14698</v>
      </c>
      <c r="E20" s="4"/>
      <c r="F20" s="103">
        <v>-0.00836</v>
      </c>
      <c r="G20" s="4"/>
      <c r="H20" s="117">
        <v>-0.04417</v>
      </c>
      <c r="I20" s="14"/>
      <c r="J20" s="125">
        <f>D20+F20+H20</f>
        <v>1.0944500000000001</v>
      </c>
      <c r="K20" s="117">
        <v>0.04964</v>
      </c>
      <c r="L20" s="14"/>
      <c r="M20" s="4">
        <f>M19</f>
        <v>0.02278</v>
      </c>
      <c r="N20" s="4"/>
      <c r="O20" s="97">
        <f>SUM(D20+F20+H20+K20+M20)</f>
        <v>1.16687</v>
      </c>
      <c r="P20" s="129"/>
      <c r="Q20" s="130"/>
      <c r="R20" s="98"/>
    </row>
    <row r="21" spans="1:18" ht="12.75">
      <c r="A21" s="14"/>
      <c r="B21" s="14"/>
      <c r="C21" s="14" t="s">
        <v>150</v>
      </c>
      <c r="D21" s="128">
        <v>1.07541</v>
      </c>
      <c r="E21" s="4"/>
      <c r="F21" s="103">
        <v>-0.00836</v>
      </c>
      <c r="G21" s="4"/>
      <c r="H21" s="117">
        <v>-0.04417</v>
      </c>
      <c r="I21" s="14"/>
      <c r="J21" s="125">
        <f>D21+F21+H21</f>
        <v>1.02288</v>
      </c>
      <c r="K21" s="117">
        <v>0.04964</v>
      </c>
      <c r="L21" s="14"/>
      <c r="M21" s="4">
        <f>M19</f>
        <v>0.02278</v>
      </c>
      <c r="N21" s="4"/>
      <c r="O21" s="97">
        <f>SUM(D21+F21+H21+K21+M21)</f>
        <v>1.0953</v>
      </c>
      <c r="P21" s="129"/>
      <c r="Q21" s="130"/>
      <c r="R21" s="98"/>
    </row>
    <row r="22" spans="1:18" ht="12.75">
      <c r="A22" s="14"/>
      <c r="B22" s="14"/>
      <c r="C22" s="14" t="s">
        <v>151</v>
      </c>
      <c r="D22" s="128">
        <v>1.00893</v>
      </c>
      <c r="E22" s="4"/>
      <c r="F22" s="103">
        <v>-0.00836</v>
      </c>
      <c r="G22" s="4"/>
      <c r="H22" s="117">
        <v>-0.04417</v>
      </c>
      <c r="I22" s="14"/>
      <c r="J22" s="125">
        <f>D22+F22+H22</f>
        <v>0.9564000000000001</v>
      </c>
      <c r="K22" s="117">
        <v>0.04964</v>
      </c>
      <c r="L22" s="14"/>
      <c r="M22" s="4">
        <f>M19</f>
        <v>0.02278</v>
      </c>
      <c r="N22" s="4"/>
      <c r="O22" s="97">
        <f>SUM(D22+F22+H22+K22+M22)</f>
        <v>1.02882</v>
      </c>
      <c r="P22" s="129"/>
      <c r="Q22" s="130"/>
      <c r="R22" s="98"/>
    </row>
    <row r="23" spans="1:18" ht="12.75">
      <c r="A23" s="85"/>
      <c r="B23" s="85"/>
      <c r="C23" s="106"/>
      <c r="D23" s="107"/>
      <c r="E23" s="108"/>
      <c r="F23" s="109"/>
      <c r="G23" s="108"/>
      <c r="H23" s="109"/>
      <c r="I23" s="108"/>
      <c r="J23" s="131"/>
      <c r="K23" s="109"/>
      <c r="L23" s="108"/>
      <c r="M23" s="109"/>
      <c r="N23" s="108"/>
      <c r="O23" s="113"/>
      <c r="P23" s="98"/>
      <c r="R23" s="98"/>
    </row>
    <row r="24" spans="1:19" ht="12.75">
      <c r="A24" s="90">
        <v>39448</v>
      </c>
      <c r="B24" s="90"/>
      <c r="C24" s="114" t="s">
        <v>146</v>
      </c>
      <c r="D24" s="115">
        <v>135.07</v>
      </c>
      <c r="E24" s="116" t="s">
        <v>123</v>
      </c>
      <c r="F24" s="103"/>
      <c r="G24" s="116" t="s">
        <v>124</v>
      </c>
      <c r="H24" s="132"/>
      <c r="I24" s="116" t="s">
        <v>130</v>
      </c>
      <c r="J24" s="133">
        <f>D24</f>
        <v>135.07</v>
      </c>
      <c r="K24" s="4"/>
      <c r="L24" s="116" t="s">
        <v>131</v>
      </c>
      <c r="M24" s="4"/>
      <c r="N24" s="116" t="s">
        <v>124</v>
      </c>
      <c r="O24" s="120">
        <f>J24+K24+M24</f>
        <v>135.07</v>
      </c>
      <c r="P24" s="121"/>
      <c r="Q24" s="122"/>
      <c r="R24" s="98" t="s">
        <v>133</v>
      </c>
      <c r="S24" t="s">
        <v>134</v>
      </c>
    </row>
    <row r="25" spans="1:18" ht="12.75">
      <c r="A25" s="4"/>
      <c r="B25" s="4"/>
      <c r="C25" s="124" t="s">
        <v>149</v>
      </c>
      <c r="D25" s="117">
        <v>0.47163</v>
      </c>
      <c r="E25" s="4"/>
      <c r="F25" s="103">
        <v>-0.00836</v>
      </c>
      <c r="G25" s="4"/>
      <c r="H25" s="132">
        <v>0</v>
      </c>
      <c r="I25" s="4"/>
      <c r="J25" s="95">
        <f>D25+F25+H25</f>
        <v>0.46327</v>
      </c>
      <c r="K25" s="4">
        <v>0</v>
      </c>
      <c r="L25" s="4"/>
      <c r="M25" s="4">
        <v>0.02278</v>
      </c>
      <c r="N25" s="4"/>
      <c r="O25" s="126">
        <f>J25+K25+M25</f>
        <v>0.48605000000000004</v>
      </c>
      <c r="P25" s="98"/>
      <c r="R25" s="98"/>
    </row>
    <row r="26" spans="1:18" ht="12.75">
      <c r="A26" s="14"/>
      <c r="B26" s="14"/>
      <c r="C26" s="127">
        <v>200</v>
      </c>
      <c r="D26" s="128">
        <v>1.14698</v>
      </c>
      <c r="E26" s="4"/>
      <c r="F26" s="103">
        <v>-0.00836</v>
      </c>
      <c r="G26" s="4"/>
      <c r="H26" s="132">
        <v>0</v>
      </c>
      <c r="I26" s="4"/>
      <c r="J26" s="95">
        <f>D26+F26+H26</f>
        <v>1.1386200000000002</v>
      </c>
      <c r="K26" s="4">
        <f>K25</f>
        <v>0</v>
      </c>
      <c r="L26" s="4"/>
      <c r="M26" s="4">
        <f>M25</f>
        <v>0.02278</v>
      </c>
      <c r="N26" s="4"/>
      <c r="O26" s="97">
        <f>SUM(D26+F26+H26+K26+M26)</f>
        <v>1.1614000000000002</v>
      </c>
      <c r="P26" s="129"/>
      <c r="Q26" s="130"/>
      <c r="R26" s="98"/>
    </row>
    <row r="27" spans="1:18" ht="12.75">
      <c r="A27" s="14"/>
      <c r="B27" s="14"/>
      <c r="C27" s="14" t="s">
        <v>150</v>
      </c>
      <c r="D27" s="128">
        <v>1.07541</v>
      </c>
      <c r="E27" s="4"/>
      <c r="F27" s="103">
        <v>-0.00836</v>
      </c>
      <c r="G27" s="4"/>
      <c r="H27" s="132">
        <v>0</v>
      </c>
      <c r="I27" s="4"/>
      <c r="J27" s="95">
        <f>D27+F27+H27</f>
        <v>1.06705</v>
      </c>
      <c r="K27" s="4">
        <f>K26</f>
        <v>0</v>
      </c>
      <c r="L27" s="4"/>
      <c r="M27" s="4">
        <f>M25</f>
        <v>0.02278</v>
      </c>
      <c r="N27" s="4"/>
      <c r="O27" s="97">
        <f>SUM(D27+F27+H27+K27+M27)</f>
        <v>1.08983</v>
      </c>
      <c r="P27" s="129"/>
      <c r="Q27" s="130"/>
      <c r="R27" s="98"/>
    </row>
    <row r="28" spans="1:18" ht="12.75">
      <c r="A28" s="14"/>
      <c r="B28" s="14"/>
      <c r="C28" s="14" t="s">
        <v>151</v>
      </c>
      <c r="D28" s="128">
        <v>1.00893</v>
      </c>
      <c r="E28" s="4"/>
      <c r="F28" s="103">
        <v>-0.00836</v>
      </c>
      <c r="G28" s="4"/>
      <c r="H28" s="132">
        <v>0</v>
      </c>
      <c r="I28" s="4"/>
      <c r="J28" s="95">
        <f>D28+F28+H28</f>
        <v>1.0005700000000002</v>
      </c>
      <c r="K28" s="4">
        <f>K26</f>
        <v>0</v>
      </c>
      <c r="L28" s="4"/>
      <c r="M28" s="4">
        <f>M25</f>
        <v>0.02278</v>
      </c>
      <c r="N28" s="4"/>
      <c r="O28" s="97">
        <f>SUM(D28+F28+H28+K28+M28)</f>
        <v>1.0233500000000002</v>
      </c>
      <c r="P28" s="129"/>
      <c r="Q28" s="130"/>
      <c r="R28" s="98"/>
    </row>
    <row r="29" spans="1:18" ht="12.75">
      <c r="A29" s="85"/>
      <c r="B29" s="85"/>
      <c r="C29" s="106"/>
      <c r="D29" s="107"/>
      <c r="E29" s="108"/>
      <c r="F29" s="109"/>
      <c r="G29" s="108"/>
      <c r="H29" s="109"/>
      <c r="I29" s="108"/>
      <c r="J29" s="131"/>
      <c r="K29" s="109"/>
      <c r="L29" s="108"/>
      <c r="M29" s="109"/>
      <c r="N29" s="108"/>
      <c r="O29" s="113"/>
      <c r="P29" s="98"/>
      <c r="R29" s="98"/>
    </row>
    <row r="30" spans="1:19" ht="12.75">
      <c r="A30" s="90">
        <v>39387</v>
      </c>
      <c r="B30" s="90"/>
      <c r="C30" s="114" t="s">
        <v>146</v>
      </c>
      <c r="D30" s="115">
        <v>131.13</v>
      </c>
      <c r="E30" s="116" t="s">
        <v>135</v>
      </c>
      <c r="F30" s="103"/>
      <c r="G30" s="116" t="s">
        <v>124</v>
      </c>
      <c r="H30" s="132"/>
      <c r="I30" s="116" t="s">
        <v>130</v>
      </c>
      <c r="J30" s="133">
        <f>D30</f>
        <v>131.13</v>
      </c>
      <c r="K30" s="4"/>
      <c r="L30" s="116" t="s">
        <v>136</v>
      </c>
      <c r="M30" s="4"/>
      <c r="N30" s="116" t="s">
        <v>137</v>
      </c>
      <c r="O30" s="120">
        <f>J30+K30+M30</f>
        <v>131.13</v>
      </c>
      <c r="P30" s="121"/>
      <c r="Q30" s="122"/>
      <c r="R30" s="123" t="s">
        <v>147</v>
      </c>
      <c r="S30" t="s">
        <v>152</v>
      </c>
    </row>
    <row r="31" spans="1:18" ht="12.75">
      <c r="A31" s="4"/>
      <c r="B31" s="4"/>
      <c r="C31" s="124" t="s">
        <v>149</v>
      </c>
      <c r="D31" s="117">
        <v>0.26186</v>
      </c>
      <c r="E31" s="4"/>
      <c r="F31" s="103">
        <v>-0.00836</v>
      </c>
      <c r="G31" s="4"/>
      <c r="H31" s="132">
        <v>0</v>
      </c>
      <c r="I31" s="4"/>
      <c r="J31" s="95">
        <f>D31+F31+H31</f>
        <v>0.2535</v>
      </c>
      <c r="K31" s="4">
        <v>0.20977</v>
      </c>
      <c r="L31" s="4"/>
      <c r="M31" s="4">
        <v>0.02141</v>
      </c>
      <c r="N31" s="4"/>
      <c r="O31" s="126">
        <f>J31+K31+M31</f>
        <v>0.48468</v>
      </c>
      <c r="P31" s="98"/>
      <c r="R31" s="98"/>
    </row>
    <row r="32" spans="1:18" ht="12.75">
      <c r="A32" s="14"/>
      <c r="B32" s="14"/>
      <c r="C32" s="127">
        <v>200</v>
      </c>
      <c r="D32" s="128">
        <v>0.91751</v>
      </c>
      <c r="E32" s="4"/>
      <c r="F32" s="103">
        <v>-0.00836</v>
      </c>
      <c r="G32" s="4"/>
      <c r="H32" s="132">
        <v>0</v>
      </c>
      <c r="I32" s="4"/>
      <c r="J32" s="95">
        <f>D32+F32+H32</f>
        <v>0.90915</v>
      </c>
      <c r="K32" s="4">
        <f>K31</f>
        <v>0.20977</v>
      </c>
      <c r="L32" s="4"/>
      <c r="M32" s="4">
        <f>M31</f>
        <v>0.02141</v>
      </c>
      <c r="N32" s="4"/>
      <c r="O32" s="97">
        <f>SUM(D32+F32+H32+K32+M32)</f>
        <v>1.14033</v>
      </c>
      <c r="P32" s="129"/>
      <c r="Q32" s="130"/>
      <c r="R32" s="98"/>
    </row>
    <row r="33" spans="1:18" ht="12.75">
      <c r="A33" s="14"/>
      <c r="B33" s="14"/>
      <c r="C33" s="14" t="s">
        <v>150</v>
      </c>
      <c r="D33" s="128">
        <v>0.85036</v>
      </c>
      <c r="E33" s="4"/>
      <c r="F33" s="103">
        <v>-0.00836</v>
      </c>
      <c r="G33" s="4"/>
      <c r="H33" s="132">
        <v>0</v>
      </c>
      <c r="I33" s="4"/>
      <c r="J33" s="95">
        <f>D33+F33+H33</f>
        <v>0.842</v>
      </c>
      <c r="K33" s="4">
        <f>K32</f>
        <v>0.20977</v>
      </c>
      <c r="L33" s="4"/>
      <c r="M33" s="4">
        <f>M31</f>
        <v>0.02141</v>
      </c>
      <c r="N33" s="4"/>
      <c r="O33" s="97">
        <f>SUM(D33+F33+H33+K33+M33)</f>
        <v>1.0731799999999998</v>
      </c>
      <c r="P33" s="129"/>
      <c r="Q33" s="130"/>
      <c r="R33" s="98"/>
    </row>
    <row r="34" spans="1:18" ht="12.75">
      <c r="A34" s="14"/>
      <c r="B34" s="14"/>
      <c r="C34" s="14" t="s">
        <v>151</v>
      </c>
      <c r="D34" s="128">
        <v>0.78483</v>
      </c>
      <c r="E34" s="4"/>
      <c r="F34" s="103">
        <v>-0.00836</v>
      </c>
      <c r="G34" s="4"/>
      <c r="H34" s="132">
        <v>0</v>
      </c>
      <c r="I34" s="4"/>
      <c r="J34" s="95">
        <f>D34+F34+H34</f>
        <v>0.77647</v>
      </c>
      <c r="K34" s="4">
        <f>K32</f>
        <v>0.20977</v>
      </c>
      <c r="L34" s="4"/>
      <c r="M34" s="4">
        <f>M31</f>
        <v>0.02141</v>
      </c>
      <c r="N34" s="4"/>
      <c r="O34" s="97">
        <f>SUM(D34+F34+H34+K34+M34)</f>
        <v>1.00765</v>
      </c>
      <c r="P34" s="129"/>
      <c r="Q34" s="130"/>
      <c r="R34" s="98"/>
    </row>
    <row r="35" spans="1:18" ht="12.75">
      <c r="A35" s="85"/>
      <c r="B35" s="85"/>
      <c r="C35" s="106"/>
      <c r="D35" s="107"/>
      <c r="E35" s="108"/>
      <c r="F35" s="109"/>
      <c r="G35" s="108"/>
      <c r="H35" s="109"/>
      <c r="I35" s="108"/>
      <c r="J35" s="131"/>
      <c r="K35" s="109"/>
      <c r="L35" s="108"/>
      <c r="M35" s="109"/>
      <c r="N35" s="108"/>
      <c r="O35" s="113"/>
      <c r="P35" s="98"/>
      <c r="R35" s="98"/>
    </row>
    <row r="36" spans="1:19" ht="12.75">
      <c r="A36" s="90">
        <v>39022</v>
      </c>
      <c r="B36" s="90"/>
      <c r="C36" s="114" t="s">
        <v>146</v>
      </c>
      <c r="D36" s="115">
        <v>131.13</v>
      </c>
      <c r="E36" s="116" t="s">
        <v>135</v>
      </c>
      <c r="F36" s="134">
        <v>0</v>
      </c>
      <c r="G36" s="116" t="s">
        <v>137</v>
      </c>
      <c r="H36" s="132"/>
      <c r="I36" s="116" t="s">
        <v>124</v>
      </c>
      <c r="J36" s="133">
        <f>D36</f>
        <v>131.13</v>
      </c>
      <c r="K36" s="4"/>
      <c r="L36" s="116" t="s">
        <v>136</v>
      </c>
      <c r="M36" s="4"/>
      <c r="N36" s="116" t="s">
        <v>137</v>
      </c>
      <c r="O36" s="120">
        <f>J36+K36+M36</f>
        <v>131.13</v>
      </c>
      <c r="P36" s="121"/>
      <c r="Q36" s="122"/>
      <c r="R36" s="123" t="s">
        <v>139</v>
      </c>
      <c r="S36" t="s">
        <v>140</v>
      </c>
    </row>
    <row r="37" spans="1:18" ht="12.75">
      <c r="A37" s="4"/>
      <c r="B37" s="4"/>
      <c r="C37" s="124" t="s">
        <v>149</v>
      </c>
      <c r="D37" s="117">
        <v>0.26186</v>
      </c>
      <c r="E37" s="4"/>
      <c r="F37" s="135">
        <f>$F$87</f>
        <v>0</v>
      </c>
      <c r="G37" s="4"/>
      <c r="H37" s="132">
        <v>0.06451</v>
      </c>
      <c r="I37" s="4"/>
      <c r="J37" s="95">
        <f>D37+F37+H37</f>
        <v>0.32637</v>
      </c>
      <c r="K37" s="4">
        <v>0.20977</v>
      </c>
      <c r="L37" s="4"/>
      <c r="M37" s="4">
        <v>0.02141</v>
      </c>
      <c r="N37" s="4"/>
      <c r="O37" s="126">
        <f>J37+K37+M37</f>
        <v>0.5575500000000001</v>
      </c>
      <c r="P37" s="98"/>
      <c r="R37" s="98"/>
    </row>
    <row r="38" spans="1:18" ht="12.75">
      <c r="A38" s="14"/>
      <c r="B38" s="14"/>
      <c r="C38" s="127">
        <v>200</v>
      </c>
      <c r="D38" s="128">
        <v>0.91751</v>
      </c>
      <c r="E38" s="4"/>
      <c r="F38" s="135">
        <f>$F$87</f>
        <v>0</v>
      </c>
      <c r="G38" s="4"/>
      <c r="H38" s="132">
        <f>H37</f>
        <v>0.06451</v>
      </c>
      <c r="I38" s="4"/>
      <c r="J38" s="95">
        <f>D38+F38+H38</f>
        <v>0.98202</v>
      </c>
      <c r="K38" s="4">
        <f>K37</f>
        <v>0.20977</v>
      </c>
      <c r="L38" s="4"/>
      <c r="M38" s="4">
        <f>M37</f>
        <v>0.02141</v>
      </c>
      <c r="N38" s="4"/>
      <c r="O38" s="97">
        <f>SUM(D38+F38+H38+K38+M38)</f>
        <v>1.2132</v>
      </c>
      <c r="P38" s="129"/>
      <c r="Q38" s="130"/>
      <c r="R38" s="98"/>
    </row>
    <row r="39" spans="1:18" ht="12.75">
      <c r="A39" s="14"/>
      <c r="B39" s="14"/>
      <c r="C39" s="14" t="s">
        <v>150</v>
      </c>
      <c r="D39" s="128">
        <v>0.85036</v>
      </c>
      <c r="E39" s="4"/>
      <c r="F39" s="135">
        <f>$F$87</f>
        <v>0</v>
      </c>
      <c r="G39" s="4"/>
      <c r="H39" s="132">
        <f>H37</f>
        <v>0.06451</v>
      </c>
      <c r="I39" s="4"/>
      <c r="J39" s="95">
        <f>D39+F39+H39</f>
        <v>0.91487</v>
      </c>
      <c r="K39" s="4">
        <f>K38</f>
        <v>0.20977</v>
      </c>
      <c r="L39" s="4"/>
      <c r="M39" s="4">
        <f>M37</f>
        <v>0.02141</v>
      </c>
      <c r="N39" s="4"/>
      <c r="O39" s="97">
        <f>SUM(D39+F39+H39+K39+M39)</f>
        <v>1.1460499999999998</v>
      </c>
      <c r="P39" s="129"/>
      <c r="Q39" s="130"/>
      <c r="R39" s="98"/>
    </row>
    <row r="40" spans="1:18" ht="12.75">
      <c r="A40" s="14"/>
      <c r="B40" s="14"/>
      <c r="C40" s="14" t="s">
        <v>151</v>
      </c>
      <c r="D40" s="128">
        <v>0.78483</v>
      </c>
      <c r="E40" s="4"/>
      <c r="F40" s="135">
        <f>$F$87</f>
        <v>0</v>
      </c>
      <c r="G40" s="4"/>
      <c r="H40" s="132">
        <f>H37</f>
        <v>0.06451</v>
      </c>
      <c r="I40" s="4"/>
      <c r="J40" s="95">
        <f>D40+F40+H40</f>
        <v>0.84934</v>
      </c>
      <c r="K40" s="4">
        <f>K38</f>
        <v>0.20977</v>
      </c>
      <c r="L40" s="4"/>
      <c r="M40" s="4">
        <f>M37</f>
        <v>0.02141</v>
      </c>
      <c r="N40" s="4"/>
      <c r="O40" s="97">
        <f>SUM(D40+F40+H40+K40+M40)</f>
        <v>1.08052</v>
      </c>
      <c r="P40" s="129"/>
      <c r="Q40" s="130"/>
      <c r="R40" s="98"/>
    </row>
    <row r="41" spans="1:18" ht="12.75">
      <c r="A41" s="85"/>
      <c r="B41" s="85"/>
      <c r="C41" s="106"/>
      <c r="D41" s="107"/>
      <c r="E41" s="108"/>
      <c r="F41" s="109"/>
      <c r="G41" s="108"/>
      <c r="H41" s="109"/>
      <c r="I41" s="108"/>
      <c r="J41" s="131"/>
      <c r="K41" s="109"/>
      <c r="L41" s="108"/>
      <c r="M41" s="109"/>
      <c r="N41" s="108"/>
      <c r="O41" s="113"/>
      <c r="P41" s="98"/>
      <c r="R41" s="98"/>
    </row>
    <row r="42" spans="1:19" ht="12.75">
      <c r="A42" s="90">
        <v>38718</v>
      </c>
      <c r="B42" s="90"/>
      <c r="C42" s="114" t="s">
        <v>146</v>
      </c>
      <c r="D42" s="115">
        <v>131.13</v>
      </c>
      <c r="E42" s="116" t="s">
        <v>141</v>
      </c>
      <c r="F42" s="134">
        <v>0</v>
      </c>
      <c r="G42" s="116" t="s">
        <v>137</v>
      </c>
      <c r="H42" s="132"/>
      <c r="I42" s="116" t="s">
        <v>153</v>
      </c>
      <c r="J42" s="133">
        <f>D42</f>
        <v>131.13</v>
      </c>
      <c r="K42" s="4"/>
      <c r="L42" s="116" t="s">
        <v>142</v>
      </c>
      <c r="M42" s="4"/>
      <c r="N42" s="116" t="s">
        <v>123</v>
      </c>
      <c r="O42" s="120">
        <f>J42+K42+M42</f>
        <v>131.13</v>
      </c>
      <c r="P42" s="121"/>
      <c r="Q42" s="122"/>
      <c r="R42" s="123" t="s">
        <v>133</v>
      </c>
      <c r="S42" t="s">
        <v>144</v>
      </c>
    </row>
    <row r="43" spans="1:18" ht="12.75">
      <c r="A43" s="4"/>
      <c r="B43" s="4"/>
      <c r="C43" s="124" t="s">
        <v>149</v>
      </c>
      <c r="D43" s="117">
        <v>0.26186</v>
      </c>
      <c r="E43" s="4"/>
      <c r="F43" s="135">
        <f>$F$87</f>
        <v>0</v>
      </c>
      <c r="G43" s="4"/>
      <c r="H43" s="132">
        <v>0.02667</v>
      </c>
      <c r="I43" s="4"/>
      <c r="J43" s="95">
        <f>D43+F43+H43</f>
        <v>0.28852999999999995</v>
      </c>
      <c r="K43" s="4">
        <v>0.23148</v>
      </c>
      <c r="L43" s="4"/>
      <c r="M43" s="4">
        <v>0.00916</v>
      </c>
      <c r="N43" s="4"/>
      <c r="O43" s="126">
        <f>J43+K43+M43</f>
        <v>0.5291699999999999</v>
      </c>
      <c r="P43" s="98"/>
      <c r="R43" s="98"/>
    </row>
    <row r="44" spans="1:18" ht="12.75">
      <c r="A44" s="14"/>
      <c r="B44" s="14"/>
      <c r="C44" s="127">
        <v>200</v>
      </c>
      <c r="D44" s="128">
        <v>0.91751</v>
      </c>
      <c r="E44" s="4"/>
      <c r="F44" s="135">
        <f>$F$87</f>
        <v>0</v>
      </c>
      <c r="G44" s="4"/>
      <c r="H44" s="132">
        <f>H43</f>
        <v>0.02667</v>
      </c>
      <c r="I44" s="4"/>
      <c r="J44" s="95">
        <f>D44+F44+H44</f>
        <v>0.94418</v>
      </c>
      <c r="K44" s="4">
        <v>0.23148</v>
      </c>
      <c r="L44" s="4"/>
      <c r="M44" s="4">
        <f>M43</f>
        <v>0.00916</v>
      </c>
      <c r="N44" s="4"/>
      <c r="O44" s="97">
        <f>SUM(D44+F44+H44+K44+M44)</f>
        <v>1.18482</v>
      </c>
      <c r="P44" s="129"/>
      <c r="Q44" s="130"/>
      <c r="R44" s="98"/>
    </row>
    <row r="45" spans="1:18" ht="12.75">
      <c r="A45" s="14"/>
      <c r="B45" s="14"/>
      <c r="C45" s="14" t="s">
        <v>150</v>
      </c>
      <c r="D45" s="128">
        <v>0.85036</v>
      </c>
      <c r="E45" s="4"/>
      <c r="F45" s="135">
        <f>$F$87</f>
        <v>0</v>
      </c>
      <c r="G45" s="4"/>
      <c r="H45" s="132">
        <f>H43</f>
        <v>0.02667</v>
      </c>
      <c r="I45" s="4"/>
      <c r="J45" s="95">
        <f>D45+F45+H45</f>
        <v>0.87703</v>
      </c>
      <c r="K45" s="4">
        <f>K44</f>
        <v>0.23148</v>
      </c>
      <c r="L45" s="4"/>
      <c r="M45" s="4">
        <f>M43</f>
        <v>0.00916</v>
      </c>
      <c r="N45" s="4"/>
      <c r="O45" s="97">
        <f>SUM(D45+F45+H45+K45+M45)</f>
        <v>1.11767</v>
      </c>
      <c r="P45" s="129"/>
      <c r="Q45" s="130"/>
      <c r="R45" s="98"/>
    </row>
    <row r="46" spans="1:18" ht="12.75">
      <c r="A46" s="14"/>
      <c r="B46" s="14"/>
      <c r="C46" s="14" t="s">
        <v>151</v>
      </c>
      <c r="D46" s="128">
        <v>0.78483</v>
      </c>
      <c r="E46" s="4"/>
      <c r="F46" s="135">
        <f>$F$87</f>
        <v>0</v>
      </c>
      <c r="G46" s="4"/>
      <c r="H46" s="132">
        <f>H43</f>
        <v>0.02667</v>
      </c>
      <c r="I46" s="4"/>
      <c r="J46" s="95">
        <f>D46+F46+H46</f>
        <v>0.8115</v>
      </c>
      <c r="K46" s="4">
        <f>K44</f>
        <v>0.23148</v>
      </c>
      <c r="L46" s="4"/>
      <c r="M46" s="4">
        <f>M43</f>
        <v>0.00916</v>
      </c>
      <c r="N46" s="4"/>
      <c r="O46" s="97">
        <f>SUM(D46+F46+H46+K46+M46)</f>
        <v>1.05214</v>
      </c>
      <c r="P46" s="129"/>
      <c r="Q46" s="130"/>
      <c r="R46" s="98"/>
    </row>
    <row r="49" spans="1:16" ht="12.75">
      <c r="A49" s="67" t="s">
        <v>105</v>
      </c>
      <c r="B49" s="68"/>
      <c r="C49" s="69"/>
      <c r="D49" s="70"/>
      <c r="E49" s="71"/>
      <c r="F49" s="72" t="s">
        <v>106</v>
      </c>
      <c r="G49" s="71"/>
      <c r="H49" s="72" t="s">
        <v>106</v>
      </c>
      <c r="I49" s="71"/>
      <c r="J49" s="105"/>
      <c r="K49" s="72" t="s">
        <v>106</v>
      </c>
      <c r="L49" s="71"/>
      <c r="M49" s="72" t="s">
        <v>106</v>
      </c>
      <c r="N49" s="71"/>
      <c r="O49" s="74" t="s">
        <v>107</v>
      </c>
      <c r="P49" s="98"/>
    </row>
    <row r="50" spans="1:16" ht="12.75">
      <c r="A50" s="76" t="s">
        <v>108</v>
      </c>
      <c r="B50" s="77"/>
      <c r="C50" s="78" t="s">
        <v>110</v>
      </c>
      <c r="D50" s="79" t="s">
        <v>111</v>
      </c>
      <c r="E50" s="80"/>
      <c r="F50" s="81" t="s">
        <v>112</v>
      </c>
      <c r="G50" s="80"/>
      <c r="H50" s="81" t="s">
        <v>113</v>
      </c>
      <c r="I50" s="80"/>
      <c r="J50" s="82" t="s">
        <v>114</v>
      </c>
      <c r="K50" s="81" t="s">
        <v>115</v>
      </c>
      <c r="L50" s="80"/>
      <c r="M50" s="81" t="s">
        <v>117</v>
      </c>
      <c r="N50" s="80"/>
      <c r="O50" s="84" t="s">
        <v>118</v>
      </c>
      <c r="P50" s="98"/>
    </row>
    <row r="51" spans="1:16" ht="12.75">
      <c r="A51" s="85" t="s">
        <v>154</v>
      </c>
      <c r="B51" s="85"/>
      <c r="C51" s="86"/>
      <c r="D51" s="87"/>
      <c r="E51" s="86"/>
      <c r="F51" s="86"/>
      <c r="G51" s="86"/>
      <c r="H51" s="86"/>
      <c r="I51" s="86"/>
      <c r="J51" s="88"/>
      <c r="K51" s="86"/>
      <c r="L51" s="89"/>
      <c r="M51" s="4"/>
      <c r="N51" s="4"/>
      <c r="O51" s="89"/>
      <c r="P51" s="98"/>
    </row>
    <row r="52" spans="1:19" ht="12.75">
      <c r="A52" s="102">
        <v>39448</v>
      </c>
      <c r="B52" s="102"/>
      <c r="C52" s="136" t="s">
        <v>146</v>
      </c>
      <c r="D52" s="137">
        <v>329.43</v>
      </c>
      <c r="E52" s="4" t="s">
        <v>123</v>
      </c>
      <c r="F52" s="4"/>
      <c r="G52" s="4" t="s">
        <v>124</v>
      </c>
      <c r="H52" s="14"/>
      <c r="I52" s="14" t="s">
        <v>125</v>
      </c>
      <c r="J52" s="138">
        <f aca="true" t="shared" si="0" ref="J52:J58">D52+F52+H52</f>
        <v>329.43</v>
      </c>
      <c r="K52" s="14"/>
      <c r="L52" s="14" t="s">
        <v>126</v>
      </c>
      <c r="M52" s="4"/>
      <c r="N52" s="4" t="s">
        <v>124</v>
      </c>
      <c r="O52" s="120">
        <f>D52</f>
        <v>329.43</v>
      </c>
      <c r="P52" s="98"/>
      <c r="R52" s="123" t="s">
        <v>147</v>
      </c>
      <c r="S52" s="99" t="s">
        <v>148</v>
      </c>
    </row>
    <row r="53" spans="1:16" ht="12.75">
      <c r="A53" s="102"/>
      <c r="B53" s="102"/>
      <c r="C53" s="139" t="s">
        <v>155</v>
      </c>
      <c r="D53" s="140">
        <v>0.45812</v>
      </c>
      <c r="E53" s="4"/>
      <c r="F53" s="4">
        <v>-0.00806</v>
      </c>
      <c r="G53" s="4"/>
      <c r="H53" s="14">
        <v>-0.03005</v>
      </c>
      <c r="I53" s="14"/>
      <c r="J53" s="125">
        <f t="shared" si="0"/>
        <v>0.42001</v>
      </c>
      <c r="K53" s="14">
        <v>0.0496</v>
      </c>
      <c r="L53" s="14"/>
      <c r="M53" s="4">
        <v>0.02124</v>
      </c>
      <c r="N53" s="4"/>
      <c r="O53" s="126">
        <f aca="true" t="shared" si="1" ref="O53:O58">SUM(D53+F53+H53+K53+M53)</f>
        <v>0.49084999999999995</v>
      </c>
      <c r="P53" s="98"/>
    </row>
    <row r="54" spans="1:16" ht="12.75">
      <c r="A54" s="14"/>
      <c r="B54" s="14"/>
      <c r="C54" s="14" t="s">
        <v>156</v>
      </c>
      <c r="D54" s="128">
        <v>1.11698</v>
      </c>
      <c r="E54" s="4"/>
      <c r="F54" s="4">
        <f>F53</f>
        <v>-0.00806</v>
      </c>
      <c r="G54" s="4"/>
      <c r="H54" s="14">
        <f>H53</f>
        <v>-0.03005</v>
      </c>
      <c r="I54" s="14"/>
      <c r="J54" s="125">
        <f t="shared" si="0"/>
        <v>1.0788700000000002</v>
      </c>
      <c r="K54" s="14">
        <f>K53</f>
        <v>0.0496</v>
      </c>
      <c r="L54" s="14"/>
      <c r="M54" s="4">
        <f>M53</f>
        <v>0.02124</v>
      </c>
      <c r="N54" s="4"/>
      <c r="O54" s="126">
        <f t="shared" si="1"/>
        <v>1.1497100000000002</v>
      </c>
      <c r="P54" s="98"/>
    </row>
    <row r="55" spans="1:16" ht="12.75">
      <c r="A55" s="14"/>
      <c r="B55" s="14"/>
      <c r="C55" s="141" t="s">
        <v>157</v>
      </c>
      <c r="D55" s="128">
        <v>1.06208</v>
      </c>
      <c r="E55" s="4"/>
      <c r="F55" s="4">
        <f>F53</f>
        <v>-0.00806</v>
      </c>
      <c r="G55" s="4"/>
      <c r="H55" s="14">
        <f>H53</f>
        <v>-0.03005</v>
      </c>
      <c r="I55" s="14"/>
      <c r="J55" s="125">
        <f t="shared" si="0"/>
        <v>1.02397</v>
      </c>
      <c r="K55" s="14">
        <f>K53</f>
        <v>0.0496</v>
      </c>
      <c r="L55" s="14"/>
      <c r="M55" s="4">
        <f>M54</f>
        <v>0.02124</v>
      </c>
      <c r="O55" s="126">
        <f t="shared" si="1"/>
        <v>1.09481</v>
      </c>
      <c r="P55" s="98"/>
    </row>
    <row r="56" spans="1:16" ht="12.75">
      <c r="A56" s="14"/>
      <c r="B56" s="14"/>
      <c r="C56" s="141" t="s">
        <v>158</v>
      </c>
      <c r="D56" s="128">
        <v>0.99504</v>
      </c>
      <c r="E56" s="4"/>
      <c r="F56" s="4">
        <f>F53</f>
        <v>-0.00806</v>
      </c>
      <c r="G56" s="4"/>
      <c r="H56" s="14">
        <f>H53</f>
        <v>-0.03005</v>
      </c>
      <c r="I56" s="14"/>
      <c r="J56" s="125">
        <f t="shared" si="0"/>
        <v>0.9569300000000001</v>
      </c>
      <c r="K56" s="14">
        <f>K53</f>
        <v>0.0496</v>
      </c>
      <c r="L56" s="14"/>
      <c r="M56" s="4">
        <f>M54</f>
        <v>0.02124</v>
      </c>
      <c r="O56" s="126">
        <f t="shared" si="1"/>
        <v>1.02777</v>
      </c>
      <c r="P56" s="98"/>
    </row>
    <row r="57" spans="1:16" ht="12.75">
      <c r="A57" s="14"/>
      <c r="B57" s="14"/>
      <c r="C57" s="141" t="s">
        <v>159</v>
      </c>
      <c r="D57" s="128">
        <v>0.95293</v>
      </c>
      <c r="E57" s="4"/>
      <c r="F57" s="4">
        <f>F53</f>
        <v>-0.00806</v>
      </c>
      <c r="G57" s="4"/>
      <c r="H57" s="14">
        <f>H53</f>
        <v>-0.03005</v>
      </c>
      <c r="I57" s="14"/>
      <c r="J57" s="125">
        <f t="shared" si="0"/>
        <v>0.9148200000000001</v>
      </c>
      <c r="K57" s="14">
        <f>K53</f>
        <v>0.0496</v>
      </c>
      <c r="L57" s="14"/>
      <c r="M57" s="4">
        <f>M54</f>
        <v>0.02124</v>
      </c>
      <c r="O57" s="126">
        <f t="shared" si="1"/>
        <v>0.9856600000000001</v>
      </c>
      <c r="P57" s="98"/>
    </row>
    <row r="58" spans="1:16" ht="12.75">
      <c r="A58" s="14"/>
      <c r="B58" s="14"/>
      <c r="C58" s="14" t="s">
        <v>160</v>
      </c>
      <c r="D58" s="128">
        <v>0.94142</v>
      </c>
      <c r="E58" s="4"/>
      <c r="F58" s="4">
        <f>F53</f>
        <v>-0.00806</v>
      </c>
      <c r="G58" s="4"/>
      <c r="H58" s="14">
        <f>H53</f>
        <v>-0.03005</v>
      </c>
      <c r="I58" s="14"/>
      <c r="J58" s="125">
        <f t="shared" si="0"/>
        <v>0.9033100000000001</v>
      </c>
      <c r="K58" s="14">
        <f>K53</f>
        <v>0.0496</v>
      </c>
      <c r="L58" s="14"/>
      <c r="M58" s="4">
        <f>M54</f>
        <v>0.02124</v>
      </c>
      <c r="O58" s="126">
        <f t="shared" si="1"/>
        <v>0.9741500000000001</v>
      </c>
      <c r="P58" s="98"/>
    </row>
    <row r="59" spans="1:16" ht="12.75">
      <c r="A59" s="85"/>
      <c r="B59" s="85"/>
      <c r="C59" s="86"/>
      <c r="D59" s="87"/>
      <c r="E59" s="86"/>
      <c r="F59" s="86"/>
      <c r="G59" s="86"/>
      <c r="H59" s="86"/>
      <c r="I59" s="86"/>
      <c r="J59" s="88"/>
      <c r="K59" s="86"/>
      <c r="L59" s="89"/>
      <c r="M59" s="4"/>
      <c r="N59" s="4"/>
      <c r="O59" s="89"/>
      <c r="P59" s="98"/>
    </row>
    <row r="60" spans="1:19" ht="12.75">
      <c r="A60" s="102">
        <v>39448</v>
      </c>
      <c r="B60" s="102"/>
      <c r="C60" s="136" t="s">
        <v>146</v>
      </c>
      <c r="D60" s="137">
        <v>329.43</v>
      </c>
      <c r="E60" s="4" t="s">
        <v>123</v>
      </c>
      <c r="F60" s="4"/>
      <c r="G60" s="4" t="s">
        <v>124</v>
      </c>
      <c r="H60" s="4"/>
      <c r="I60" s="4" t="s">
        <v>130</v>
      </c>
      <c r="J60" s="142">
        <f aca="true" t="shared" si="2" ref="J60:J66">D60+F60+H60</f>
        <v>329.43</v>
      </c>
      <c r="K60" s="4"/>
      <c r="L60" s="4" t="s">
        <v>131</v>
      </c>
      <c r="M60" s="4"/>
      <c r="N60" s="4" t="s">
        <v>124</v>
      </c>
      <c r="O60" s="120">
        <f>D60</f>
        <v>329.43</v>
      </c>
      <c r="P60" s="98"/>
      <c r="R60" s="98" t="s">
        <v>133</v>
      </c>
      <c r="S60" t="s">
        <v>134</v>
      </c>
    </row>
    <row r="61" spans="1:18" ht="12.75">
      <c r="A61" s="102"/>
      <c r="B61" s="102"/>
      <c r="C61" s="139" t="s">
        <v>155</v>
      </c>
      <c r="D61" s="140">
        <v>0.45812</v>
      </c>
      <c r="E61" s="4"/>
      <c r="F61" s="4">
        <v>-0.00806</v>
      </c>
      <c r="G61" s="4"/>
      <c r="H61" s="4">
        <v>0.01087</v>
      </c>
      <c r="I61" s="4"/>
      <c r="J61" s="95">
        <f t="shared" si="2"/>
        <v>0.46093</v>
      </c>
      <c r="K61" s="4">
        <v>0</v>
      </c>
      <c r="L61" s="4"/>
      <c r="M61" s="4">
        <v>0.02124</v>
      </c>
      <c r="N61" s="4"/>
      <c r="O61" s="126">
        <f aca="true" t="shared" si="3" ref="O61:O66">SUM(D61+F61+H61+K61+M61)</f>
        <v>0.48217</v>
      </c>
      <c r="P61" s="98"/>
      <c r="R61" s="98"/>
    </row>
    <row r="62" spans="1:18" ht="12.75">
      <c r="A62" s="14"/>
      <c r="B62" s="14"/>
      <c r="C62" s="14" t="s">
        <v>156</v>
      </c>
      <c r="D62" s="128">
        <v>1.11698</v>
      </c>
      <c r="E62" s="4"/>
      <c r="F62" s="4">
        <f>F61</f>
        <v>-0.00806</v>
      </c>
      <c r="G62" s="4"/>
      <c r="H62" s="4">
        <f>H61</f>
        <v>0.01087</v>
      </c>
      <c r="I62" s="4"/>
      <c r="J62" s="95">
        <f t="shared" si="2"/>
        <v>1.11979</v>
      </c>
      <c r="K62" s="4">
        <f>K61</f>
        <v>0</v>
      </c>
      <c r="L62" s="4"/>
      <c r="M62" s="4">
        <f>M61</f>
        <v>0.02124</v>
      </c>
      <c r="N62" s="4"/>
      <c r="O62" s="126">
        <f t="shared" si="3"/>
        <v>1.14103</v>
      </c>
      <c r="P62" s="98"/>
      <c r="R62" s="98"/>
    </row>
    <row r="63" spans="1:18" ht="12.75">
      <c r="A63" s="14"/>
      <c r="B63" s="14"/>
      <c r="C63" s="141" t="s">
        <v>157</v>
      </c>
      <c r="D63" s="128">
        <v>1.06208</v>
      </c>
      <c r="E63" s="4"/>
      <c r="F63" s="4">
        <f>F61</f>
        <v>-0.00806</v>
      </c>
      <c r="G63" s="4"/>
      <c r="H63" s="4">
        <f>H61</f>
        <v>0.01087</v>
      </c>
      <c r="I63" s="4"/>
      <c r="J63" s="95">
        <f t="shared" si="2"/>
        <v>1.06489</v>
      </c>
      <c r="K63" s="4">
        <f>K61</f>
        <v>0</v>
      </c>
      <c r="L63" s="4"/>
      <c r="M63" s="4">
        <f>M62</f>
        <v>0.02124</v>
      </c>
      <c r="O63" s="126">
        <f t="shared" si="3"/>
        <v>1.0861299999999998</v>
      </c>
      <c r="P63" s="98"/>
      <c r="R63" s="98"/>
    </row>
    <row r="64" spans="1:18" ht="12.75">
      <c r="A64" s="14"/>
      <c r="B64" s="14"/>
      <c r="C64" s="141" t="s">
        <v>158</v>
      </c>
      <c r="D64" s="128">
        <v>0.99504</v>
      </c>
      <c r="E64" s="4"/>
      <c r="F64" s="4">
        <f>F61</f>
        <v>-0.00806</v>
      </c>
      <c r="G64" s="4"/>
      <c r="H64" s="4">
        <f>H61</f>
        <v>0.01087</v>
      </c>
      <c r="I64" s="4"/>
      <c r="J64" s="95">
        <f t="shared" si="2"/>
        <v>0.9978500000000001</v>
      </c>
      <c r="K64" s="4">
        <f>K61</f>
        <v>0</v>
      </c>
      <c r="L64" s="4"/>
      <c r="M64" s="4">
        <f>M62</f>
        <v>0.02124</v>
      </c>
      <c r="O64" s="126">
        <f t="shared" si="3"/>
        <v>1.01909</v>
      </c>
      <c r="P64" s="98"/>
      <c r="R64" s="98"/>
    </row>
    <row r="65" spans="1:18" ht="12.75">
      <c r="A65" s="14"/>
      <c r="B65" s="14"/>
      <c r="C65" s="141" t="s">
        <v>159</v>
      </c>
      <c r="D65" s="128">
        <v>0.95293</v>
      </c>
      <c r="E65" s="4"/>
      <c r="F65" s="4">
        <f>F61</f>
        <v>-0.00806</v>
      </c>
      <c r="G65" s="4"/>
      <c r="H65" s="4">
        <f>H61</f>
        <v>0.01087</v>
      </c>
      <c r="I65" s="4"/>
      <c r="J65" s="95">
        <f t="shared" si="2"/>
        <v>0.9557400000000001</v>
      </c>
      <c r="K65" s="4">
        <f>K61</f>
        <v>0</v>
      </c>
      <c r="L65" s="4"/>
      <c r="M65" s="4">
        <f>M62</f>
        <v>0.02124</v>
      </c>
      <c r="O65" s="126">
        <f t="shared" si="3"/>
        <v>0.9769800000000002</v>
      </c>
      <c r="P65" s="98"/>
      <c r="R65" s="98"/>
    </row>
    <row r="66" spans="1:18" ht="12.75">
      <c r="A66" s="14"/>
      <c r="B66" s="14"/>
      <c r="C66" s="14" t="s">
        <v>160</v>
      </c>
      <c r="D66" s="128">
        <v>0.94142</v>
      </c>
      <c r="E66" s="4"/>
      <c r="F66" s="4">
        <f>F61</f>
        <v>-0.00806</v>
      </c>
      <c r="G66" s="4"/>
      <c r="H66" s="4">
        <f>H61</f>
        <v>0.01087</v>
      </c>
      <c r="I66" s="4"/>
      <c r="J66" s="95">
        <f t="shared" si="2"/>
        <v>0.9442300000000001</v>
      </c>
      <c r="K66" s="4">
        <f>K61</f>
        <v>0</v>
      </c>
      <c r="L66" s="4"/>
      <c r="M66" s="4">
        <f>M62</f>
        <v>0.02124</v>
      </c>
      <c r="O66" s="126">
        <f t="shared" si="3"/>
        <v>0.9654700000000002</v>
      </c>
      <c r="P66" s="98"/>
      <c r="R66" s="98"/>
    </row>
    <row r="67" spans="1:18" ht="12.75">
      <c r="A67" s="85"/>
      <c r="B67" s="85"/>
      <c r="C67" s="86"/>
      <c r="D67" s="87"/>
      <c r="E67" s="86"/>
      <c r="F67" s="86"/>
      <c r="G67" s="86"/>
      <c r="H67" s="86"/>
      <c r="I67" s="86"/>
      <c r="J67" s="88"/>
      <c r="K67" s="86"/>
      <c r="L67" s="89"/>
      <c r="M67" s="4"/>
      <c r="N67" s="4"/>
      <c r="O67" s="89"/>
      <c r="P67" s="98"/>
      <c r="R67" s="98"/>
    </row>
    <row r="68" spans="1:19" ht="12.75">
      <c r="A68" s="102">
        <v>39387</v>
      </c>
      <c r="B68" s="102"/>
      <c r="C68" s="136" t="s">
        <v>146</v>
      </c>
      <c r="D68" s="137">
        <v>319.59</v>
      </c>
      <c r="E68" s="4" t="s">
        <v>135</v>
      </c>
      <c r="F68" s="4"/>
      <c r="G68" s="4" t="s">
        <v>124</v>
      </c>
      <c r="H68" s="4"/>
      <c r="I68" s="4" t="s">
        <v>130</v>
      </c>
      <c r="J68" s="142">
        <f aca="true" t="shared" si="4" ref="J68:J74">D68+F68+H68</f>
        <v>319.59</v>
      </c>
      <c r="K68" s="4"/>
      <c r="L68" s="4" t="s">
        <v>136</v>
      </c>
      <c r="M68" s="4"/>
      <c r="N68" s="4" t="s">
        <v>137</v>
      </c>
      <c r="O68" s="120">
        <f>D68</f>
        <v>319.59</v>
      </c>
      <c r="P68" s="98"/>
      <c r="R68" s="98" t="s">
        <v>147</v>
      </c>
      <c r="S68" t="s">
        <v>152</v>
      </c>
    </row>
    <row r="69" spans="1:18" ht="12.75">
      <c r="A69" s="102"/>
      <c r="B69" s="102"/>
      <c r="C69" s="139" t="s">
        <v>155</v>
      </c>
      <c r="D69" s="140">
        <v>0.24854</v>
      </c>
      <c r="E69" s="4"/>
      <c r="F69" s="4">
        <v>-0.00806</v>
      </c>
      <c r="H69" s="4">
        <v>0.01087</v>
      </c>
      <c r="J69" s="95">
        <f t="shared" si="4"/>
        <v>0.25135</v>
      </c>
      <c r="K69" s="4">
        <v>0.20958</v>
      </c>
      <c r="L69" s="4"/>
      <c r="M69" s="4">
        <v>0.01998</v>
      </c>
      <c r="N69" s="4"/>
      <c r="O69" s="126">
        <f aca="true" t="shared" si="5" ref="O69:O74">SUM(D69+F69+H69+K69+M69)</f>
        <v>0.48091</v>
      </c>
      <c r="P69" s="98"/>
      <c r="R69" s="98"/>
    </row>
    <row r="70" spans="1:18" ht="12.75">
      <c r="A70" s="14"/>
      <c r="B70" s="14"/>
      <c r="C70" s="14" t="s">
        <v>156</v>
      </c>
      <c r="D70" s="128">
        <v>0.88772</v>
      </c>
      <c r="E70" s="4"/>
      <c r="F70" s="4">
        <f>F69</f>
        <v>-0.00806</v>
      </c>
      <c r="G70" s="4"/>
      <c r="H70" s="4">
        <f>H69</f>
        <v>0.01087</v>
      </c>
      <c r="I70" s="4"/>
      <c r="J70" s="95">
        <f t="shared" si="4"/>
        <v>0.89053</v>
      </c>
      <c r="K70" s="4">
        <f>K69</f>
        <v>0.20958</v>
      </c>
      <c r="L70" s="4"/>
      <c r="M70" s="4">
        <f>M69</f>
        <v>0.01998</v>
      </c>
      <c r="N70" s="4"/>
      <c r="O70" s="126">
        <f t="shared" si="5"/>
        <v>1.12009</v>
      </c>
      <c r="P70" s="98"/>
      <c r="R70" s="98"/>
    </row>
    <row r="71" spans="1:18" ht="12.75">
      <c r="A71" s="14"/>
      <c r="B71" s="14"/>
      <c r="C71" s="141" t="s">
        <v>157</v>
      </c>
      <c r="D71" s="128">
        <v>0.83722</v>
      </c>
      <c r="E71" s="4"/>
      <c r="F71" s="4">
        <f>F69</f>
        <v>-0.00806</v>
      </c>
      <c r="G71" s="4"/>
      <c r="H71" s="4">
        <f>H69</f>
        <v>0.01087</v>
      </c>
      <c r="I71" s="4"/>
      <c r="J71" s="95">
        <f t="shared" si="4"/>
        <v>0.84003</v>
      </c>
      <c r="K71" s="4">
        <f>K69</f>
        <v>0.20958</v>
      </c>
      <c r="L71" s="4"/>
      <c r="M71" s="4">
        <f>M70</f>
        <v>0.01998</v>
      </c>
      <c r="O71" s="126">
        <f t="shared" si="5"/>
        <v>1.06959</v>
      </c>
      <c r="P71" s="98"/>
      <c r="R71" s="98"/>
    </row>
    <row r="72" spans="1:18" ht="12.75">
      <c r="A72" s="14"/>
      <c r="B72" s="14"/>
      <c r="C72" s="141" t="s">
        <v>158</v>
      </c>
      <c r="D72" s="128">
        <v>0.77169</v>
      </c>
      <c r="E72" s="4"/>
      <c r="F72" s="4">
        <f>F69</f>
        <v>-0.00806</v>
      </c>
      <c r="G72" s="4"/>
      <c r="H72" s="4">
        <f>H69</f>
        <v>0.01087</v>
      </c>
      <c r="I72" s="4"/>
      <c r="J72" s="95">
        <f t="shared" si="4"/>
        <v>0.7745000000000001</v>
      </c>
      <c r="K72" s="4">
        <f>K69</f>
        <v>0.20958</v>
      </c>
      <c r="L72" s="4"/>
      <c r="M72" s="4">
        <f>M70</f>
        <v>0.01998</v>
      </c>
      <c r="O72" s="126">
        <f t="shared" si="5"/>
        <v>1.0040600000000002</v>
      </c>
      <c r="P72" s="98"/>
      <c r="R72" s="98"/>
    </row>
    <row r="73" spans="1:18" ht="12.75">
      <c r="A73" s="14"/>
      <c r="B73" s="14"/>
      <c r="C73" s="141" t="s">
        <v>159</v>
      </c>
      <c r="D73" s="128">
        <v>0.73016</v>
      </c>
      <c r="E73" s="4"/>
      <c r="F73" s="4">
        <f>F69</f>
        <v>-0.00806</v>
      </c>
      <c r="G73" s="4"/>
      <c r="H73" s="4">
        <f>H69</f>
        <v>0.01087</v>
      </c>
      <c r="I73" s="4"/>
      <c r="J73" s="95">
        <f t="shared" si="4"/>
        <v>0.7329700000000001</v>
      </c>
      <c r="K73" s="4">
        <f>K69</f>
        <v>0.20958</v>
      </c>
      <c r="L73" s="4"/>
      <c r="M73" s="4">
        <f>M70</f>
        <v>0.01998</v>
      </c>
      <c r="O73" s="126">
        <f t="shared" si="5"/>
        <v>0.9625300000000001</v>
      </c>
      <c r="P73" s="98"/>
      <c r="R73" s="98"/>
    </row>
    <row r="74" spans="1:18" ht="12.75">
      <c r="A74" s="14"/>
      <c r="B74" s="14"/>
      <c r="C74" s="14" t="s">
        <v>160</v>
      </c>
      <c r="D74" s="128">
        <v>0.71881</v>
      </c>
      <c r="E74" s="4"/>
      <c r="F74" s="4">
        <f>F69</f>
        <v>-0.00806</v>
      </c>
      <c r="G74" s="4"/>
      <c r="H74" s="4">
        <f>H69</f>
        <v>0.01087</v>
      </c>
      <c r="I74" s="4"/>
      <c r="J74" s="95">
        <f t="shared" si="4"/>
        <v>0.72162</v>
      </c>
      <c r="K74" s="4">
        <f>K69</f>
        <v>0.20958</v>
      </c>
      <c r="L74" s="4"/>
      <c r="M74" s="4">
        <f>M70</f>
        <v>0.01998</v>
      </c>
      <c r="O74" s="126">
        <f t="shared" si="5"/>
        <v>0.95118</v>
      </c>
      <c r="P74" s="98"/>
      <c r="R74" s="98"/>
    </row>
    <row r="75" spans="1:18" ht="12.75">
      <c r="A75" s="85"/>
      <c r="B75" s="85"/>
      <c r="C75" s="86"/>
      <c r="D75" s="87"/>
      <c r="E75" s="86"/>
      <c r="F75" s="86"/>
      <c r="G75" s="86"/>
      <c r="H75" s="86"/>
      <c r="I75" s="86"/>
      <c r="J75" s="88"/>
      <c r="K75" s="86"/>
      <c r="L75" s="89"/>
      <c r="M75" s="4"/>
      <c r="N75" s="4"/>
      <c r="O75" s="89"/>
      <c r="P75" s="98"/>
      <c r="R75" s="98"/>
    </row>
    <row r="76" spans="1:19" ht="12.75">
      <c r="A76" s="102">
        <v>39022</v>
      </c>
      <c r="B76" s="102"/>
      <c r="C76" s="136" t="s">
        <v>146</v>
      </c>
      <c r="D76" s="137">
        <v>319.59</v>
      </c>
      <c r="E76" s="4" t="s">
        <v>135</v>
      </c>
      <c r="F76" s="4"/>
      <c r="G76" s="4" t="s">
        <v>137</v>
      </c>
      <c r="H76" s="4"/>
      <c r="I76" s="4" t="s">
        <v>124</v>
      </c>
      <c r="J76" s="142">
        <f aca="true" t="shared" si="6" ref="J76:J82">D76+F76+H76</f>
        <v>319.59</v>
      </c>
      <c r="K76" s="4"/>
      <c r="L76" s="4" t="s">
        <v>136</v>
      </c>
      <c r="M76" s="4"/>
      <c r="N76" s="4" t="s">
        <v>137</v>
      </c>
      <c r="O76" s="120">
        <f>D76</f>
        <v>319.59</v>
      </c>
      <c r="P76" s="98"/>
      <c r="R76" s="98" t="s">
        <v>139</v>
      </c>
      <c r="S76" t="s">
        <v>140</v>
      </c>
    </row>
    <row r="77" spans="1:18" ht="12.75">
      <c r="A77" s="102"/>
      <c r="B77" s="102"/>
      <c r="C77" s="139" t="s">
        <v>155</v>
      </c>
      <c r="D77" s="140">
        <v>0.24854</v>
      </c>
      <c r="E77" s="4"/>
      <c r="F77" s="4">
        <v>0</v>
      </c>
      <c r="G77" s="4"/>
      <c r="H77" s="4">
        <v>0.06621</v>
      </c>
      <c r="J77" s="95">
        <f t="shared" si="6"/>
        <v>0.31475000000000003</v>
      </c>
      <c r="K77" s="4">
        <v>0.20958</v>
      </c>
      <c r="L77" s="4"/>
      <c r="M77" s="4">
        <v>0.01998</v>
      </c>
      <c r="N77" s="4"/>
      <c r="O77" s="126">
        <f aca="true" t="shared" si="7" ref="O77:O82">SUM(D77+F77+H77+K77+M77)</f>
        <v>0.54431</v>
      </c>
      <c r="P77" s="98"/>
      <c r="R77" s="98"/>
    </row>
    <row r="78" spans="1:18" ht="12.75">
      <c r="A78" s="14"/>
      <c r="B78" s="14"/>
      <c r="C78" s="14" t="s">
        <v>156</v>
      </c>
      <c r="D78" s="128">
        <v>0.88772</v>
      </c>
      <c r="E78" s="4"/>
      <c r="F78" s="4">
        <f>F77</f>
        <v>0</v>
      </c>
      <c r="G78" s="4"/>
      <c r="H78" s="4">
        <f>H77</f>
        <v>0.06621</v>
      </c>
      <c r="I78" s="4"/>
      <c r="J78" s="95">
        <f t="shared" si="6"/>
        <v>0.95393</v>
      </c>
      <c r="K78" s="4">
        <f>K77</f>
        <v>0.20958</v>
      </c>
      <c r="L78" s="4"/>
      <c r="M78" s="4">
        <f>M77</f>
        <v>0.01998</v>
      </c>
      <c r="N78" s="4"/>
      <c r="O78" s="126">
        <f t="shared" si="7"/>
        <v>1.1834900000000002</v>
      </c>
      <c r="P78" s="98"/>
      <c r="R78" s="98"/>
    </row>
    <row r="79" spans="1:18" ht="12.75">
      <c r="A79" s="14"/>
      <c r="B79" s="14"/>
      <c r="C79" s="141" t="s">
        <v>157</v>
      </c>
      <c r="D79" s="128">
        <v>0.83722</v>
      </c>
      <c r="E79" s="4"/>
      <c r="F79" s="4">
        <f>F77</f>
        <v>0</v>
      </c>
      <c r="G79" s="4"/>
      <c r="H79" s="4">
        <f>H77</f>
        <v>0.06621</v>
      </c>
      <c r="I79" s="4"/>
      <c r="J79" s="95">
        <f t="shared" si="6"/>
        <v>0.90343</v>
      </c>
      <c r="K79" s="4">
        <f>K77</f>
        <v>0.20958</v>
      </c>
      <c r="L79" s="4"/>
      <c r="M79" s="4">
        <f>M78</f>
        <v>0.01998</v>
      </c>
      <c r="O79" s="126">
        <f t="shared" si="7"/>
        <v>1.1329900000000002</v>
      </c>
      <c r="P79" s="98"/>
      <c r="R79" s="98"/>
    </row>
    <row r="80" spans="1:18" ht="12.75">
      <c r="A80" s="14"/>
      <c r="B80" s="14"/>
      <c r="C80" s="141" t="s">
        <v>158</v>
      </c>
      <c r="D80" s="128">
        <v>0.77169</v>
      </c>
      <c r="E80" s="4"/>
      <c r="F80" s="4">
        <f>F77</f>
        <v>0</v>
      </c>
      <c r="G80" s="4"/>
      <c r="H80" s="4">
        <f>H77</f>
        <v>0.06621</v>
      </c>
      <c r="I80" s="4"/>
      <c r="J80" s="95">
        <f t="shared" si="6"/>
        <v>0.8379</v>
      </c>
      <c r="K80" s="4">
        <f>K77</f>
        <v>0.20958</v>
      </c>
      <c r="L80" s="4"/>
      <c r="M80" s="4">
        <f>M78</f>
        <v>0.01998</v>
      </c>
      <c r="O80" s="126">
        <f t="shared" si="7"/>
        <v>1.06746</v>
      </c>
      <c r="P80" s="98"/>
      <c r="R80" s="98"/>
    </row>
    <row r="81" spans="1:18" ht="12.75">
      <c r="A81" s="14"/>
      <c r="B81" s="14"/>
      <c r="C81" s="141" t="s">
        <v>159</v>
      </c>
      <c r="D81" s="128">
        <v>0.73016</v>
      </c>
      <c r="E81" s="4"/>
      <c r="F81" s="4">
        <f>F77</f>
        <v>0</v>
      </c>
      <c r="G81" s="4"/>
      <c r="H81" s="4">
        <f>H77</f>
        <v>0.06621</v>
      </c>
      <c r="I81" s="4"/>
      <c r="J81" s="95">
        <f t="shared" si="6"/>
        <v>0.79637</v>
      </c>
      <c r="K81" s="4">
        <f>K77</f>
        <v>0.20958</v>
      </c>
      <c r="L81" s="4"/>
      <c r="M81" s="4">
        <f>M78</f>
        <v>0.01998</v>
      </c>
      <c r="O81" s="126">
        <f t="shared" si="7"/>
        <v>1.02593</v>
      </c>
      <c r="P81" s="98"/>
      <c r="R81" s="98"/>
    </row>
    <row r="82" spans="1:18" ht="12.75">
      <c r="A82" s="14"/>
      <c r="B82" s="14"/>
      <c r="C82" s="14" t="s">
        <v>160</v>
      </c>
      <c r="D82" s="128">
        <v>0.71881</v>
      </c>
      <c r="E82" s="4"/>
      <c r="F82" s="4">
        <f>F77</f>
        <v>0</v>
      </c>
      <c r="G82" s="4"/>
      <c r="H82" s="4">
        <f>H77</f>
        <v>0.06621</v>
      </c>
      <c r="I82" s="4"/>
      <c r="J82" s="95">
        <f t="shared" si="6"/>
        <v>0.7850199999999999</v>
      </c>
      <c r="K82" s="4">
        <f>K77</f>
        <v>0.20958</v>
      </c>
      <c r="L82" s="4"/>
      <c r="M82" s="4">
        <f>M78</f>
        <v>0.01998</v>
      </c>
      <c r="O82" s="126">
        <f t="shared" si="7"/>
        <v>1.01458</v>
      </c>
      <c r="P82" s="98"/>
      <c r="R82" s="98"/>
    </row>
    <row r="83" spans="1:18" ht="12.75">
      <c r="A83" s="85"/>
      <c r="B83" s="85"/>
      <c r="C83" s="86"/>
      <c r="D83" s="87"/>
      <c r="E83" s="86"/>
      <c r="F83" s="86"/>
      <c r="G83" s="86"/>
      <c r="H83" s="86"/>
      <c r="I83" s="86"/>
      <c r="J83" s="88"/>
      <c r="K83" s="86"/>
      <c r="L83" s="89"/>
      <c r="M83" s="4"/>
      <c r="N83" s="4"/>
      <c r="O83" s="89"/>
      <c r="P83" s="98"/>
      <c r="R83" s="98"/>
    </row>
    <row r="84" spans="1:19" ht="12.75">
      <c r="A84" s="102">
        <v>38718</v>
      </c>
      <c r="B84" s="102"/>
      <c r="C84" s="136" t="s">
        <v>146</v>
      </c>
      <c r="D84" s="137">
        <v>319.59</v>
      </c>
      <c r="E84" s="4" t="s">
        <v>141</v>
      </c>
      <c r="F84" s="4"/>
      <c r="G84" s="4" t="s">
        <v>137</v>
      </c>
      <c r="H84" s="4"/>
      <c r="I84" s="4" t="s">
        <v>137</v>
      </c>
      <c r="J84" s="142">
        <f aca="true" t="shared" si="8" ref="J84:J90">D84+F84+H84</f>
        <v>319.59</v>
      </c>
      <c r="K84" s="4"/>
      <c r="L84" s="4" t="s">
        <v>142</v>
      </c>
      <c r="M84" s="4"/>
      <c r="N84" s="4" t="s">
        <v>123</v>
      </c>
      <c r="O84" s="120">
        <f>D84</f>
        <v>319.59</v>
      </c>
      <c r="P84" s="98"/>
      <c r="R84" s="98" t="s">
        <v>133</v>
      </c>
      <c r="S84" t="s">
        <v>144</v>
      </c>
    </row>
    <row r="85" spans="1:18" ht="12.75">
      <c r="A85" s="102"/>
      <c r="B85" s="102"/>
      <c r="C85" s="139" t="s">
        <v>155</v>
      </c>
      <c r="D85" s="140">
        <v>0.24854</v>
      </c>
      <c r="E85" s="4"/>
      <c r="F85" s="4">
        <v>0</v>
      </c>
      <c r="G85" s="4"/>
      <c r="H85" s="4">
        <v>0.02615</v>
      </c>
      <c r="J85" s="95">
        <f t="shared" si="8"/>
        <v>0.27469</v>
      </c>
      <c r="K85" s="4">
        <v>0.23121</v>
      </c>
      <c r="L85" s="4"/>
      <c r="M85" s="4">
        <v>0.00848</v>
      </c>
      <c r="N85" s="4"/>
      <c r="O85" s="126">
        <f aca="true" t="shared" si="9" ref="O85:O90">SUM(D85+F85+H85+K85+M85)</f>
        <v>0.5143800000000001</v>
      </c>
      <c r="P85" s="98"/>
      <c r="R85" s="98"/>
    </row>
    <row r="86" spans="1:18" ht="12.75">
      <c r="A86" s="14"/>
      <c r="B86" s="14"/>
      <c r="C86" s="14" t="s">
        <v>156</v>
      </c>
      <c r="D86" s="128">
        <v>0.88772</v>
      </c>
      <c r="E86" s="4"/>
      <c r="F86" s="4">
        <f>F85</f>
        <v>0</v>
      </c>
      <c r="G86" s="4"/>
      <c r="H86" s="4">
        <f>H85</f>
        <v>0.02615</v>
      </c>
      <c r="I86" s="4"/>
      <c r="J86" s="95">
        <f t="shared" si="8"/>
        <v>0.91387</v>
      </c>
      <c r="K86" s="4">
        <f>K85</f>
        <v>0.23121</v>
      </c>
      <c r="L86" s="4"/>
      <c r="M86" s="4">
        <f>M85</f>
        <v>0.00848</v>
      </c>
      <c r="N86" s="4"/>
      <c r="O86" s="126">
        <f t="shared" si="9"/>
        <v>1.15356</v>
      </c>
      <c r="P86" s="98"/>
      <c r="R86" s="98"/>
    </row>
    <row r="87" spans="1:18" ht="12.75">
      <c r="A87" s="14"/>
      <c r="B87" s="14"/>
      <c r="C87" s="141" t="s">
        <v>157</v>
      </c>
      <c r="D87" s="128">
        <v>0.83722</v>
      </c>
      <c r="E87" s="4"/>
      <c r="F87" s="4">
        <f>F85</f>
        <v>0</v>
      </c>
      <c r="G87" s="4"/>
      <c r="H87" s="4">
        <f>H85</f>
        <v>0.02615</v>
      </c>
      <c r="I87" s="4"/>
      <c r="J87" s="95">
        <f t="shared" si="8"/>
        <v>0.86337</v>
      </c>
      <c r="K87" s="4">
        <f>K85</f>
        <v>0.23121</v>
      </c>
      <c r="L87" s="4"/>
      <c r="M87" s="4">
        <f>M86</f>
        <v>0.00848</v>
      </c>
      <c r="O87" s="126">
        <f t="shared" si="9"/>
        <v>1.10306</v>
      </c>
      <c r="P87" s="98"/>
      <c r="R87" s="98"/>
    </row>
    <row r="88" spans="1:18" ht="12.75">
      <c r="A88" s="14"/>
      <c r="B88" s="14"/>
      <c r="C88" s="141" t="s">
        <v>158</v>
      </c>
      <c r="D88" s="128">
        <v>0.77169</v>
      </c>
      <c r="E88" s="4"/>
      <c r="F88" s="4">
        <f>F85</f>
        <v>0</v>
      </c>
      <c r="G88" s="4"/>
      <c r="H88" s="4">
        <f>H85</f>
        <v>0.02615</v>
      </c>
      <c r="I88" s="4"/>
      <c r="J88" s="95">
        <f t="shared" si="8"/>
        <v>0.79784</v>
      </c>
      <c r="K88" s="4">
        <f>K85</f>
        <v>0.23121</v>
      </c>
      <c r="L88" s="4"/>
      <c r="M88" s="4">
        <f>M86</f>
        <v>0.00848</v>
      </c>
      <c r="O88" s="126">
        <f t="shared" si="9"/>
        <v>1.03753</v>
      </c>
      <c r="P88" s="98"/>
      <c r="R88" s="98"/>
    </row>
    <row r="89" spans="1:18" ht="12.75">
      <c r="A89" s="14"/>
      <c r="B89" s="14"/>
      <c r="C89" s="141" t="s">
        <v>159</v>
      </c>
      <c r="D89" s="128">
        <v>0.73016</v>
      </c>
      <c r="E89" s="4"/>
      <c r="F89" s="4">
        <f>F85</f>
        <v>0</v>
      </c>
      <c r="G89" s="4"/>
      <c r="H89" s="4">
        <f>H85</f>
        <v>0.02615</v>
      </c>
      <c r="I89" s="4"/>
      <c r="J89" s="95">
        <f t="shared" si="8"/>
        <v>0.75631</v>
      </c>
      <c r="K89" s="4">
        <f>K85</f>
        <v>0.23121</v>
      </c>
      <c r="L89" s="4"/>
      <c r="M89" s="4">
        <f>M86</f>
        <v>0.00848</v>
      </c>
      <c r="O89" s="126">
        <f t="shared" si="9"/>
        <v>0.9960000000000001</v>
      </c>
      <c r="P89" s="98"/>
      <c r="R89" s="98"/>
    </row>
    <row r="90" spans="1:18" ht="12.75">
      <c r="A90" s="14"/>
      <c r="B90" s="14"/>
      <c r="C90" s="14" t="s">
        <v>160</v>
      </c>
      <c r="D90" s="128">
        <v>0.71881</v>
      </c>
      <c r="E90" s="4"/>
      <c r="F90" s="4">
        <f>F85</f>
        <v>0</v>
      </c>
      <c r="G90" s="4"/>
      <c r="H90" s="4">
        <f>H85</f>
        <v>0.02615</v>
      </c>
      <c r="I90" s="4"/>
      <c r="J90" s="95">
        <f t="shared" si="8"/>
        <v>0.74496</v>
      </c>
      <c r="K90" s="4">
        <f>K85</f>
        <v>0.23121</v>
      </c>
      <c r="L90" s="4"/>
      <c r="M90" s="4">
        <f>M86</f>
        <v>0.00848</v>
      </c>
      <c r="O90" s="126">
        <f t="shared" si="9"/>
        <v>0.98465</v>
      </c>
      <c r="P90" s="98"/>
      <c r="R90" s="98"/>
    </row>
    <row r="93" spans="1:16" ht="12.75">
      <c r="A93" s="67" t="s">
        <v>105</v>
      </c>
      <c r="B93" s="68"/>
      <c r="C93" s="69"/>
      <c r="D93" s="70"/>
      <c r="E93" s="71"/>
      <c r="F93" s="72" t="s">
        <v>106</v>
      </c>
      <c r="G93" s="71"/>
      <c r="H93" s="72" t="s">
        <v>106</v>
      </c>
      <c r="I93" s="71"/>
      <c r="J93" s="105"/>
      <c r="K93" s="72" t="s">
        <v>106</v>
      </c>
      <c r="L93" s="71"/>
      <c r="M93" s="72" t="s">
        <v>106</v>
      </c>
      <c r="N93" s="71"/>
      <c r="O93" s="74" t="s">
        <v>107</v>
      </c>
      <c r="P93" s="98"/>
    </row>
    <row r="94" spans="1:16" ht="12.75">
      <c r="A94" s="76" t="s">
        <v>108</v>
      </c>
      <c r="B94" s="77"/>
      <c r="C94" s="78" t="s">
        <v>110</v>
      </c>
      <c r="D94" s="79" t="s">
        <v>111</v>
      </c>
      <c r="E94" s="80"/>
      <c r="F94" s="81" t="s">
        <v>112</v>
      </c>
      <c r="G94" s="80"/>
      <c r="H94" s="81" t="s">
        <v>113</v>
      </c>
      <c r="I94" s="80"/>
      <c r="J94" s="82" t="s">
        <v>114</v>
      </c>
      <c r="K94" s="81" t="s">
        <v>115</v>
      </c>
      <c r="L94" s="80"/>
      <c r="M94" s="81" t="s">
        <v>117</v>
      </c>
      <c r="N94" s="80"/>
      <c r="O94" s="84" t="s">
        <v>118</v>
      </c>
      <c r="P94" s="98"/>
    </row>
    <row r="95" spans="1:16" ht="12.75">
      <c r="A95" s="85" t="s">
        <v>161</v>
      </c>
      <c r="B95" s="85"/>
      <c r="C95" s="100"/>
      <c r="D95" s="143"/>
      <c r="E95" s="103"/>
      <c r="F95" s="103"/>
      <c r="G95" s="103"/>
      <c r="H95" s="143"/>
      <c r="I95" s="103"/>
      <c r="J95" s="95"/>
      <c r="K95" s="103"/>
      <c r="L95" s="103"/>
      <c r="M95" s="103"/>
      <c r="N95" s="103"/>
      <c r="O95" s="97"/>
      <c r="P95" s="98"/>
    </row>
    <row r="96" spans="1:19" ht="12.75">
      <c r="A96" s="102">
        <v>39753</v>
      </c>
      <c r="B96" s="102"/>
      <c r="C96" s="94" t="s">
        <v>162</v>
      </c>
      <c r="D96" s="144">
        <f>250000*0.14471</f>
        <v>36177.5</v>
      </c>
      <c r="E96" s="4" t="s">
        <v>141</v>
      </c>
      <c r="F96" s="4"/>
      <c r="G96" s="4" t="s">
        <v>124</v>
      </c>
      <c r="H96" s="14"/>
      <c r="I96" s="94" t="s">
        <v>125</v>
      </c>
      <c r="J96" s="138">
        <f>D96+F96+H96</f>
        <v>36177.5</v>
      </c>
      <c r="K96" s="14"/>
      <c r="L96" s="14" t="s">
        <v>126</v>
      </c>
      <c r="M96" s="4"/>
      <c r="N96" s="100" t="s">
        <v>124</v>
      </c>
      <c r="O96" s="145">
        <f>SUM(D96+F96+H96+M96)</f>
        <v>36177.5</v>
      </c>
      <c r="P96" s="98"/>
      <c r="R96" s="123" t="s">
        <v>147</v>
      </c>
      <c r="S96" s="99" t="s">
        <v>148</v>
      </c>
    </row>
    <row r="97" spans="1:16" ht="12.75">
      <c r="A97" s="14"/>
      <c r="B97" s="14"/>
      <c r="C97" s="14" t="s">
        <v>163</v>
      </c>
      <c r="D97" s="128">
        <v>0.98327</v>
      </c>
      <c r="E97" s="4"/>
      <c r="F97" s="4">
        <v>-0.00818</v>
      </c>
      <c r="G97" s="4"/>
      <c r="H97" s="92">
        <v>-0.02923</v>
      </c>
      <c r="I97" s="14"/>
      <c r="J97" s="125">
        <f>D97+F97+H97</f>
        <v>0.94586</v>
      </c>
      <c r="K97" s="127">
        <v>0.05013</v>
      </c>
      <c r="L97" s="14"/>
      <c r="M97" s="4">
        <v>0.02053</v>
      </c>
      <c r="N97" s="4"/>
      <c r="O97" s="97">
        <f>SUM(D97+F97+H97+K97+M97)</f>
        <v>1.01652</v>
      </c>
      <c r="P97" s="98"/>
    </row>
    <row r="98" spans="1:16" ht="12.75">
      <c r="A98" s="14"/>
      <c r="B98" s="14"/>
      <c r="C98" s="141" t="s">
        <v>159</v>
      </c>
      <c r="D98" s="128">
        <v>0.94195</v>
      </c>
      <c r="E98" s="4"/>
      <c r="F98" s="4">
        <f>F97</f>
        <v>-0.00818</v>
      </c>
      <c r="G98" s="4"/>
      <c r="H98" s="92">
        <f>H97</f>
        <v>-0.02923</v>
      </c>
      <c r="I98" s="14"/>
      <c r="J98" s="125">
        <f>D98+F98+H98</f>
        <v>0.90454</v>
      </c>
      <c r="K98" s="14">
        <f>K97</f>
        <v>0.05013</v>
      </c>
      <c r="L98" s="14"/>
      <c r="M98" s="4">
        <f>M97</f>
        <v>0.02053</v>
      </c>
      <c r="N98" s="4"/>
      <c r="O98" s="97">
        <f>SUM(D98+F98+H98+K98+M98)</f>
        <v>0.9752000000000001</v>
      </c>
      <c r="P98" s="98"/>
    </row>
    <row r="99" spans="1:16" ht="12.75">
      <c r="A99" s="14"/>
      <c r="B99" s="14"/>
      <c r="C99" s="141" t="s">
        <v>164</v>
      </c>
      <c r="D99" s="128">
        <v>0.93181</v>
      </c>
      <c r="E99" s="4"/>
      <c r="F99" s="4">
        <f>F98</f>
        <v>-0.00818</v>
      </c>
      <c r="G99" s="4"/>
      <c r="H99" s="92">
        <f>H97</f>
        <v>-0.02923</v>
      </c>
      <c r="I99" s="14"/>
      <c r="J99" s="125">
        <f>D99+F99+H99</f>
        <v>0.8944000000000001</v>
      </c>
      <c r="K99" s="14">
        <f>K97</f>
        <v>0.05013</v>
      </c>
      <c r="L99" s="14"/>
      <c r="M99" s="4">
        <f>M97</f>
        <v>0.02053</v>
      </c>
      <c r="N99" s="4"/>
      <c r="O99" s="97">
        <f>SUM(D99+F99+H99+K99+M99)</f>
        <v>0.9650600000000001</v>
      </c>
      <c r="P99" s="98"/>
    </row>
    <row r="100" spans="1:16" ht="12.75">
      <c r="A100" s="14"/>
      <c r="B100" s="14"/>
      <c r="C100" s="14" t="s">
        <v>165</v>
      </c>
      <c r="D100" s="128">
        <v>0.92846</v>
      </c>
      <c r="E100" s="4"/>
      <c r="F100" s="4">
        <f>F99</f>
        <v>-0.00818</v>
      </c>
      <c r="G100" s="4"/>
      <c r="H100" s="92">
        <f>H97</f>
        <v>-0.02923</v>
      </c>
      <c r="I100" s="14"/>
      <c r="J100" s="125">
        <f>D100+F100+H100</f>
        <v>0.89105</v>
      </c>
      <c r="K100" s="14">
        <f>K97</f>
        <v>0.05013</v>
      </c>
      <c r="L100" s="14"/>
      <c r="M100" s="4">
        <f>M97</f>
        <v>0.02053</v>
      </c>
      <c r="N100" s="4"/>
      <c r="O100" s="97">
        <f>SUM(D100+F100+H100+K100+M100)</f>
        <v>0.9617100000000001</v>
      </c>
      <c r="P100" s="98"/>
    </row>
    <row r="101" spans="1:16" ht="12.75">
      <c r="A101" s="85"/>
      <c r="B101" s="85"/>
      <c r="C101" s="100"/>
      <c r="D101" s="143"/>
      <c r="E101" s="103"/>
      <c r="F101" s="103"/>
      <c r="G101" s="103"/>
      <c r="H101" s="143"/>
      <c r="I101" s="103"/>
      <c r="J101" s="95"/>
      <c r="K101" s="103"/>
      <c r="L101" s="103"/>
      <c r="M101" s="103"/>
      <c r="N101" s="103"/>
      <c r="O101" s="97"/>
      <c r="P101" s="98"/>
    </row>
    <row r="102" spans="1:19" ht="12.75">
      <c r="A102" s="102">
        <v>39448</v>
      </c>
      <c r="B102" s="102"/>
      <c r="C102" s="94" t="s">
        <v>162</v>
      </c>
      <c r="D102" s="144">
        <f>250000*0.14471</f>
        <v>36177.5</v>
      </c>
      <c r="E102" s="4" t="s">
        <v>141</v>
      </c>
      <c r="F102" s="4"/>
      <c r="G102" s="4" t="s">
        <v>124</v>
      </c>
      <c r="H102" s="4"/>
      <c r="I102" s="100" t="s">
        <v>130</v>
      </c>
      <c r="J102" s="142">
        <f>D102+F102+H102</f>
        <v>36177.5</v>
      </c>
      <c r="K102" s="4"/>
      <c r="L102" s="4" t="s">
        <v>131</v>
      </c>
      <c r="M102" s="4"/>
      <c r="N102" s="100" t="s">
        <v>124</v>
      </c>
      <c r="O102" s="145">
        <f>SUM(D102+F102+H102+M102)</f>
        <v>36177.5</v>
      </c>
      <c r="P102" s="98"/>
      <c r="R102" s="98" t="s">
        <v>133</v>
      </c>
      <c r="S102" t="s">
        <v>134</v>
      </c>
    </row>
    <row r="103" spans="1:16" ht="12.75">
      <c r="A103" s="14"/>
      <c r="B103" s="14"/>
      <c r="C103" s="14" t="s">
        <v>163</v>
      </c>
      <c r="D103" s="128">
        <v>0.98327</v>
      </c>
      <c r="E103" s="4"/>
      <c r="F103" s="4">
        <v>-0.00818</v>
      </c>
      <c r="G103" s="4"/>
      <c r="H103" s="143">
        <v>0.00664</v>
      </c>
      <c r="I103" s="4"/>
      <c r="J103" s="95">
        <f>D103+F103+H103</f>
        <v>0.98173</v>
      </c>
      <c r="K103" s="103">
        <v>0</v>
      </c>
      <c r="L103" s="4"/>
      <c r="M103" s="4">
        <v>0.02053</v>
      </c>
      <c r="N103" s="4"/>
      <c r="O103" s="97">
        <f>SUM(D103+F103+H103+K103+M103)</f>
        <v>1.00226</v>
      </c>
      <c r="P103" s="98"/>
    </row>
    <row r="104" spans="1:16" ht="12.75">
      <c r="A104" s="14"/>
      <c r="B104" s="14"/>
      <c r="C104" s="141" t="s">
        <v>159</v>
      </c>
      <c r="D104" s="128">
        <v>0.94195</v>
      </c>
      <c r="E104" s="4"/>
      <c r="F104" s="4">
        <f>F103</f>
        <v>-0.00818</v>
      </c>
      <c r="G104" s="4"/>
      <c r="H104" s="143">
        <f>H103</f>
        <v>0.00664</v>
      </c>
      <c r="I104" s="4"/>
      <c r="J104" s="95">
        <f>D104+F104+H104</f>
        <v>0.94041</v>
      </c>
      <c r="K104" s="4">
        <f>K103</f>
        <v>0</v>
      </c>
      <c r="L104" s="4"/>
      <c r="M104" s="4">
        <f>M103</f>
        <v>0.02053</v>
      </c>
      <c r="N104" s="4"/>
      <c r="O104" s="97">
        <f>SUM(D104+F104+H104+K104+M104)</f>
        <v>0.96094</v>
      </c>
      <c r="P104" s="98"/>
    </row>
    <row r="105" spans="1:18" ht="12.75">
      <c r="A105" s="14"/>
      <c r="B105" s="14"/>
      <c r="C105" s="141" t="s">
        <v>164</v>
      </c>
      <c r="D105" s="128">
        <v>0.93181</v>
      </c>
      <c r="E105" s="4"/>
      <c r="F105" s="4">
        <f>F104</f>
        <v>-0.00818</v>
      </c>
      <c r="G105" s="4"/>
      <c r="H105" s="143">
        <f>H103</f>
        <v>0.00664</v>
      </c>
      <c r="I105" s="4"/>
      <c r="J105" s="95">
        <f>D105+F105+H105</f>
        <v>0.93027</v>
      </c>
      <c r="K105" s="4">
        <f>K103</f>
        <v>0</v>
      </c>
      <c r="L105" s="4"/>
      <c r="M105" s="4">
        <f>M103</f>
        <v>0.02053</v>
      </c>
      <c r="N105" s="4"/>
      <c r="O105" s="97">
        <f>SUM(D105+F105+H105+K105+M105)</f>
        <v>0.9508000000000001</v>
      </c>
      <c r="P105" s="98"/>
      <c r="R105" s="98"/>
    </row>
    <row r="106" spans="1:18" ht="12.75">
      <c r="A106" s="14"/>
      <c r="B106" s="14"/>
      <c r="C106" s="14" t="s">
        <v>165</v>
      </c>
      <c r="D106" s="128">
        <v>0.92846</v>
      </c>
      <c r="E106" s="4"/>
      <c r="F106" s="4">
        <f>F105</f>
        <v>-0.00818</v>
      </c>
      <c r="G106" s="4"/>
      <c r="H106" s="143">
        <f>H103</f>
        <v>0.00664</v>
      </c>
      <c r="I106" s="4"/>
      <c r="J106" s="95">
        <f>D106+F106+H106</f>
        <v>0.92692</v>
      </c>
      <c r="K106" s="4">
        <f>K103</f>
        <v>0</v>
      </c>
      <c r="L106" s="4"/>
      <c r="M106" s="4">
        <f>M103</f>
        <v>0.02053</v>
      </c>
      <c r="N106" s="4"/>
      <c r="O106" s="97">
        <f>SUM(D106+F106+H106+K106+M106)</f>
        <v>0.94745</v>
      </c>
      <c r="P106" s="98"/>
      <c r="R106" s="98"/>
    </row>
    <row r="107" spans="1:18" ht="12.75">
      <c r="A107" s="103"/>
      <c r="B107" s="103"/>
      <c r="C107" s="100"/>
      <c r="D107" s="143"/>
      <c r="E107" s="103"/>
      <c r="F107" s="103"/>
      <c r="G107" s="103"/>
      <c r="H107" s="143"/>
      <c r="I107" s="103"/>
      <c r="J107" s="95"/>
      <c r="K107" s="103"/>
      <c r="L107" s="103"/>
      <c r="M107" s="103"/>
      <c r="N107" s="103"/>
      <c r="O107" s="97"/>
      <c r="P107" s="98"/>
      <c r="R107" s="98"/>
    </row>
    <row r="108" spans="1:19" ht="12.75">
      <c r="A108" s="102">
        <v>39387</v>
      </c>
      <c r="B108" s="102"/>
      <c r="C108" s="94" t="s">
        <v>162</v>
      </c>
      <c r="D108" s="144">
        <f>250000*0.17</f>
        <v>42500</v>
      </c>
      <c r="E108" s="4" t="s">
        <v>141</v>
      </c>
      <c r="F108" s="4"/>
      <c r="G108" s="4" t="s">
        <v>124</v>
      </c>
      <c r="H108" s="4"/>
      <c r="I108" s="100" t="s">
        <v>130</v>
      </c>
      <c r="J108" s="142">
        <f>D108+F108+H108</f>
        <v>42500</v>
      </c>
      <c r="K108" s="4"/>
      <c r="L108" s="4" t="s">
        <v>136</v>
      </c>
      <c r="M108" s="4"/>
      <c r="N108" s="100" t="s">
        <v>137</v>
      </c>
      <c r="O108" s="145">
        <f>SUM(D108+F108+H108+M108)</f>
        <v>42500</v>
      </c>
      <c r="P108" s="98"/>
      <c r="R108" s="98" t="s">
        <v>147</v>
      </c>
      <c r="S108" t="s">
        <v>152</v>
      </c>
    </row>
    <row r="109" spans="1:18" ht="12.75">
      <c r="A109" s="14"/>
      <c r="B109" s="14"/>
      <c r="C109" s="14" t="s">
        <v>163</v>
      </c>
      <c r="D109" s="128">
        <v>0.76056</v>
      </c>
      <c r="E109" s="4"/>
      <c r="F109" s="4">
        <v>-0.00818</v>
      </c>
      <c r="G109" s="4"/>
      <c r="H109" s="143">
        <v>0.00664</v>
      </c>
      <c r="I109" s="4"/>
      <c r="J109" s="95">
        <f>D109+F109+H109</f>
        <v>0.75902</v>
      </c>
      <c r="K109" s="103">
        <v>0.20894</v>
      </c>
      <c r="L109" s="4"/>
      <c r="M109" s="4">
        <v>0.01931</v>
      </c>
      <c r="N109" s="4"/>
      <c r="O109" s="97">
        <f>SUM(D109+F109+H109+K109+M109)</f>
        <v>0.9872700000000001</v>
      </c>
      <c r="P109" s="98"/>
      <c r="R109" s="98"/>
    </row>
    <row r="110" spans="1:18" ht="12.75">
      <c r="A110" s="14"/>
      <c r="B110" s="14"/>
      <c r="C110" s="141" t="s">
        <v>159</v>
      </c>
      <c r="D110" s="128">
        <v>0.71982</v>
      </c>
      <c r="E110" s="4"/>
      <c r="F110" s="4">
        <f>F109</f>
        <v>-0.00818</v>
      </c>
      <c r="G110" s="4"/>
      <c r="H110" s="143">
        <f>H109</f>
        <v>0.00664</v>
      </c>
      <c r="I110" s="4"/>
      <c r="J110" s="95">
        <f>D110+F110+H110</f>
        <v>0.71828</v>
      </c>
      <c r="K110" s="4">
        <f>K109</f>
        <v>0.20894</v>
      </c>
      <c r="L110" s="4"/>
      <c r="M110" s="4">
        <f>M109</f>
        <v>0.01931</v>
      </c>
      <c r="N110" s="4"/>
      <c r="O110" s="97">
        <f>SUM(D110+F110+H110+K110+M110)</f>
        <v>0.9465300000000001</v>
      </c>
      <c r="P110" s="98"/>
      <c r="R110" s="98"/>
    </row>
    <row r="111" spans="1:18" ht="12.75">
      <c r="A111" s="14"/>
      <c r="B111" s="14"/>
      <c r="C111" s="141" t="s">
        <v>164</v>
      </c>
      <c r="D111" s="128">
        <v>0.70982</v>
      </c>
      <c r="E111" s="4"/>
      <c r="F111" s="4">
        <f>F110</f>
        <v>-0.00818</v>
      </c>
      <c r="G111" s="4"/>
      <c r="H111" s="143">
        <f>H109</f>
        <v>0.00664</v>
      </c>
      <c r="I111" s="4"/>
      <c r="J111" s="95">
        <f>D111+F111+H111</f>
        <v>0.70828</v>
      </c>
      <c r="K111" s="4">
        <f>K109</f>
        <v>0.20894</v>
      </c>
      <c r="L111" s="4"/>
      <c r="M111" s="4">
        <f>M109</f>
        <v>0.01931</v>
      </c>
      <c r="N111" s="4"/>
      <c r="O111" s="97">
        <f>SUM(D111+F111+H111+K111+M111)</f>
        <v>0.9365300000000001</v>
      </c>
      <c r="P111" s="98"/>
      <c r="R111" s="98"/>
    </row>
    <row r="112" spans="1:16" ht="12.75">
      <c r="A112" s="14"/>
      <c r="B112" s="14"/>
      <c r="C112" s="14" t="s">
        <v>165</v>
      </c>
      <c r="D112" s="128">
        <v>0.70652</v>
      </c>
      <c r="E112" s="4"/>
      <c r="F112" s="4">
        <f>F111</f>
        <v>-0.00818</v>
      </c>
      <c r="G112" s="4"/>
      <c r="H112" s="143">
        <f>H109</f>
        <v>0.00664</v>
      </c>
      <c r="I112" s="4"/>
      <c r="J112" s="95">
        <f>D112+F112+H112</f>
        <v>0.70498</v>
      </c>
      <c r="K112" s="4">
        <f>K109</f>
        <v>0.20894</v>
      </c>
      <c r="L112" s="4"/>
      <c r="M112" s="4">
        <f>M109</f>
        <v>0.01931</v>
      </c>
      <c r="N112" s="4"/>
      <c r="O112" s="97">
        <f>SUM(D112+F112+H112+K112+M112)</f>
        <v>0.9332300000000001</v>
      </c>
      <c r="P112" s="98"/>
    </row>
    <row r="113" spans="1:18" ht="12.75">
      <c r="A113" s="103"/>
      <c r="B113" s="103"/>
      <c r="C113" s="100"/>
      <c r="D113" s="143"/>
      <c r="E113" s="103"/>
      <c r="F113" s="103"/>
      <c r="G113" s="103"/>
      <c r="H113" s="143"/>
      <c r="I113" s="103"/>
      <c r="J113" s="95"/>
      <c r="K113" s="103"/>
      <c r="L113" s="103"/>
      <c r="M113" s="103"/>
      <c r="N113" s="103"/>
      <c r="O113" s="97"/>
      <c r="P113" s="98"/>
      <c r="R113" s="98"/>
    </row>
    <row r="114" spans="1:19" ht="12.75">
      <c r="A114" s="102">
        <v>39022</v>
      </c>
      <c r="B114" s="102"/>
      <c r="C114" s="94" t="s">
        <v>162</v>
      </c>
      <c r="D114" s="144">
        <f>250000*0.17</f>
        <v>42500</v>
      </c>
      <c r="E114" s="4" t="s">
        <v>141</v>
      </c>
      <c r="F114" s="4">
        <v>0</v>
      </c>
      <c r="G114" s="4" t="s">
        <v>137</v>
      </c>
      <c r="H114" s="4"/>
      <c r="I114" s="100" t="s">
        <v>124</v>
      </c>
      <c r="J114" s="142">
        <f>D114+F114+H114</f>
        <v>42500</v>
      </c>
      <c r="K114" s="4"/>
      <c r="L114" s="4" t="s">
        <v>136</v>
      </c>
      <c r="M114" s="4"/>
      <c r="N114" s="100" t="s">
        <v>137</v>
      </c>
      <c r="O114" s="145">
        <f>SUM(D114+F114+H114+M114)</f>
        <v>42500</v>
      </c>
      <c r="P114" s="98"/>
      <c r="R114" s="98" t="s">
        <v>139</v>
      </c>
      <c r="S114" t="s">
        <v>140</v>
      </c>
    </row>
    <row r="115" spans="1:18" ht="12.75">
      <c r="A115" s="14"/>
      <c r="B115" s="14"/>
      <c r="C115" s="14" t="s">
        <v>163</v>
      </c>
      <c r="D115" s="128">
        <v>0.76056</v>
      </c>
      <c r="E115" s="4"/>
      <c r="F115" s="4">
        <f>F114</f>
        <v>0</v>
      </c>
      <c r="G115" s="4"/>
      <c r="H115" s="143">
        <v>0.0731</v>
      </c>
      <c r="I115" s="4"/>
      <c r="J115" s="95">
        <f>D115+F115+H115</f>
        <v>0.8336600000000001</v>
      </c>
      <c r="K115" s="103">
        <v>0.20894</v>
      </c>
      <c r="L115" s="4"/>
      <c r="M115" s="4">
        <v>0.01931</v>
      </c>
      <c r="N115" s="4"/>
      <c r="O115" s="97">
        <f>SUM(D115+F115+H115+K115+M115)</f>
        <v>1.06191</v>
      </c>
      <c r="P115" s="98"/>
      <c r="R115" s="98"/>
    </row>
    <row r="116" spans="1:18" ht="12.75">
      <c r="A116" s="14"/>
      <c r="B116" s="14"/>
      <c r="C116" s="141" t="s">
        <v>159</v>
      </c>
      <c r="D116" s="128">
        <v>0.71982</v>
      </c>
      <c r="E116" s="4"/>
      <c r="F116" s="4">
        <f>F114</f>
        <v>0</v>
      </c>
      <c r="G116" s="4"/>
      <c r="H116" s="143">
        <f>H115</f>
        <v>0.0731</v>
      </c>
      <c r="I116" s="4"/>
      <c r="J116" s="95">
        <f>D116+F116+H116</f>
        <v>0.7929200000000001</v>
      </c>
      <c r="K116" s="4">
        <f>K115</f>
        <v>0.20894</v>
      </c>
      <c r="L116" s="4"/>
      <c r="M116" s="4">
        <f>M115</f>
        <v>0.01931</v>
      </c>
      <c r="N116" s="4"/>
      <c r="O116" s="97">
        <f>SUM(D116+F116+H116+K116+M116)</f>
        <v>1.02117</v>
      </c>
      <c r="P116" s="98"/>
      <c r="R116" s="98"/>
    </row>
    <row r="117" spans="1:18" ht="12.75">
      <c r="A117" s="14"/>
      <c r="B117" s="14"/>
      <c r="C117" s="141" t="s">
        <v>164</v>
      </c>
      <c r="D117" s="128">
        <v>0.70982</v>
      </c>
      <c r="E117" s="4"/>
      <c r="F117" s="4">
        <f>F114</f>
        <v>0</v>
      </c>
      <c r="G117" s="4"/>
      <c r="H117" s="143">
        <f>H115</f>
        <v>0.0731</v>
      </c>
      <c r="I117" s="4"/>
      <c r="J117" s="95">
        <f>D117+F117+H117</f>
        <v>0.7829200000000001</v>
      </c>
      <c r="K117" s="4">
        <f>K115</f>
        <v>0.20894</v>
      </c>
      <c r="L117" s="4"/>
      <c r="M117" s="4">
        <f>M115</f>
        <v>0.01931</v>
      </c>
      <c r="N117" s="4"/>
      <c r="O117" s="97">
        <f>SUM(D117+F117+H117+K117+M117)</f>
        <v>1.0111700000000001</v>
      </c>
      <c r="P117" s="98"/>
      <c r="R117" s="98"/>
    </row>
    <row r="118" spans="1:18" ht="12.75">
      <c r="A118" s="14"/>
      <c r="B118" s="14"/>
      <c r="C118" s="14" t="s">
        <v>165</v>
      </c>
      <c r="D118" s="128">
        <v>0.70652</v>
      </c>
      <c r="E118" s="4"/>
      <c r="F118" s="4">
        <f>F114</f>
        <v>0</v>
      </c>
      <c r="G118" s="4"/>
      <c r="H118" s="143">
        <f>H115</f>
        <v>0.0731</v>
      </c>
      <c r="I118" s="4"/>
      <c r="J118" s="95">
        <f>D118+F118+H118</f>
        <v>0.77962</v>
      </c>
      <c r="K118" s="4">
        <f>K115</f>
        <v>0.20894</v>
      </c>
      <c r="L118" s="4"/>
      <c r="M118" s="4">
        <f>M115</f>
        <v>0.01931</v>
      </c>
      <c r="N118" s="4"/>
      <c r="O118" s="97">
        <f>SUM(D118+F118+H118+K118+M118)</f>
        <v>1.00787</v>
      </c>
      <c r="P118" s="98"/>
      <c r="R118" s="98"/>
    </row>
    <row r="119" spans="1:18" ht="12.75">
      <c r="A119" s="103"/>
      <c r="B119" s="103"/>
      <c r="C119" s="100"/>
      <c r="D119" s="143"/>
      <c r="E119" s="103"/>
      <c r="F119" s="103"/>
      <c r="G119" s="103"/>
      <c r="H119" s="143"/>
      <c r="I119" s="103"/>
      <c r="J119" s="95"/>
      <c r="K119" s="103"/>
      <c r="L119" s="103"/>
      <c r="M119" s="103"/>
      <c r="N119" s="103"/>
      <c r="O119" s="97"/>
      <c r="P119" s="98"/>
      <c r="R119" s="98"/>
    </row>
    <row r="120" spans="1:19" ht="12.75">
      <c r="A120" s="102">
        <v>38718</v>
      </c>
      <c r="B120" s="102"/>
      <c r="C120" s="94" t="s">
        <v>162</v>
      </c>
      <c r="D120" s="144">
        <f>250000*0.17</f>
        <v>42500</v>
      </c>
      <c r="E120" s="4" t="s">
        <v>141</v>
      </c>
      <c r="F120" s="4">
        <v>0</v>
      </c>
      <c r="G120" s="4" t="s">
        <v>137</v>
      </c>
      <c r="H120" s="4"/>
      <c r="I120" s="100" t="s">
        <v>137</v>
      </c>
      <c r="J120" s="142">
        <f>D120+F120+H120</f>
        <v>42500</v>
      </c>
      <c r="K120" s="4"/>
      <c r="L120" s="4" t="s">
        <v>142</v>
      </c>
      <c r="M120" s="4"/>
      <c r="N120" s="100" t="s">
        <v>123</v>
      </c>
      <c r="O120" s="145">
        <f>SUM(D120+F120+H120+M120)</f>
        <v>42500</v>
      </c>
      <c r="P120" s="98"/>
      <c r="R120" s="98" t="s">
        <v>133</v>
      </c>
      <c r="S120" t="s">
        <v>144</v>
      </c>
    </row>
    <row r="121" spans="1:18" ht="12.75">
      <c r="A121" s="14"/>
      <c r="B121" s="14"/>
      <c r="C121" s="14" t="s">
        <v>163</v>
      </c>
      <c r="D121" s="128">
        <v>0.76056</v>
      </c>
      <c r="E121" s="4"/>
      <c r="F121" s="4">
        <f>F120</f>
        <v>0</v>
      </c>
      <c r="G121" s="4"/>
      <c r="H121" s="143">
        <v>0.02688</v>
      </c>
      <c r="I121" s="4"/>
      <c r="J121" s="95">
        <f>D121+F121+H121</f>
        <v>0.78744</v>
      </c>
      <c r="K121" s="103">
        <v>0.23061</v>
      </c>
      <c r="L121" s="4"/>
      <c r="M121" s="4">
        <v>0.00819</v>
      </c>
      <c r="N121" s="4"/>
      <c r="O121" s="97">
        <f>SUM(D121+F121+H121+K121+M121)</f>
        <v>1.02624</v>
      </c>
      <c r="P121" s="98"/>
      <c r="R121" s="98"/>
    </row>
    <row r="122" spans="1:18" ht="12.75">
      <c r="A122" s="14"/>
      <c r="B122" s="14"/>
      <c r="C122" s="141" t="s">
        <v>159</v>
      </c>
      <c r="D122" s="128">
        <v>0.71982</v>
      </c>
      <c r="E122" s="4"/>
      <c r="F122" s="4">
        <f>F120</f>
        <v>0</v>
      </c>
      <c r="G122" s="4"/>
      <c r="H122" s="143">
        <f>H121</f>
        <v>0.02688</v>
      </c>
      <c r="I122" s="4"/>
      <c r="J122" s="95">
        <f>D122+F122+H122</f>
        <v>0.7467</v>
      </c>
      <c r="K122" s="4">
        <f>K121</f>
        <v>0.23061</v>
      </c>
      <c r="L122" s="4"/>
      <c r="M122" s="4">
        <f>M121</f>
        <v>0.00819</v>
      </c>
      <c r="N122" s="4"/>
      <c r="O122" s="97">
        <f>SUM(D122+F122+H122+K122+M122)</f>
        <v>0.9855</v>
      </c>
      <c r="P122" s="98"/>
      <c r="R122" s="98"/>
    </row>
    <row r="123" spans="1:18" ht="12.75">
      <c r="A123" s="14"/>
      <c r="B123" s="14"/>
      <c r="C123" s="141" t="s">
        <v>164</v>
      </c>
      <c r="D123" s="128">
        <v>0.70982</v>
      </c>
      <c r="E123" s="4"/>
      <c r="F123" s="4">
        <f>F120</f>
        <v>0</v>
      </c>
      <c r="G123" s="4"/>
      <c r="H123" s="143">
        <f>H121</f>
        <v>0.02688</v>
      </c>
      <c r="I123" s="4"/>
      <c r="J123" s="95">
        <f>D123+F123+H123</f>
        <v>0.7367</v>
      </c>
      <c r="K123" s="4">
        <f>K121</f>
        <v>0.23061</v>
      </c>
      <c r="L123" s="4"/>
      <c r="M123" s="4">
        <f>M121</f>
        <v>0.00819</v>
      </c>
      <c r="N123" s="4"/>
      <c r="O123" s="97">
        <f>SUM(D123+F123+H123+K123+M123)</f>
        <v>0.9755</v>
      </c>
      <c r="P123" s="98"/>
      <c r="R123" s="98"/>
    </row>
    <row r="124" spans="1:18" ht="12.75">
      <c r="A124" s="14"/>
      <c r="B124" s="14"/>
      <c r="C124" s="14" t="s">
        <v>165</v>
      </c>
      <c r="D124" s="128">
        <v>0.70652</v>
      </c>
      <c r="E124" s="4"/>
      <c r="F124" s="4">
        <f>F120</f>
        <v>0</v>
      </c>
      <c r="G124" s="4"/>
      <c r="H124" s="143">
        <f>H121</f>
        <v>0.02688</v>
      </c>
      <c r="I124" s="4"/>
      <c r="J124" s="95">
        <f>D124+F124+H124</f>
        <v>0.7334</v>
      </c>
      <c r="K124" s="4">
        <f>K121</f>
        <v>0.23061</v>
      </c>
      <c r="L124" s="4"/>
      <c r="M124" s="4">
        <f>M121</f>
        <v>0.00819</v>
      </c>
      <c r="N124" s="4"/>
      <c r="O124" s="97">
        <f>SUM(D124+F124+H124+K124+M124)</f>
        <v>0.9722000000000001</v>
      </c>
      <c r="P124" s="98"/>
      <c r="R124" s="98"/>
    </row>
    <row r="125" spans="1:18" ht="12.75">
      <c r="A125" s="103"/>
      <c r="B125" s="103"/>
      <c r="C125" s="100"/>
      <c r="D125" s="143"/>
      <c r="E125" s="103"/>
      <c r="F125" s="103"/>
      <c r="G125" s="103"/>
      <c r="H125" s="143"/>
      <c r="I125" s="103"/>
      <c r="J125" s="95"/>
      <c r="K125" s="103"/>
      <c r="L125" s="103"/>
      <c r="M125" s="103"/>
      <c r="N125" s="103"/>
      <c r="O125" s="97"/>
      <c r="P125" s="98"/>
      <c r="R125" s="98"/>
    </row>
    <row r="126" ht="12.75">
      <c r="R126" s="98"/>
    </row>
    <row r="127" spans="1:19" ht="12.75">
      <c r="A127" s="85" t="s">
        <v>166</v>
      </c>
      <c r="B127" s="85"/>
      <c r="C127" s="86"/>
      <c r="D127" s="87"/>
      <c r="E127" s="86"/>
      <c r="F127" s="86"/>
      <c r="G127" s="86"/>
      <c r="H127" s="86"/>
      <c r="I127" s="86"/>
      <c r="J127" s="88"/>
      <c r="K127" s="86"/>
      <c r="L127" s="89"/>
      <c r="M127" s="4"/>
      <c r="N127" s="4"/>
      <c r="O127" s="89"/>
      <c r="P127" s="98"/>
      <c r="S127" s="98"/>
    </row>
    <row r="128" spans="1:19" ht="12.75">
      <c r="A128" s="102">
        <v>39753</v>
      </c>
      <c r="B128" s="102"/>
      <c r="C128" s="94" t="s">
        <v>162</v>
      </c>
      <c r="D128" s="146">
        <f>250000*0.0636</f>
        <v>15900.000000000002</v>
      </c>
      <c r="E128" s="4" t="s">
        <v>123</v>
      </c>
      <c r="F128" s="4"/>
      <c r="G128" s="4" t="s">
        <v>124</v>
      </c>
      <c r="H128" s="14"/>
      <c r="I128" s="14" t="s">
        <v>125</v>
      </c>
      <c r="J128" s="138">
        <f>D128+F128+H128</f>
        <v>15900.000000000002</v>
      </c>
      <c r="K128" s="14"/>
      <c r="L128" s="14" t="s">
        <v>126</v>
      </c>
      <c r="M128" s="4"/>
      <c r="N128" s="4" t="s">
        <v>124</v>
      </c>
      <c r="O128" s="145">
        <f>SUM(D128+F128+H128+M128)</f>
        <v>15900.000000000002</v>
      </c>
      <c r="P128" s="98"/>
      <c r="R128" s="123" t="s">
        <v>147</v>
      </c>
      <c r="S128" s="99" t="s">
        <v>148</v>
      </c>
    </row>
    <row r="129" spans="1:16" ht="12.75">
      <c r="A129" s="14"/>
      <c r="B129" s="14"/>
      <c r="C129" s="93" t="s">
        <v>167</v>
      </c>
      <c r="D129" s="147">
        <v>200</v>
      </c>
      <c r="E129" s="86" t="s">
        <v>168</v>
      </c>
      <c r="F129" s="4"/>
      <c r="G129" s="4"/>
      <c r="H129" s="14"/>
      <c r="I129" s="14"/>
      <c r="J129" s="148"/>
      <c r="K129" s="14"/>
      <c r="L129" s="14"/>
      <c r="M129" s="4"/>
      <c r="N129" s="4"/>
      <c r="O129" s="89"/>
      <c r="P129" s="98"/>
    </row>
    <row r="130" spans="1:16" ht="12.75">
      <c r="A130" s="14"/>
      <c r="B130" s="14"/>
      <c r="C130" s="14" t="s">
        <v>169</v>
      </c>
      <c r="D130" s="128">
        <v>0.07134</v>
      </c>
      <c r="E130" s="4"/>
      <c r="F130" s="4">
        <v>0</v>
      </c>
      <c r="G130" s="4"/>
      <c r="H130" s="92">
        <v>8E-05</v>
      </c>
      <c r="I130" s="14"/>
      <c r="J130" s="125">
        <f>D130+F130+H130</f>
        <v>0.07142</v>
      </c>
      <c r="K130" s="92">
        <v>0</v>
      </c>
      <c r="L130" s="14"/>
      <c r="M130" s="149">
        <v>0</v>
      </c>
      <c r="N130" s="4"/>
      <c r="O130" s="97">
        <f>SUM(D130+F130+H130+K130+M130)</f>
        <v>0.07142</v>
      </c>
      <c r="P130" s="98"/>
    </row>
    <row r="131" spans="1:16" ht="12.75">
      <c r="A131" s="14"/>
      <c r="B131" s="14"/>
      <c r="C131" s="141" t="s">
        <v>170</v>
      </c>
      <c r="D131" s="128">
        <v>0.06352</v>
      </c>
      <c r="E131" s="4"/>
      <c r="F131" s="4">
        <f>F130</f>
        <v>0</v>
      </c>
      <c r="G131" s="4"/>
      <c r="H131" s="92">
        <f>H130</f>
        <v>8E-05</v>
      </c>
      <c r="I131" s="14"/>
      <c r="J131" s="125">
        <f>D131+F131+H131</f>
        <v>0.06359999999999999</v>
      </c>
      <c r="K131" s="128">
        <f>K130</f>
        <v>0</v>
      </c>
      <c r="L131" s="14"/>
      <c r="M131" s="149">
        <v>0</v>
      </c>
      <c r="N131" s="4"/>
      <c r="O131" s="97">
        <f>SUM(D131+F131+H131+K131+M131)</f>
        <v>0.06359999999999999</v>
      </c>
      <c r="P131" s="98"/>
    </row>
    <row r="132" spans="1:16" ht="12.75">
      <c r="A132" s="14"/>
      <c r="B132" s="14"/>
      <c r="C132" s="141" t="s">
        <v>171</v>
      </c>
      <c r="D132" s="128">
        <v>0.0573</v>
      </c>
      <c r="E132" s="4"/>
      <c r="F132" s="4">
        <f>F130</f>
        <v>0</v>
      </c>
      <c r="G132" s="4"/>
      <c r="H132" s="92">
        <f>H130</f>
        <v>8E-05</v>
      </c>
      <c r="I132" s="14"/>
      <c r="J132" s="125">
        <f>D132+F132+H132</f>
        <v>0.057379999999999994</v>
      </c>
      <c r="K132" s="128">
        <f>K130</f>
        <v>0</v>
      </c>
      <c r="L132" s="14"/>
      <c r="M132" s="149">
        <v>0</v>
      </c>
      <c r="N132" s="4"/>
      <c r="O132" s="97">
        <f>SUM(D132+F132+H132+K132+M132)</f>
        <v>0.057379999999999994</v>
      </c>
      <c r="P132" s="98"/>
    </row>
    <row r="133" spans="1:16" ht="12.75">
      <c r="A133" s="14"/>
      <c r="B133" s="14"/>
      <c r="C133" s="141" t="s">
        <v>172</v>
      </c>
      <c r="D133" s="128">
        <v>0.05302</v>
      </c>
      <c r="E133" s="4"/>
      <c r="F133" s="4">
        <f>F130</f>
        <v>0</v>
      </c>
      <c r="G133" s="4"/>
      <c r="H133" s="92">
        <f>H130</f>
        <v>8E-05</v>
      </c>
      <c r="I133" s="14"/>
      <c r="J133" s="125">
        <f>D133+F133+H133</f>
        <v>0.053099999999999994</v>
      </c>
      <c r="K133" s="128">
        <f>K130</f>
        <v>0</v>
      </c>
      <c r="L133" s="14"/>
      <c r="M133" s="149">
        <v>0</v>
      </c>
      <c r="N133" s="4"/>
      <c r="O133" s="97">
        <f>SUM(D133+F133+H133+K133+M133)</f>
        <v>0.053099999999999994</v>
      </c>
      <c r="P133" s="98"/>
    </row>
    <row r="134" spans="1:16" ht="12.75">
      <c r="A134" s="150"/>
      <c r="B134" s="150"/>
      <c r="C134" s="14" t="s">
        <v>173</v>
      </c>
      <c r="D134" s="128">
        <v>0.03995</v>
      </c>
      <c r="E134" s="4"/>
      <c r="F134" s="4">
        <f>F130</f>
        <v>0</v>
      </c>
      <c r="G134" s="4"/>
      <c r="H134" s="92">
        <f>H130</f>
        <v>8E-05</v>
      </c>
      <c r="I134" s="14"/>
      <c r="J134" s="125">
        <f>D134+F134+H134</f>
        <v>0.040029999999999996</v>
      </c>
      <c r="K134" s="128">
        <f>K130</f>
        <v>0</v>
      </c>
      <c r="L134" s="14"/>
      <c r="M134" s="149">
        <v>0</v>
      </c>
      <c r="N134" s="4"/>
      <c r="O134" s="97">
        <f>SUM(D134+F134+H134+K134+M134)</f>
        <v>0.040029999999999996</v>
      </c>
      <c r="P134" s="98"/>
    </row>
    <row r="135" spans="1:16" ht="12.75">
      <c r="A135" s="85"/>
      <c r="B135" s="85"/>
      <c r="C135" s="86"/>
      <c r="D135" s="87"/>
      <c r="E135" s="86"/>
      <c r="F135" s="86"/>
      <c r="G135" s="86"/>
      <c r="H135" s="86"/>
      <c r="I135" s="86"/>
      <c r="J135" s="88"/>
      <c r="K135" s="86"/>
      <c r="L135" s="89"/>
      <c r="M135" s="4"/>
      <c r="N135" s="4"/>
      <c r="O135" s="89"/>
      <c r="P135" s="98"/>
    </row>
    <row r="136" spans="1:19" ht="12.75">
      <c r="A136" s="102">
        <v>39448</v>
      </c>
      <c r="B136" s="102"/>
      <c r="C136" s="94" t="s">
        <v>162</v>
      </c>
      <c r="D136" s="146">
        <f>250000*0.0636</f>
        <v>15900.000000000002</v>
      </c>
      <c r="E136" s="4" t="s">
        <v>123</v>
      </c>
      <c r="F136" s="4"/>
      <c r="G136" s="4" t="s">
        <v>124</v>
      </c>
      <c r="H136" s="4"/>
      <c r="I136" s="4" t="s">
        <v>130</v>
      </c>
      <c r="J136" s="142">
        <f>D136+F136+H136</f>
        <v>15900.000000000002</v>
      </c>
      <c r="K136" s="4"/>
      <c r="L136" s="4" t="s">
        <v>131</v>
      </c>
      <c r="M136" s="4"/>
      <c r="N136" s="4" t="s">
        <v>124</v>
      </c>
      <c r="O136" s="145">
        <f>SUM(D136+F136+H136+M136)</f>
        <v>15900.000000000002</v>
      </c>
      <c r="P136" s="98"/>
      <c r="R136" s="98" t="s">
        <v>133</v>
      </c>
      <c r="S136" t="s">
        <v>134</v>
      </c>
    </row>
    <row r="137" spans="1:18" ht="12.75">
      <c r="A137" s="14"/>
      <c r="B137" s="14"/>
      <c r="C137" s="93" t="s">
        <v>167</v>
      </c>
      <c r="D137" s="147">
        <v>200</v>
      </c>
      <c r="E137" s="86" t="s">
        <v>168</v>
      </c>
      <c r="F137" s="4"/>
      <c r="G137" s="4"/>
      <c r="H137" s="4"/>
      <c r="I137" s="4"/>
      <c r="J137" s="27"/>
      <c r="K137" s="4"/>
      <c r="L137" s="4"/>
      <c r="M137" s="4"/>
      <c r="N137" s="4"/>
      <c r="O137" s="89"/>
      <c r="P137" s="98"/>
      <c r="R137" s="98"/>
    </row>
    <row r="138" spans="1:18" ht="12.75">
      <c r="A138" s="14"/>
      <c r="B138" s="14"/>
      <c r="C138" s="14" t="s">
        <v>169</v>
      </c>
      <c r="D138" s="128">
        <v>0.07134</v>
      </c>
      <c r="E138" s="4"/>
      <c r="F138" s="4">
        <v>0</v>
      </c>
      <c r="G138" s="4"/>
      <c r="H138" s="143">
        <v>8E-05</v>
      </c>
      <c r="I138" s="4"/>
      <c r="J138" s="95">
        <f>D138+F138+H138</f>
        <v>0.07142</v>
      </c>
      <c r="K138" s="143">
        <v>0</v>
      </c>
      <c r="L138" s="4"/>
      <c r="M138" s="149">
        <v>0</v>
      </c>
      <c r="N138" s="4"/>
      <c r="O138" s="97">
        <f>SUM(D138+F138+H138+K138+M138)</f>
        <v>0.07142</v>
      </c>
      <c r="P138" s="98"/>
      <c r="R138" s="98"/>
    </row>
    <row r="139" spans="1:18" ht="12.75">
      <c r="A139" s="14"/>
      <c r="B139" s="14"/>
      <c r="C139" s="141" t="s">
        <v>170</v>
      </c>
      <c r="D139" s="128">
        <v>0.06352</v>
      </c>
      <c r="E139" s="4"/>
      <c r="F139" s="4">
        <f>F138</f>
        <v>0</v>
      </c>
      <c r="G139" s="4"/>
      <c r="H139" s="143">
        <f>H138</f>
        <v>8E-05</v>
      </c>
      <c r="I139" s="4"/>
      <c r="J139" s="95">
        <f>D139+F139+H139</f>
        <v>0.06359999999999999</v>
      </c>
      <c r="K139" s="151">
        <f>K138</f>
        <v>0</v>
      </c>
      <c r="L139" s="4"/>
      <c r="M139" s="149">
        <v>0</v>
      </c>
      <c r="N139" s="4"/>
      <c r="O139" s="97">
        <f>SUM(D139+F139+H139+K139+M139)</f>
        <v>0.06359999999999999</v>
      </c>
      <c r="P139" s="98"/>
      <c r="R139" s="98"/>
    </row>
    <row r="140" spans="1:16" ht="12.75">
      <c r="A140" s="14"/>
      <c r="B140" s="14"/>
      <c r="C140" s="141" t="s">
        <v>171</v>
      </c>
      <c r="D140" s="128">
        <v>0.0573</v>
      </c>
      <c r="E140" s="4"/>
      <c r="F140" s="4">
        <f>F138</f>
        <v>0</v>
      </c>
      <c r="G140" s="4"/>
      <c r="H140" s="143">
        <f>H138</f>
        <v>8E-05</v>
      </c>
      <c r="I140" s="4"/>
      <c r="J140" s="95">
        <f>D140+F140+H140</f>
        <v>0.057379999999999994</v>
      </c>
      <c r="K140" s="151">
        <f>K138</f>
        <v>0</v>
      </c>
      <c r="L140" s="4"/>
      <c r="M140" s="149">
        <v>0</v>
      </c>
      <c r="N140" s="4"/>
      <c r="O140" s="97">
        <f>SUM(D140+F140+H140+K140+M140)</f>
        <v>0.057379999999999994</v>
      </c>
      <c r="P140" s="98"/>
    </row>
    <row r="141" spans="1:18" ht="12.75">
      <c r="A141" s="14"/>
      <c r="B141" s="14"/>
      <c r="C141" s="141" t="s">
        <v>172</v>
      </c>
      <c r="D141" s="128">
        <v>0.05302</v>
      </c>
      <c r="E141" s="4"/>
      <c r="F141" s="4">
        <f>F138</f>
        <v>0</v>
      </c>
      <c r="G141" s="4"/>
      <c r="H141" s="143">
        <f>H138</f>
        <v>8E-05</v>
      </c>
      <c r="I141" s="4"/>
      <c r="J141" s="95">
        <f>D141+F141+H141</f>
        <v>0.053099999999999994</v>
      </c>
      <c r="K141" s="151">
        <f>K138</f>
        <v>0</v>
      </c>
      <c r="L141" s="4"/>
      <c r="M141" s="149">
        <v>0</v>
      </c>
      <c r="N141" s="4"/>
      <c r="O141" s="97">
        <f>SUM(D141+F141+H141+K141+M141)</f>
        <v>0.053099999999999994</v>
      </c>
      <c r="P141" s="98"/>
      <c r="R141" s="98"/>
    </row>
    <row r="142" spans="1:18" ht="12.75">
      <c r="A142" s="150"/>
      <c r="B142" s="150"/>
      <c r="C142" s="14" t="s">
        <v>173</v>
      </c>
      <c r="D142" s="128">
        <v>0.03995</v>
      </c>
      <c r="E142" s="4"/>
      <c r="F142" s="4">
        <f>F138</f>
        <v>0</v>
      </c>
      <c r="G142" s="4"/>
      <c r="H142" s="143">
        <f>H138</f>
        <v>8E-05</v>
      </c>
      <c r="I142" s="4"/>
      <c r="J142" s="95">
        <f>D142+F142+H142</f>
        <v>0.040029999999999996</v>
      </c>
      <c r="K142" s="151">
        <f>K138</f>
        <v>0</v>
      </c>
      <c r="L142" s="4"/>
      <c r="M142" s="149">
        <v>0</v>
      </c>
      <c r="N142" s="4"/>
      <c r="O142" s="97">
        <f>SUM(D142+F142+H142+K142+M142)</f>
        <v>0.040029999999999996</v>
      </c>
      <c r="P142" s="98"/>
      <c r="R142" s="98"/>
    </row>
    <row r="143" spans="1:18" ht="12.75">
      <c r="A143" s="85"/>
      <c r="B143" s="85"/>
      <c r="C143" s="86"/>
      <c r="D143" s="87"/>
      <c r="E143" s="86"/>
      <c r="F143" s="86"/>
      <c r="G143" s="86"/>
      <c r="H143" s="86"/>
      <c r="I143" s="86"/>
      <c r="J143" s="88"/>
      <c r="K143" s="86"/>
      <c r="L143" s="89"/>
      <c r="M143" s="4"/>
      <c r="N143" s="4"/>
      <c r="O143" s="89"/>
      <c r="P143" s="98"/>
      <c r="R143" s="98"/>
    </row>
    <row r="144" spans="1:19" ht="12.75">
      <c r="A144" s="102">
        <v>39387</v>
      </c>
      <c r="B144" s="102"/>
      <c r="C144" s="94" t="s">
        <v>162</v>
      </c>
      <c r="D144" s="146">
        <f>250000*0.0598</f>
        <v>14950</v>
      </c>
      <c r="E144" s="4" t="s">
        <v>135</v>
      </c>
      <c r="F144" s="4"/>
      <c r="G144" s="4" t="s">
        <v>124</v>
      </c>
      <c r="H144" s="4"/>
      <c r="I144" s="4" t="s">
        <v>130</v>
      </c>
      <c r="J144" s="142">
        <f>D144+F144+H144</f>
        <v>14950</v>
      </c>
      <c r="K144" s="4"/>
      <c r="L144" s="4" t="s">
        <v>136</v>
      </c>
      <c r="M144" s="4"/>
      <c r="N144" s="4" t="s">
        <v>137</v>
      </c>
      <c r="O144" s="145">
        <f>SUM(D144+F144+H144+M144)</f>
        <v>14950</v>
      </c>
      <c r="P144" s="98"/>
      <c r="R144" s="98" t="s">
        <v>147</v>
      </c>
      <c r="S144" t="s">
        <v>152</v>
      </c>
    </row>
    <row r="145" spans="1:18" ht="12.75">
      <c r="A145" s="14"/>
      <c r="B145" s="14"/>
      <c r="C145" s="93" t="s">
        <v>167</v>
      </c>
      <c r="D145" s="147">
        <v>200</v>
      </c>
      <c r="E145" s="86" t="s">
        <v>168</v>
      </c>
      <c r="F145" s="4"/>
      <c r="G145" s="4"/>
      <c r="H145" s="4"/>
      <c r="I145" s="4"/>
      <c r="J145" s="27"/>
      <c r="K145" s="4"/>
      <c r="L145" s="4"/>
      <c r="M145" s="4"/>
      <c r="N145" s="4"/>
      <c r="O145" s="89"/>
      <c r="P145" s="98"/>
      <c r="R145" s="98"/>
    </row>
    <row r="146" spans="1:16" ht="12.75">
      <c r="A146" s="14"/>
      <c r="B146" s="14"/>
      <c r="C146" s="14" t="s">
        <v>169</v>
      </c>
      <c r="D146" s="128">
        <v>0.06716</v>
      </c>
      <c r="E146" s="4"/>
      <c r="F146" s="4">
        <v>0</v>
      </c>
      <c r="G146" s="4"/>
      <c r="H146" s="143">
        <v>8E-05</v>
      </c>
      <c r="I146" s="4"/>
      <c r="J146" s="95">
        <f>D146+F146+H146</f>
        <v>0.06724</v>
      </c>
      <c r="K146" s="143">
        <v>0</v>
      </c>
      <c r="L146" s="4"/>
      <c r="M146" s="149">
        <v>0</v>
      </c>
      <c r="N146" s="4"/>
      <c r="O146" s="97">
        <f>SUM(D146+F146+H146+K146+M146)</f>
        <v>0.06724</v>
      </c>
      <c r="P146" s="98"/>
    </row>
    <row r="147" spans="1:18" ht="12.75">
      <c r="A147" s="14"/>
      <c r="B147" s="14"/>
      <c r="C147" s="141" t="s">
        <v>170</v>
      </c>
      <c r="D147" s="128">
        <v>0.0598</v>
      </c>
      <c r="E147" s="4"/>
      <c r="F147" s="4">
        <f>F146</f>
        <v>0</v>
      </c>
      <c r="G147" s="4"/>
      <c r="H147" s="143">
        <f>H146</f>
        <v>8E-05</v>
      </c>
      <c r="I147" s="4"/>
      <c r="J147" s="95">
        <f>D147+F147+H147</f>
        <v>0.059879999999999996</v>
      </c>
      <c r="K147" s="151">
        <f>K146</f>
        <v>0</v>
      </c>
      <c r="L147" s="4"/>
      <c r="M147" s="149">
        <v>0</v>
      </c>
      <c r="N147" s="4"/>
      <c r="O147" s="97">
        <f>SUM(D147+F147+H147+K147+M147)</f>
        <v>0.059879999999999996</v>
      </c>
      <c r="P147" s="98"/>
      <c r="R147" s="98"/>
    </row>
    <row r="148" spans="1:18" ht="12.75">
      <c r="A148" s="14"/>
      <c r="B148" s="14"/>
      <c r="C148" s="141" t="s">
        <v>171</v>
      </c>
      <c r="D148" s="128">
        <v>0.05394</v>
      </c>
      <c r="E148" s="4"/>
      <c r="F148" s="4">
        <f>F146</f>
        <v>0</v>
      </c>
      <c r="G148" s="4"/>
      <c r="H148" s="143">
        <f>H146</f>
        <v>8E-05</v>
      </c>
      <c r="I148" s="4"/>
      <c r="J148" s="95">
        <f>D148+F148+H148</f>
        <v>0.05402</v>
      </c>
      <c r="K148" s="151">
        <f>K146</f>
        <v>0</v>
      </c>
      <c r="L148" s="4"/>
      <c r="M148" s="149">
        <v>0</v>
      </c>
      <c r="N148" s="4"/>
      <c r="O148" s="97">
        <f>SUM(D148+F148+H148+K148+M148)</f>
        <v>0.05402</v>
      </c>
      <c r="P148" s="98"/>
      <c r="R148" s="98"/>
    </row>
    <row r="149" spans="1:18" ht="12.75">
      <c r="A149" s="14"/>
      <c r="B149" s="14"/>
      <c r="C149" s="141" t="s">
        <v>172</v>
      </c>
      <c r="D149" s="128">
        <v>0.04991</v>
      </c>
      <c r="E149" s="4"/>
      <c r="F149" s="4">
        <f>F146</f>
        <v>0</v>
      </c>
      <c r="G149" s="4"/>
      <c r="H149" s="143">
        <f>H146</f>
        <v>8E-05</v>
      </c>
      <c r="I149" s="4"/>
      <c r="J149" s="95">
        <f>D149+F149+H149</f>
        <v>0.04999</v>
      </c>
      <c r="K149" s="151">
        <f>K146</f>
        <v>0</v>
      </c>
      <c r="L149" s="4"/>
      <c r="M149" s="149">
        <v>0</v>
      </c>
      <c r="N149" s="4"/>
      <c r="O149" s="97">
        <f>SUM(D149+F149+H149+K149+M149)</f>
        <v>0.04999</v>
      </c>
      <c r="P149" s="98"/>
      <c r="R149" s="98"/>
    </row>
    <row r="150" spans="1:18" ht="12.75">
      <c r="A150" s="150"/>
      <c r="B150" s="150"/>
      <c r="C150" s="14" t="s">
        <v>173</v>
      </c>
      <c r="D150" s="128">
        <v>0.03761</v>
      </c>
      <c r="E150" s="4"/>
      <c r="F150" s="4">
        <f>F146</f>
        <v>0</v>
      </c>
      <c r="G150" s="4"/>
      <c r="H150" s="143">
        <f>H146</f>
        <v>8E-05</v>
      </c>
      <c r="I150" s="4"/>
      <c r="J150" s="95">
        <f>D150+F150+H150</f>
        <v>0.037689999999999994</v>
      </c>
      <c r="K150" s="151">
        <f>K146</f>
        <v>0</v>
      </c>
      <c r="L150" s="4"/>
      <c r="M150" s="149">
        <v>0</v>
      </c>
      <c r="N150" s="4"/>
      <c r="O150" s="97">
        <f>SUM(D150+F150+H150+K150+M150)</f>
        <v>0.037689999999999994</v>
      </c>
      <c r="P150" s="98"/>
      <c r="R150" s="98"/>
    </row>
    <row r="151" spans="1:18" ht="12.75">
      <c r="A151" s="85"/>
      <c r="B151" s="85"/>
      <c r="C151" s="86"/>
      <c r="D151" s="87"/>
      <c r="E151" s="86"/>
      <c r="F151" s="86"/>
      <c r="G151" s="86"/>
      <c r="H151" s="86"/>
      <c r="I151" s="86"/>
      <c r="J151" s="88"/>
      <c r="K151" s="86"/>
      <c r="L151" s="89"/>
      <c r="M151" s="149"/>
      <c r="N151" s="4"/>
      <c r="O151" s="89"/>
      <c r="P151" s="98"/>
      <c r="R151" s="98"/>
    </row>
    <row r="152" spans="1:19" ht="12.75">
      <c r="A152" s="102">
        <v>39022</v>
      </c>
      <c r="B152" s="102"/>
      <c r="C152" s="94" t="s">
        <v>162</v>
      </c>
      <c r="D152" s="146">
        <f>250000*0.0598</f>
        <v>14950</v>
      </c>
      <c r="E152" s="4" t="s">
        <v>135</v>
      </c>
      <c r="F152" s="4">
        <v>0</v>
      </c>
      <c r="G152" s="4" t="s">
        <v>137</v>
      </c>
      <c r="H152" s="4"/>
      <c r="I152" s="4" t="s">
        <v>124</v>
      </c>
      <c r="J152" s="142">
        <f>D152+F152+H152</f>
        <v>14950</v>
      </c>
      <c r="K152" s="4"/>
      <c r="L152" s="4" t="s">
        <v>136</v>
      </c>
      <c r="M152" s="4"/>
      <c r="N152" s="4" t="s">
        <v>137</v>
      </c>
      <c r="O152" s="145">
        <f>SUM(D152+F152+H152+M152)</f>
        <v>14950</v>
      </c>
      <c r="P152" s="98"/>
      <c r="R152" s="98" t="s">
        <v>139</v>
      </c>
      <c r="S152" t="s">
        <v>140</v>
      </c>
    </row>
    <row r="153" spans="1:18" ht="12.75">
      <c r="A153" s="14"/>
      <c r="B153" s="14"/>
      <c r="C153" s="93" t="s">
        <v>167</v>
      </c>
      <c r="D153" s="147">
        <v>200</v>
      </c>
      <c r="E153" s="86" t="s">
        <v>168</v>
      </c>
      <c r="F153" s="4"/>
      <c r="G153" s="4"/>
      <c r="H153" s="4"/>
      <c r="I153" s="4"/>
      <c r="J153" s="27"/>
      <c r="K153" s="4"/>
      <c r="L153" s="4"/>
      <c r="M153" s="4"/>
      <c r="N153" s="4"/>
      <c r="O153" s="89"/>
      <c r="P153" s="98"/>
      <c r="R153" s="98"/>
    </row>
    <row r="154" spans="1:18" ht="12.75">
      <c r="A154" s="14"/>
      <c r="B154" s="14"/>
      <c r="C154" s="14" t="s">
        <v>169</v>
      </c>
      <c r="D154" s="128">
        <v>0.06716</v>
      </c>
      <c r="E154" s="4"/>
      <c r="F154" s="4">
        <v>0</v>
      </c>
      <c r="G154" s="4"/>
      <c r="H154" s="143">
        <v>0.00187</v>
      </c>
      <c r="I154" s="4"/>
      <c r="J154" s="95">
        <f>D154+F154+H154</f>
        <v>0.06903</v>
      </c>
      <c r="K154" s="143">
        <v>0</v>
      </c>
      <c r="L154" s="4"/>
      <c r="M154" s="149">
        <v>0</v>
      </c>
      <c r="N154" s="4"/>
      <c r="O154" s="97">
        <f>SUM(D154+F154+H154+K154+M154)</f>
        <v>0.06903</v>
      </c>
      <c r="P154" s="98"/>
      <c r="R154" s="98"/>
    </row>
    <row r="155" spans="1:16" ht="12.75">
      <c r="A155" s="14"/>
      <c r="B155" s="14"/>
      <c r="C155" s="141" t="s">
        <v>170</v>
      </c>
      <c r="D155" s="128">
        <v>0.0598</v>
      </c>
      <c r="E155" s="4"/>
      <c r="F155" s="4">
        <f>F154</f>
        <v>0</v>
      </c>
      <c r="G155" s="4"/>
      <c r="H155" s="143">
        <f>H154</f>
        <v>0.00187</v>
      </c>
      <c r="I155" s="4"/>
      <c r="J155" s="95">
        <f>D155+F155+H155</f>
        <v>0.061669999999999996</v>
      </c>
      <c r="K155" s="151">
        <f>K154</f>
        <v>0</v>
      </c>
      <c r="L155" s="4"/>
      <c r="M155" s="149">
        <v>0</v>
      </c>
      <c r="N155" s="4"/>
      <c r="O155" s="97">
        <f>SUM(D155+F155+H155+K155+M155)</f>
        <v>0.061669999999999996</v>
      </c>
      <c r="P155" s="98"/>
    </row>
    <row r="156" spans="1:16" ht="12.75">
      <c r="A156" s="14"/>
      <c r="B156" s="14"/>
      <c r="C156" s="141" t="s">
        <v>171</v>
      </c>
      <c r="D156" s="128">
        <v>0.05394</v>
      </c>
      <c r="E156" s="4"/>
      <c r="F156" s="4">
        <f>F154</f>
        <v>0</v>
      </c>
      <c r="G156" s="4"/>
      <c r="H156" s="143">
        <f>H154</f>
        <v>0.00187</v>
      </c>
      <c r="I156" s="4"/>
      <c r="J156" s="95">
        <f>D156+F156+H156</f>
        <v>0.05581</v>
      </c>
      <c r="K156" s="151">
        <f>K154</f>
        <v>0</v>
      </c>
      <c r="L156" s="4"/>
      <c r="M156" s="149">
        <v>0</v>
      </c>
      <c r="N156" s="4"/>
      <c r="O156" s="97">
        <f>SUM(D156+F156+H156+K156+M156)</f>
        <v>0.05581</v>
      </c>
      <c r="P156" s="98"/>
    </row>
    <row r="157" spans="1:16" ht="12.75">
      <c r="A157" s="14"/>
      <c r="B157" s="14"/>
      <c r="C157" s="141" t="s">
        <v>172</v>
      </c>
      <c r="D157" s="128">
        <v>0.04991</v>
      </c>
      <c r="E157" s="4"/>
      <c r="F157" s="4">
        <f>F154</f>
        <v>0</v>
      </c>
      <c r="G157" s="4"/>
      <c r="H157" s="143">
        <f>H154</f>
        <v>0.00187</v>
      </c>
      <c r="I157" s="4"/>
      <c r="J157" s="95">
        <f>D157+F157+H157</f>
        <v>0.05178</v>
      </c>
      <c r="K157" s="151">
        <f>K154</f>
        <v>0</v>
      </c>
      <c r="L157" s="4"/>
      <c r="M157" s="149">
        <v>0</v>
      </c>
      <c r="N157" s="4"/>
      <c r="O157" s="97">
        <f>SUM(D157+F157+H157+K157+M157)</f>
        <v>0.05178</v>
      </c>
      <c r="P157" s="98"/>
    </row>
    <row r="158" spans="1:16" ht="12.75">
      <c r="A158" s="150"/>
      <c r="B158" s="150"/>
      <c r="C158" s="14" t="s">
        <v>173</v>
      </c>
      <c r="D158" s="128">
        <v>0.03761</v>
      </c>
      <c r="E158" s="4"/>
      <c r="F158" s="4">
        <f>F154</f>
        <v>0</v>
      </c>
      <c r="G158" s="4"/>
      <c r="H158" s="143">
        <f>H154</f>
        <v>0.00187</v>
      </c>
      <c r="I158" s="4"/>
      <c r="J158" s="95">
        <f>D158+F158+H158</f>
        <v>0.039479999999999994</v>
      </c>
      <c r="K158" s="151">
        <f>K154</f>
        <v>0</v>
      </c>
      <c r="L158" s="4"/>
      <c r="M158" s="149">
        <v>0</v>
      </c>
      <c r="N158" s="4"/>
      <c r="O158" s="97">
        <f>SUM(D158+F158+H158+K158+M158)</f>
        <v>0.039479999999999994</v>
      </c>
      <c r="P158" s="98"/>
    </row>
    <row r="159" spans="1:16" ht="12.75">
      <c r="A159" s="85"/>
      <c r="B159" s="85"/>
      <c r="C159" s="86"/>
      <c r="D159" s="87"/>
      <c r="E159" s="86"/>
      <c r="F159" s="86"/>
      <c r="G159" s="86"/>
      <c r="H159" s="86"/>
      <c r="I159" s="86"/>
      <c r="J159" s="88"/>
      <c r="K159" s="86"/>
      <c r="L159" s="89"/>
      <c r="M159" s="149"/>
      <c r="N159" s="4"/>
      <c r="O159" s="89"/>
      <c r="P159" s="98"/>
    </row>
    <row r="160" spans="1:19" ht="12.75">
      <c r="A160" s="102">
        <v>38718</v>
      </c>
      <c r="B160" s="102"/>
      <c r="C160" s="94" t="s">
        <v>162</v>
      </c>
      <c r="D160" s="146">
        <f>250000*0.0598</f>
        <v>14950</v>
      </c>
      <c r="E160" s="4" t="s">
        <v>141</v>
      </c>
      <c r="F160" s="4">
        <v>0</v>
      </c>
      <c r="G160" s="4" t="s">
        <v>137</v>
      </c>
      <c r="H160" s="4"/>
      <c r="I160" s="4" t="s">
        <v>137</v>
      </c>
      <c r="J160" s="142">
        <f>D160+F160+H160</f>
        <v>14950</v>
      </c>
      <c r="K160" s="4"/>
      <c r="L160" s="4" t="s">
        <v>142</v>
      </c>
      <c r="M160" s="4"/>
      <c r="N160" s="4" t="s">
        <v>123</v>
      </c>
      <c r="O160" s="145">
        <f>SUM(D160+F160+H160+M160)</f>
        <v>14950</v>
      </c>
      <c r="P160" s="98"/>
      <c r="R160" s="98" t="s">
        <v>133</v>
      </c>
      <c r="S160" t="s">
        <v>144</v>
      </c>
    </row>
    <row r="161" spans="1:16" ht="12.75">
      <c r="A161" s="14"/>
      <c r="B161" s="14"/>
      <c r="C161" s="93" t="s">
        <v>167</v>
      </c>
      <c r="D161" s="147">
        <v>200</v>
      </c>
      <c r="E161" s="86" t="s">
        <v>168</v>
      </c>
      <c r="F161" s="4"/>
      <c r="G161" s="4"/>
      <c r="H161" s="4"/>
      <c r="I161" s="4"/>
      <c r="J161" s="27"/>
      <c r="K161" s="4"/>
      <c r="L161" s="4"/>
      <c r="M161" s="4"/>
      <c r="N161" s="4"/>
      <c r="O161" s="89"/>
      <c r="P161" s="98"/>
    </row>
    <row r="162" spans="1:16" ht="12.75">
      <c r="A162" s="14"/>
      <c r="B162" s="14"/>
      <c r="C162" s="14" t="s">
        <v>169</v>
      </c>
      <c r="D162" s="128">
        <v>0.06716</v>
      </c>
      <c r="E162" s="4"/>
      <c r="F162" s="4">
        <v>0</v>
      </c>
      <c r="G162" s="4"/>
      <c r="H162" s="143">
        <v>0.0019</v>
      </c>
      <c r="I162" s="4"/>
      <c r="J162" s="95">
        <f>D162+F162+H162</f>
        <v>0.06906</v>
      </c>
      <c r="K162" s="143">
        <v>0</v>
      </c>
      <c r="L162" s="4"/>
      <c r="M162" s="149">
        <v>0</v>
      </c>
      <c r="N162" s="4"/>
      <c r="O162" s="97">
        <f>SUM(D162+F162+H162+K162+M162)</f>
        <v>0.06906</v>
      </c>
      <c r="P162" s="98"/>
    </row>
    <row r="163" spans="1:16" ht="12.75">
      <c r="A163" s="14"/>
      <c r="B163" s="14"/>
      <c r="C163" s="141" t="s">
        <v>170</v>
      </c>
      <c r="D163" s="128">
        <v>0.0598</v>
      </c>
      <c r="E163" s="4"/>
      <c r="F163" s="4">
        <f>F162</f>
        <v>0</v>
      </c>
      <c r="G163" s="4"/>
      <c r="H163" s="143">
        <f>H162</f>
        <v>0.0019</v>
      </c>
      <c r="I163" s="4"/>
      <c r="J163" s="95">
        <f>D163+F163+H163</f>
        <v>0.0617</v>
      </c>
      <c r="K163" s="151">
        <f>K162</f>
        <v>0</v>
      </c>
      <c r="L163" s="4"/>
      <c r="M163" s="149">
        <v>0</v>
      </c>
      <c r="N163" s="4"/>
      <c r="O163" s="97">
        <f>SUM(D163+F163+H163+K163+M163)</f>
        <v>0.0617</v>
      </c>
      <c r="P163" s="98"/>
    </row>
    <row r="164" spans="1:16" ht="12.75">
      <c r="A164" s="14"/>
      <c r="B164" s="14"/>
      <c r="C164" s="141" t="s">
        <v>171</v>
      </c>
      <c r="D164" s="128">
        <v>0.05394</v>
      </c>
      <c r="E164" s="4"/>
      <c r="F164" s="4">
        <f>F162</f>
        <v>0</v>
      </c>
      <c r="G164" s="4"/>
      <c r="H164" s="143">
        <f>H162</f>
        <v>0.0019</v>
      </c>
      <c r="I164" s="4"/>
      <c r="J164" s="95">
        <f>D164+F164+H164</f>
        <v>0.05584</v>
      </c>
      <c r="K164" s="151">
        <f>K162</f>
        <v>0</v>
      </c>
      <c r="L164" s="4"/>
      <c r="M164" s="149">
        <v>0</v>
      </c>
      <c r="N164" s="4"/>
      <c r="O164" s="97">
        <f>SUM(D164+F164+H164+K164+M164)</f>
        <v>0.05584</v>
      </c>
      <c r="P164" s="98"/>
    </row>
    <row r="165" spans="1:16" ht="12.75">
      <c r="A165" s="14"/>
      <c r="B165" s="14"/>
      <c r="C165" s="141" t="s">
        <v>172</v>
      </c>
      <c r="D165" s="128">
        <v>0.04991</v>
      </c>
      <c r="E165" s="4"/>
      <c r="F165" s="4">
        <f>F162</f>
        <v>0</v>
      </c>
      <c r="G165" s="4"/>
      <c r="H165" s="143">
        <f>H162</f>
        <v>0.0019</v>
      </c>
      <c r="I165" s="4"/>
      <c r="J165" s="95">
        <f>D165+F165+H165</f>
        <v>0.05181</v>
      </c>
      <c r="K165" s="151">
        <f>K162</f>
        <v>0</v>
      </c>
      <c r="L165" s="4"/>
      <c r="M165" s="149">
        <v>0</v>
      </c>
      <c r="N165" s="4"/>
      <c r="O165" s="97">
        <f>SUM(D165+F165+H165+K165+M165)</f>
        <v>0.05181</v>
      </c>
      <c r="P165" s="98"/>
    </row>
    <row r="166" spans="1:16" ht="12.75">
      <c r="A166" s="150"/>
      <c r="B166" s="150"/>
      <c r="C166" s="14" t="s">
        <v>173</v>
      </c>
      <c r="D166" s="128">
        <v>0.03761</v>
      </c>
      <c r="E166" s="4"/>
      <c r="F166" s="4">
        <f>F162</f>
        <v>0</v>
      </c>
      <c r="G166" s="4"/>
      <c r="H166" s="143">
        <f>H162</f>
        <v>0.0019</v>
      </c>
      <c r="I166" s="4"/>
      <c r="J166" s="95">
        <f>D166+F166+H166</f>
        <v>0.039509999999999997</v>
      </c>
      <c r="K166" s="151">
        <f>K162</f>
        <v>0</v>
      </c>
      <c r="L166" s="4"/>
      <c r="M166" s="149">
        <v>0</v>
      </c>
      <c r="N166" s="4"/>
      <c r="O166" s="97">
        <f>SUM(D166+F166+H166+K166+M166)</f>
        <v>0.039509999999999997</v>
      </c>
      <c r="P166" s="98"/>
    </row>
  </sheetData>
  <printOptions horizontalCentered="1"/>
  <pageMargins left="0.25" right="0.25" top="1" bottom="0.5" header="0.5" footer="0.5"/>
  <pageSetup horizontalDpi="600" verticalDpi="600" orientation="portrait" scale="53" r:id="rId1"/>
  <headerFooter alignWithMargins="0">
    <oddHeader>&amp;C&amp;"Arial,Bold"&amp;12Exhibit J-4 Gas Rate Summary</oddHeader>
    <oddFooter>&amp;CPage &amp;P of &amp;N</oddFooter>
  </headerFooter>
  <rowBreaks count="1" manualBreakCount="1">
    <brk id="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Q23" sqref="Q23"/>
    </sheetView>
  </sheetViews>
  <sheetFormatPr defaultColWidth="9.140625" defaultRowHeight="12.75"/>
  <cols>
    <col min="1" max="1" width="5.421875" style="0" bestFit="1" customWidth="1"/>
    <col min="2" max="2" width="15.57421875" style="0" bestFit="1" customWidth="1"/>
    <col min="3" max="4" width="11.28125" style="0" bestFit="1" customWidth="1"/>
    <col min="5" max="5" width="10.421875" style="0" bestFit="1" customWidth="1"/>
  </cols>
  <sheetData>
    <row r="1" spans="1:5" ht="13.5" thickTop="1">
      <c r="A1" s="240" t="s">
        <v>174</v>
      </c>
      <c r="B1" s="241"/>
      <c r="C1" s="241"/>
      <c r="D1" s="241"/>
      <c r="E1" s="242"/>
    </row>
    <row r="2" spans="1:5" ht="13.5" thickBot="1">
      <c r="A2" s="152" t="s">
        <v>85</v>
      </c>
      <c r="B2" s="153" t="s">
        <v>175</v>
      </c>
      <c r="C2" s="154">
        <v>38718</v>
      </c>
      <c r="D2" s="154">
        <v>39753</v>
      </c>
      <c r="E2" s="155" t="s">
        <v>176</v>
      </c>
    </row>
    <row r="3" spans="1:5" ht="12.75">
      <c r="A3" s="251">
        <v>101</v>
      </c>
      <c r="B3" s="156" t="s">
        <v>109</v>
      </c>
      <c r="C3" s="157">
        <v>5.5</v>
      </c>
      <c r="D3" s="157">
        <v>5.5</v>
      </c>
      <c r="E3" s="158">
        <f aca="true" t="shared" si="0" ref="E3:E28">(D3-C3)/C3</f>
        <v>0</v>
      </c>
    </row>
    <row r="4" spans="1:5" ht="12.75">
      <c r="A4" s="252"/>
      <c r="B4" s="159" t="s">
        <v>177</v>
      </c>
      <c r="C4" s="160">
        <v>1.15926</v>
      </c>
      <c r="D4" s="161">
        <v>1.1474700000000002</v>
      </c>
      <c r="E4" s="162">
        <f t="shared" si="0"/>
        <v>-0.010170281041353748</v>
      </c>
    </row>
    <row r="5" spans="1:5" ht="12.75">
      <c r="A5" s="253">
        <v>111</v>
      </c>
      <c r="B5" s="163" t="s">
        <v>146</v>
      </c>
      <c r="C5" s="164">
        <v>131.13</v>
      </c>
      <c r="D5" s="164">
        <v>135.07</v>
      </c>
      <c r="E5" s="165">
        <f t="shared" si="0"/>
        <v>0.030046518721879033</v>
      </c>
    </row>
    <row r="6" spans="1:5" ht="12.75">
      <c r="A6" s="248"/>
      <c r="B6" s="166" t="s">
        <v>178</v>
      </c>
      <c r="C6" s="167">
        <v>0.5291699999999999</v>
      </c>
      <c r="D6" s="168">
        <v>0.49152000000000007</v>
      </c>
      <c r="E6" s="169">
        <f t="shared" si="0"/>
        <v>-0.07114915811553915</v>
      </c>
    </row>
    <row r="7" spans="1:5" ht="12.75">
      <c r="A7" s="249"/>
      <c r="B7" s="170">
        <v>200</v>
      </c>
      <c r="C7" s="171">
        <v>1.18482</v>
      </c>
      <c r="D7" s="172">
        <v>1.16687</v>
      </c>
      <c r="E7" s="173">
        <f t="shared" si="0"/>
        <v>-0.01514998058776853</v>
      </c>
    </row>
    <row r="8" spans="1:5" ht="12.75">
      <c r="A8" s="248"/>
      <c r="B8" s="174" t="s">
        <v>150</v>
      </c>
      <c r="C8" s="167">
        <v>1.11767</v>
      </c>
      <c r="D8" s="168">
        <v>1.0953</v>
      </c>
      <c r="E8" s="169">
        <f t="shared" si="0"/>
        <v>-0.0200148523267154</v>
      </c>
    </row>
    <row r="9" spans="1:5" ht="12.75">
      <c r="A9" s="254"/>
      <c r="B9" s="175" t="s">
        <v>151</v>
      </c>
      <c r="C9" s="176">
        <v>1.05214</v>
      </c>
      <c r="D9" s="177">
        <v>1.02882</v>
      </c>
      <c r="E9" s="178">
        <f t="shared" si="0"/>
        <v>-0.022164350751801096</v>
      </c>
    </row>
    <row r="10" spans="1:5" ht="12.75">
      <c r="A10" s="255">
        <v>121</v>
      </c>
      <c r="B10" s="179" t="s">
        <v>146</v>
      </c>
      <c r="C10" s="180">
        <v>319.59</v>
      </c>
      <c r="D10" s="180">
        <v>329.43</v>
      </c>
      <c r="E10" s="181">
        <f t="shared" si="0"/>
        <v>0.030789448981507657</v>
      </c>
    </row>
    <row r="11" spans="1:5" ht="12.75">
      <c r="A11" s="249"/>
      <c r="B11" s="182" t="s">
        <v>178</v>
      </c>
      <c r="C11" s="171">
        <v>0.5143800000000001</v>
      </c>
      <c r="D11" s="172">
        <v>0.49084999999999995</v>
      </c>
      <c r="E11" s="173">
        <f t="shared" si="0"/>
        <v>-0.04574439130603854</v>
      </c>
    </row>
    <row r="12" spans="1:5" ht="12.75">
      <c r="A12" s="248"/>
      <c r="B12" s="174" t="s">
        <v>156</v>
      </c>
      <c r="C12" s="167">
        <v>1.15356</v>
      </c>
      <c r="D12" s="168">
        <v>1.1497100000000002</v>
      </c>
      <c r="E12" s="169">
        <f t="shared" si="0"/>
        <v>-0.0033374943652689825</v>
      </c>
    </row>
    <row r="13" spans="1:5" ht="12.75">
      <c r="A13" s="249"/>
      <c r="B13" s="182" t="s">
        <v>157</v>
      </c>
      <c r="C13" s="171">
        <v>1.10306</v>
      </c>
      <c r="D13" s="172">
        <v>1.09481</v>
      </c>
      <c r="E13" s="173">
        <f t="shared" si="0"/>
        <v>-0.0074791942414736</v>
      </c>
    </row>
    <row r="14" spans="1:5" ht="12.75">
      <c r="A14" s="248"/>
      <c r="B14" s="166" t="s">
        <v>158</v>
      </c>
      <c r="C14" s="167">
        <v>1.03753</v>
      </c>
      <c r="D14" s="168">
        <v>1.02777</v>
      </c>
      <c r="E14" s="169">
        <f t="shared" si="0"/>
        <v>-0.009406956907270142</v>
      </c>
    </row>
    <row r="15" spans="1:5" ht="12.75">
      <c r="A15" s="249"/>
      <c r="B15" s="182" t="s">
        <v>159</v>
      </c>
      <c r="C15" s="171">
        <v>0.9960000000000001</v>
      </c>
      <c r="D15" s="172">
        <v>0.9856600000000001</v>
      </c>
      <c r="E15" s="173">
        <f t="shared" si="0"/>
        <v>-0.010381526104417685</v>
      </c>
    </row>
    <row r="16" spans="1:5" ht="12.75">
      <c r="A16" s="252"/>
      <c r="B16" s="159" t="s">
        <v>160</v>
      </c>
      <c r="C16" s="160">
        <v>0.98465</v>
      </c>
      <c r="D16" s="161">
        <v>0.9741500000000001</v>
      </c>
      <c r="E16" s="162">
        <f t="shared" si="0"/>
        <v>-0.010663687604732599</v>
      </c>
    </row>
    <row r="17" spans="1:5" ht="12.75">
      <c r="A17" s="253">
        <v>131</v>
      </c>
      <c r="B17" s="183" t="s">
        <v>162</v>
      </c>
      <c r="C17" s="164">
        <v>42500</v>
      </c>
      <c r="D17" s="164">
        <v>36177.5</v>
      </c>
      <c r="E17" s="165">
        <f t="shared" si="0"/>
        <v>-0.14876470588235294</v>
      </c>
    </row>
    <row r="18" spans="1:5" ht="12.75">
      <c r="A18" s="248"/>
      <c r="B18" s="174" t="s">
        <v>163</v>
      </c>
      <c r="C18" s="167">
        <v>1.02624</v>
      </c>
      <c r="D18" s="168">
        <v>1.01652</v>
      </c>
      <c r="E18" s="169">
        <f t="shared" si="0"/>
        <v>-0.009471468662301167</v>
      </c>
    </row>
    <row r="19" spans="1:5" ht="12.75">
      <c r="A19" s="249"/>
      <c r="B19" s="182" t="s">
        <v>159</v>
      </c>
      <c r="C19" s="171">
        <v>0.9855</v>
      </c>
      <c r="D19" s="172">
        <v>0.9752000000000001</v>
      </c>
      <c r="E19" s="173">
        <f t="shared" si="0"/>
        <v>-0.010451547437848784</v>
      </c>
    </row>
    <row r="20" spans="1:5" ht="12.75">
      <c r="A20" s="248"/>
      <c r="B20" s="166" t="s">
        <v>164</v>
      </c>
      <c r="C20" s="167">
        <v>0.9755</v>
      </c>
      <c r="D20" s="168">
        <v>0.9650600000000001</v>
      </c>
      <c r="E20" s="169">
        <f t="shared" si="0"/>
        <v>-0.01070220399794966</v>
      </c>
    </row>
    <row r="21" spans="1:5" ht="12.75">
      <c r="A21" s="254"/>
      <c r="B21" s="175" t="s">
        <v>165</v>
      </c>
      <c r="C21" s="176">
        <v>0.9722000000000001</v>
      </c>
      <c r="D21" s="177">
        <v>0.9617100000000001</v>
      </c>
      <c r="E21" s="178">
        <f t="shared" si="0"/>
        <v>-0.010789960913392304</v>
      </c>
    </row>
    <row r="22" spans="1:5" ht="12.75">
      <c r="A22" s="248">
        <v>146</v>
      </c>
      <c r="B22" s="184" t="s">
        <v>162</v>
      </c>
      <c r="C22" s="185">
        <v>14950</v>
      </c>
      <c r="D22" s="185">
        <v>15900</v>
      </c>
      <c r="E22" s="169">
        <f t="shared" si="0"/>
        <v>0.06354515050167224</v>
      </c>
    </row>
    <row r="23" spans="1:5" ht="12.75">
      <c r="A23" s="249"/>
      <c r="B23" s="186" t="s">
        <v>167</v>
      </c>
      <c r="C23" s="187">
        <v>200</v>
      </c>
      <c r="D23" s="187">
        <f>C23</f>
        <v>200</v>
      </c>
      <c r="E23" s="173">
        <f t="shared" si="0"/>
        <v>0</v>
      </c>
    </row>
    <row r="24" spans="1:5" ht="12.75">
      <c r="A24" s="248"/>
      <c r="B24" s="174" t="s">
        <v>169</v>
      </c>
      <c r="C24" s="167">
        <v>0.06906</v>
      </c>
      <c r="D24" s="168">
        <v>0.07142</v>
      </c>
      <c r="E24" s="169">
        <f t="shared" si="0"/>
        <v>0.0341731827396467</v>
      </c>
    </row>
    <row r="25" spans="1:5" ht="12.75">
      <c r="A25" s="249"/>
      <c r="B25" s="182" t="s">
        <v>170</v>
      </c>
      <c r="C25" s="171">
        <v>0.0617</v>
      </c>
      <c r="D25" s="172">
        <v>0.06359999999999999</v>
      </c>
      <c r="E25" s="173">
        <f t="shared" si="0"/>
        <v>0.03079416531604525</v>
      </c>
    </row>
    <row r="26" spans="1:5" ht="12.75">
      <c r="A26" s="248"/>
      <c r="B26" s="166" t="s">
        <v>171</v>
      </c>
      <c r="C26" s="167">
        <v>0.05584</v>
      </c>
      <c r="D26" s="168">
        <v>0.057379999999999994</v>
      </c>
      <c r="E26" s="169">
        <f t="shared" si="0"/>
        <v>0.027578796561604453</v>
      </c>
    </row>
    <row r="27" spans="1:5" ht="12.75">
      <c r="A27" s="249"/>
      <c r="B27" s="182" t="s">
        <v>172</v>
      </c>
      <c r="C27" s="171">
        <v>0.05181</v>
      </c>
      <c r="D27" s="172">
        <v>0.053099999999999994</v>
      </c>
      <c r="E27" s="173">
        <f t="shared" si="0"/>
        <v>0.024898668210769977</v>
      </c>
    </row>
    <row r="28" spans="1:5" ht="13.5" thickBot="1">
      <c r="A28" s="250"/>
      <c r="B28" s="188" t="s">
        <v>173</v>
      </c>
      <c r="C28" s="189">
        <v>0.039509999999999997</v>
      </c>
      <c r="D28" s="190">
        <v>0.040029999999999996</v>
      </c>
      <c r="E28" s="191">
        <f t="shared" si="0"/>
        <v>0.013161225006327503</v>
      </c>
    </row>
    <row r="29" ht="13.5" thickTop="1"/>
  </sheetData>
  <mergeCells count="6">
    <mergeCell ref="A22:A28"/>
    <mergeCell ref="A1:E1"/>
    <mergeCell ref="A3:A4"/>
    <mergeCell ref="A5:A9"/>
    <mergeCell ref="A10:A16"/>
    <mergeCell ref="A17:A2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K10" sqref="K10"/>
    </sheetView>
  </sheetViews>
  <sheetFormatPr defaultColWidth="9.140625" defaultRowHeight="12.75"/>
  <cols>
    <col min="1" max="1" width="12.7109375" style="0" customWidth="1"/>
    <col min="2" max="2" width="2.28125" style="0" hidden="1" customWidth="1"/>
    <col min="3" max="3" width="5.00390625" style="0" hidden="1" customWidth="1"/>
    <col min="4" max="4" width="11.7109375" style="0" bestFit="1" customWidth="1"/>
    <col min="5" max="5" width="14.7109375" style="0" bestFit="1" customWidth="1"/>
    <col min="6" max="6" width="13.8515625" style="0" customWidth="1"/>
    <col min="7" max="7" width="13.00390625" style="0" bestFit="1" customWidth="1"/>
    <col min="8" max="8" width="0" style="0" hidden="1" customWidth="1"/>
    <col min="9" max="9" width="14.7109375" style="0" bestFit="1" customWidth="1"/>
    <col min="11" max="11" width="12.28125" style="0" bestFit="1" customWidth="1"/>
    <col min="12" max="13" width="9.7109375" style="0" bestFit="1" customWidth="1"/>
    <col min="14" max="14" width="9.57421875" style="0" customWidth="1"/>
  </cols>
  <sheetData>
    <row r="1" ht="12.75">
      <c r="A1" t="s">
        <v>179</v>
      </c>
    </row>
    <row r="2" ht="13.5" thickBot="1">
      <c r="B2" t="s">
        <v>180</v>
      </c>
    </row>
    <row r="3" spans="1:9" s="197" customFormat="1" ht="31.5" thickBot="1" thickTop="1">
      <c r="A3" s="192"/>
      <c r="B3" s="193"/>
      <c r="C3" s="193"/>
      <c r="D3" s="194" t="s">
        <v>181</v>
      </c>
      <c r="E3" s="194" t="s">
        <v>182</v>
      </c>
      <c r="F3" s="194" t="s">
        <v>183</v>
      </c>
      <c r="G3" s="195" t="s">
        <v>184</v>
      </c>
      <c r="H3" s="194"/>
      <c r="I3" s="196" t="s">
        <v>185</v>
      </c>
    </row>
    <row r="4" spans="1:9" s="197" customFormat="1" ht="15">
      <c r="A4" s="198">
        <v>38657</v>
      </c>
      <c r="B4" s="256" t="s">
        <v>186</v>
      </c>
      <c r="C4" s="256"/>
      <c r="D4" s="256"/>
      <c r="E4" s="256"/>
      <c r="F4" s="256"/>
      <c r="G4" s="256"/>
      <c r="H4" s="256"/>
      <c r="I4" s="257"/>
    </row>
    <row r="5" spans="1:9" ht="12.75">
      <c r="A5" s="199" t="s">
        <v>121</v>
      </c>
      <c r="B5" s="200"/>
      <c r="C5" s="200"/>
      <c r="D5" s="168">
        <v>0.09851</v>
      </c>
      <c r="E5" s="168">
        <v>0.82428</v>
      </c>
      <c r="F5" s="168">
        <f>D5+E5</f>
        <v>0.92279</v>
      </c>
      <c r="G5" s="168">
        <v>0.02584</v>
      </c>
      <c r="H5" s="168"/>
      <c r="I5" s="201">
        <f>F5+G5</f>
        <v>0.94863</v>
      </c>
    </row>
    <row r="6" spans="1:9" ht="12.75">
      <c r="A6" s="202" t="s">
        <v>145</v>
      </c>
      <c r="B6" s="203"/>
      <c r="C6" s="203"/>
      <c r="D6" s="172">
        <v>0.09676</v>
      </c>
      <c r="E6" s="172">
        <v>0.82428</v>
      </c>
      <c r="F6" s="172">
        <f>D6+E6</f>
        <v>0.92104</v>
      </c>
      <c r="G6" s="172">
        <v>0.02667</v>
      </c>
      <c r="H6" s="172"/>
      <c r="I6" s="204">
        <f>F6+G6</f>
        <v>0.9477099999999999</v>
      </c>
    </row>
    <row r="7" spans="1:9" ht="12.75">
      <c r="A7" s="199" t="s">
        <v>154</v>
      </c>
      <c r="B7" s="200"/>
      <c r="C7" s="200"/>
      <c r="D7" s="168">
        <v>0.09352</v>
      </c>
      <c r="E7" s="168">
        <v>0.82428</v>
      </c>
      <c r="F7" s="168">
        <f>D7+E7</f>
        <v>0.9178000000000001</v>
      </c>
      <c r="G7" s="168">
        <v>0.02615</v>
      </c>
      <c r="H7" s="168"/>
      <c r="I7" s="201">
        <f>F7+G7</f>
        <v>0.9439500000000001</v>
      </c>
    </row>
    <row r="8" spans="1:9" ht="12.75">
      <c r="A8" s="202" t="s">
        <v>161</v>
      </c>
      <c r="B8" s="203"/>
      <c r="C8" s="203"/>
      <c r="D8" s="172">
        <v>0.08653</v>
      </c>
      <c r="E8" s="172">
        <v>0.82428</v>
      </c>
      <c r="F8" s="172">
        <f>D8+E8</f>
        <v>0.91081</v>
      </c>
      <c r="G8" s="172">
        <v>0.02688</v>
      </c>
      <c r="H8" s="172"/>
      <c r="I8" s="204">
        <f>F8+G8</f>
        <v>0.93769</v>
      </c>
    </row>
    <row r="9" spans="1:9" ht="12.75">
      <c r="A9" s="199" t="s">
        <v>166</v>
      </c>
      <c r="B9" s="200"/>
      <c r="C9" s="200"/>
      <c r="D9" s="168">
        <v>0.00057</v>
      </c>
      <c r="E9" s="168">
        <v>0</v>
      </c>
      <c r="F9" s="168">
        <f>D9+E9</f>
        <v>0.00057</v>
      </c>
      <c r="G9" s="168">
        <v>0.0019</v>
      </c>
      <c r="H9" s="168"/>
      <c r="I9" s="201">
        <f>F9+G9</f>
        <v>0.00247</v>
      </c>
    </row>
    <row r="10" spans="1:9" s="197" customFormat="1" ht="15">
      <c r="A10" s="205">
        <v>39022</v>
      </c>
      <c r="B10" s="258" t="s">
        <v>187</v>
      </c>
      <c r="C10" s="258"/>
      <c r="D10" s="258"/>
      <c r="E10" s="258"/>
      <c r="F10" s="258"/>
      <c r="G10" s="258"/>
      <c r="H10" s="258"/>
      <c r="I10" s="259"/>
    </row>
    <row r="11" spans="1:9" ht="12.75">
      <c r="A11" s="199" t="s">
        <v>121</v>
      </c>
      <c r="B11" s="200"/>
      <c r="C11" s="200"/>
      <c r="D11" s="168">
        <v>0.09824</v>
      </c>
      <c r="E11" s="168">
        <v>0.79561</v>
      </c>
      <c r="F11" s="168">
        <f>D11+E11</f>
        <v>0.89385</v>
      </c>
      <c r="G11" s="168">
        <v>0.06455</v>
      </c>
      <c r="H11" s="168"/>
      <c r="I11" s="201">
        <f>F11+G11</f>
        <v>0.9584</v>
      </c>
    </row>
    <row r="12" spans="1:9" ht="12.75">
      <c r="A12" s="202" t="s">
        <v>145</v>
      </c>
      <c r="B12" s="203"/>
      <c r="C12" s="203"/>
      <c r="D12" s="172">
        <v>0.09546</v>
      </c>
      <c r="E12" s="172">
        <v>0.79561</v>
      </c>
      <c r="F12" s="172">
        <f>D12+E12</f>
        <v>0.89107</v>
      </c>
      <c r="G12" s="172">
        <v>0.06451</v>
      </c>
      <c r="H12" s="172"/>
      <c r="I12" s="204">
        <f>F12+G12</f>
        <v>0.95558</v>
      </c>
    </row>
    <row r="13" spans="1:9" ht="12.75">
      <c r="A13" s="199" t="s">
        <v>154</v>
      </c>
      <c r="B13" s="200"/>
      <c r="C13" s="200"/>
      <c r="D13" s="168">
        <v>0.07919</v>
      </c>
      <c r="E13" s="168">
        <v>0.79561</v>
      </c>
      <c r="F13" s="168">
        <f>D13+E13</f>
        <v>0.8748</v>
      </c>
      <c r="G13" s="168">
        <v>0.06621</v>
      </c>
      <c r="H13" s="168"/>
      <c r="I13" s="201">
        <f>F13+G13</f>
        <v>0.94101</v>
      </c>
    </row>
    <row r="14" spans="1:9" ht="12.75">
      <c r="A14" s="202" t="s">
        <v>161</v>
      </c>
      <c r="B14" s="203"/>
      <c r="C14" s="203"/>
      <c r="D14" s="172">
        <v>0.06025</v>
      </c>
      <c r="E14" s="172">
        <v>0.79561</v>
      </c>
      <c r="F14" s="172">
        <f>D14+E14</f>
        <v>0.8558600000000001</v>
      </c>
      <c r="G14" s="172">
        <v>0.0731</v>
      </c>
      <c r="H14" s="172"/>
      <c r="I14" s="204">
        <f>F14+G14</f>
        <v>0.92896</v>
      </c>
    </row>
    <row r="15" spans="1:9" ht="12.75">
      <c r="A15" s="199" t="s">
        <v>166</v>
      </c>
      <c r="B15" s="200"/>
      <c r="C15" s="200"/>
      <c r="D15" s="168">
        <v>0.00056</v>
      </c>
      <c r="E15" s="168">
        <v>0</v>
      </c>
      <c r="F15" s="168">
        <f>D15+E15</f>
        <v>0.00056</v>
      </c>
      <c r="G15" s="168">
        <v>0.00187</v>
      </c>
      <c r="H15" s="168"/>
      <c r="I15" s="201">
        <f>F15+G15</f>
        <v>0.00243</v>
      </c>
    </row>
    <row r="16" spans="1:9" s="197" customFormat="1" ht="15">
      <c r="A16" s="205">
        <v>39387</v>
      </c>
      <c r="B16" s="258" t="s">
        <v>188</v>
      </c>
      <c r="C16" s="258"/>
      <c r="D16" s="258"/>
      <c r="E16" s="258"/>
      <c r="F16" s="258"/>
      <c r="G16" s="258"/>
      <c r="H16" s="258"/>
      <c r="I16" s="259"/>
    </row>
    <row r="17" spans="1:9" ht="12.75">
      <c r="A17" s="199" t="s">
        <v>121</v>
      </c>
      <c r="B17" s="200"/>
      <c r="C17" s="200"/>
      <c r="D17" s="168">
        <v>0.0964</v>
      </c>
      <c r="E17" s="168">
        <v>0.78906</v>
      </c>
      <c r="F17" s="168">
        <f>D17+E17</f>
        <v>0.88546</v>
      </c>
      <c r="G17" s="168">
        <v>-0.003</v>
      </c>
      <c r="H17" s="168"/>
      <c r="I17" s="201">
        <f>F17+G17</f>
        <v>0.88246</v>
      </c>
    </row>
    <row r="18" spans="1:9" ht="12.75">
      <c r="A18" s="202" t="s">
        <v>145</v>
      </c>
      <c r="B18" s="203"/>
      <c r="C18" s="203"/>
      <c r="D18" s="172">
        <v>0.09365</v>
      </c>
      <c r="E18" s="172">
        <v>0.78906</v>
      </c>
      <c r="F18" s="172">
        <f>D18+E18</f>
        <v>0.88271</v>
      </c>
      <c r="G18" s="172">
        <v>0</v>
      </c>
      <c r="H18" s="172"/>
      <c r="I18" s="204">
        <f>F18+G18</f>
        <v>0.88271</v>
      </c>
    </row>
    <row r="19" spans="1:9" ht="12.75">
      <c r="A19" s="199" t="s">
        <v>154</v>
      </c>
      <c r="B19" s="200"/>
      <c r="C19" s="200"/>
      <c r="D19" s="168">
        <v>0.07768</v>
      </c>
      <c r="E19" s="168">
        <v>0.78906</v>
      </c>
      <c r="F19" s="168">
        <f>D19+E19</f>
        <v>0.86674</v>
      </c>
      <c r="G19" s="168">
        <v>0.01087</v>
      </c>
      <c r="H19" s="168"/>
      <c r="I19" s="201">
        <f>F19+G19</f>
        <v>0.87761</v>
      </c>
    </row>
    <row r="20" spans="1:9" ht="12.75">
      <c r="A20" s="202" t="s">
        <v>161</v>
      </c>
      <c r="B20" s="203"/>
      <c r="C20" s="203"/>
      <c r="D20" s="172">
        <v>0.05862</v>
      </c>
      <c r="E20" s="172">
        <v>0.78906</v>
      </c>
      <c r="F20" s="172">
        <f>D20+E20</f>
        <v>0.84768</v>
      </c>
      <c r="G20" s="172">
        <v>0.00664</v>
      </c>
      <c r="H20" s="172"/>
      <c r="I20" s="204">
        <f>F20+G20</f>
        <v>0.85432</v>
      </c>
    </row>
    <row r="21" spans="1:9" ht="12.75">
      <c r="A21" s="199" t="s">
        <v>166</v>
      </c>
      <c r="B21" s="200"/>
      <c r="C21" s="200"/>
      <c r="D21" s="168">
        <v>0.00056</v>
      </c>
      <c r="E21" s="168">
        <v>0</v>
      </c>
      <c r="F21" s="168">
        <f>D21+E21</f>
        <v>0.00056</v>
      </c>
      <c r="G21" s="168">
        <v>8E-05</v>
      </c>
      <c r="H21" s="168"/>
      <c r="I21" s="201">
        <f>F21+G21</f>
        <v>0.0006399999999999999</v>
      </c>
    </row>
    <row r="22" spans="1:9" s="197" customFormat="1" ht="15">
      <c r="A22" s="205">
        <v>39753</v>
      </c>
      <c r="B22" s="258" t="s">
        <v>189</v>
      </c>
      <c r="C22" s="258"/>
      <c r="D22" s="258"/>
      <c r="E22" s="258"/>
      <c r="F22" s="258"/>
      <c r="G22" s="258"/>
      <c r="H22" s="258"/>
      <c r="I22" s="259"/>
    </row>
    <row r="23" spans="1:9" ht="12.75">
      <c r="A23" s="199" t="s">
        <v>121</v>
      </c>
      <c r="B23" s="200"/>
      <c r="C23" s="200"/>
      <c r="D23" s="168">
        <v>0.09695</v>
      </c>
      <c r="E23" s="168">
        <v>0.83818</v>
      </c>
      <c r="F23" s="168">
        <f>D23+E23</f>
        <v>0.93513</v>
      </c>
      <c r="G23" s="168">
        <v>-0.04653</v>
      </c>
      <c r="H23" s="168"/>
      <c r="I23" s="201">
        <f>F23+G23</f>
        <v>0.8886000000000001</v>
      </c>
    </row>
    <row r="24" spans="1:9" ht="12.75">
      <c r="A24" s="202" t="s">
        <v>145</v>
      </c>
      <c r="B24" s="203"/>
      <c r="C24" s="203"/>
      <c r="D24" s="172">
        <v>0.09416</v>
      </c>
      <c r="E24" s="172">
        <v>0.83818</v>
      </c>
      <c r="F24" s="172">
        <f>D24+E24</f>
        <v>0.9323400000000001</v>
      </c>
      <c r="G24" s="172">
        <v>-0.04417</v>
      </c>
      <c r="H24" s="172"/>
      <c r="I24" s="204">
        <f>F24+G24</f>
        <v>0.88817</v>
      </c>
    </row>
    <row r="25" spans="1:9" ht="12.75">
      <c r="A25" s="199" t="s">
        <v>154</v>
      </c>
      <c r="B25" s="200"/>
      <c r="C25" s="200"/>
      <c r="D25" s="168">
        <v>0.07816</v>
      </c>
      <c r="E25" s="168">
        <v>0.83818</v>
      </c>
      <c r="F25" s="168">
        <f>D25+E25</f>
        <v>0.91634</v>
      </c>
      <c r="G25" s="168">
        <v>-0.03005</v>
      </c>
      <c r="H25" s="168"/>
      <c r="I25" s="201">
        <f>F25+G25</f>
        <v>0.88629</v>
      </c>
    </row>
    <row r="26" spans="1:9" ht="12.75">
      <c r="A26" s="202" t="s">
        <v>161</v>
      </c>
      <c r="B26" s="203"/>
      <c r="C26" s="203"/>
      <c r="D26" s="172">
        <v>0.05962</v>
      </c>
      <c r="E26" s="172">
        <v>0.83818</v>
      </c>
      <c r="F26" s="172">
        <f>D26+E26</f>
        <v>0.8978</v>
      </c>
      <c r="G26" s="172">
        <v>-0.02923</v>
      </c>
      <c r="H26" s="172"/>
      <c r="I26" s="204">
        <f>F26+G26</f>
        <v>0.8685700000000001</v>
      </c>
    </row>
    <row r="27" spans="1:9" ht="13.5" thickBot="1">
      <c r="A27" s="206" t="s">
        <v>166</v>
      </c>
      <c r="B27" s="207"/>
      <c r="C27" s="207"/>
      <c r="D27" s="190">
        <v>0.00056</v>
      </c>
      <c r="E27" s="190">
        <v>0</v>
      </c>
      <c r="F27" s="190">
        <f>D27+E27</f>
        <v>0.00056</v>
      </c>
      <c r="G27" s="190">
        <v>8E-05</v>
      </c>
      <c r="H27" s="190"/>
      <c r="I27" s="208">
        <f>F27+G27</f>
        <v>0.0006399999999999999</v>
      </c>
    </row>
    <row r="28" ht="13.5" thickTop="1"/>
    <row r="29" ht="13.5" thickBot="1"/>
    <row r="30" spans="11:14" ht="13.5" thickTop="1">
      <c r="K30" s="240" t="s">
        <v>190</v>
      </c>
      <c r="L30" s="241"/>
      <c r="M30" s="241"/>
      <c r="N30" s="242"/>
    </row>
    <row r="31" spans="11:14" ht="12.75">
      <c r="K31" s="209"/>
      <c r="L31" s="210">
        <v>38657</v>
      </c>
      <c r="M31" s="210">
        <v>39753</v>
      </c>
      <c r="N31" s="211" t="s">
        <v>176</v>
      </c>
    </row>
    <row r="32" spans="11:14" ht="12.75">
      <c r="K32" s="36" t="s">
        <v>121</v>
      </c>
      <c r="L32" s="168">
        <v>0.94863</v>
      </c>
      <c r="M32" s="168">
        <v>0.8886000000000001</v>
      </c>
      <c r="N32" s="169">
        <v>-0.06328073115967225</v>
      </c>
    </row>
    <row r="33" spans="11:14" ht="12.75">
      <c r="K33" s="35" t="s">
        <v>145</v>
      </c>
      <c r="L33" s="172">
        <v>0.9477099999999999</v>
      </c>
      <c r="M33" s="172">
        <v>0.88817</v>
      </c>
      <c r="N33" s="173">
        <v>-0.0628251258296314</v>
      </c>
    </row>
    <row r="34" spans="11:14" ht="12.75">
      <c r="K34" s="36" t="s">
        <v>154</v>
      </c>
      <c r="L34" s="168">
        <v>0.9439500000000001</v>
      </c>
      <c r="M34" s="168">
        <v>0.88629</v>
      </c>
      <c r="N34" s="169">
        <v>-0.06108374384236459</v>
      </c>
    </row>
    <row r="35" spans="11:14" ht="12.75">
      <c r="K35" s="35" t="s">
        <v>161</v>
      </c>
      <c r="L35" s="172">
        <v>0.93769</v>
      </c>
      <c r="M35" s="172">
        <v>0.8685700000000001</v>
      </c>
      <c r="N35" s="173">
        <v>-0.07371306081967388</v>
      </c>
    </row>
    <row r="36" spans="11:14" ht="13.5" thickBot="1">
      <c r="K36" s="39" t="s">
        <v>166</v>
      </c>
      <c r="L36" s="190">
        <v>0.00247</v>
      </c>
      <c r="M36" s="190">
        <v>0.0006399999999999999</v>
      </c>
      <c r="N36" s="191">
        <v>-0.7408906882591093</v>
      </c>
    </row>
    <row r="37" ht="13.5" thickTop="1"/>
  </sheetData>
  <mergeCells count="5">
    <mergeCell ref="B4:I4"/>
    <mergeCell ref="K30:N30"/>
    <mergeCell ref="B22:I22"/>
    <mergeCell ref="B16:I16"/>
    <mergeCell ref="B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vock</cp:lastModifiedBy>
  <cp:lastPrinted>2009-03-29T21:37:14Z</cp:lastPrinted>
  <dcterms:created xsi:type="dcterms:W3CDTF">1996-10-14T23:33:28Z</dcterms:created>
  <dcterms:modified xsi:type="dcterms:W3CDTF">2009-03-29T21:37:28Z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2009-09-29T00:00:00Z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